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675" windowWidth="14820" windowHeight="8145" tabRatio="878"/>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TH!$S$11:$S$935</definedName>
    <definedName name="_C112">TH!$V$11:$V$935</definedName>
    <definedName name="_C133">TH!$Z$11:$Z$935</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TH!$A$9:$AI$813</definedName>
    <definedName name="_xlnm._FilterDatabase" localSheetId="21" hidden="1">'THE KHO'!$A$1:$J$1</definedName>
    <definedName name="_N111">TH!$R$11:$R$935</definedName>
    <definedName name="_N112">TH!$U$11:$U$935</definedName>
    <definedName name="_N133">TH!$Y$11:$Y$935</definedName>
    <definedName name="_TH">TH!$K$11:$K$935</definedName>
    <definedName name="_TM1">IF('IN-TC'!$S$4=1,1,IF('IN-TC'!$S$4=2,4,IF('IN-TC'!$S$4=3,7,10)))</definedName>
    <definedName name="_TM2">IF('IN-TC'!$S$4=1,3,IF('IN-TC'!$S$4=2,6,IF('IN-TC'!$S$4=3,9,12)))</definedName>
    <definedName name="DG">TH!$J$11:$J$935</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CDPS!$A$10:$D$60</definedName>
    <definedName name="KH">TH!$H$11:$H$935</definedName>
    <definedName name="KHC">TH!$O$11:$O$935</definedName>
    <definedName name="KHN">TH!$N$11:$N$935</definedName>
    <definedName name="Loai">OFFSET(TH!$P$5,,,COUNTA(TH!$P$5:$P$39245))</definedName>
    <definedName name="Loai1">OFFSET(TH!$Q$5,,,COUNTA(TH!$Q$5:$Q$39245))</definedName>
    <definedName name="Loai10">OFFSET(TH!$AG$5,,,COUNTA(TH!$AG$5:$AG$39245))</definedName>
    <definedName name="Loai11">OFFSET(TH!$W$5,,,COUNTA(TH!$W$5:$W$39245))</definedName>
    <definedName name="Loai2">OFFSET(TH!$T$5,,,COUNTA(TH!$T$5:$T$39245))</definedName>
    <definedName name="Loai3">OFFSET(TH!$X$5,,,COUNTA(TH!$X$5:$X$39245))</definedName>
    <definedName name="Loai4">OFFSET(TH!$AA$5,,,COUNTA(TH!$AA$5:$AA$39245))</definedName>
    <definedName name="Loai5">OFFSET(TH!$AB$5,,,COUNTA(TH!$AB$5:$AB$39245))</definedName>
    <definedName name="Loai6">OFFSET(TH!$AC$5,,,COUNTA(TH!$AC$5:$AC$39245))</definedName>
    <definedName name="Loai7">OFFSET(TH!$AD$5,,,COUNTA(TH!$AD$5:$AD$39245))</definedName>
    <definedName name="Loai8">OFFSET(TH!$AE$5,,,COUNTA(TH!$AE$5:$AE$39245))</definedName>
    <definedName name="Loai9">OFFSET(TH!$AF$5,,,COUNTA(TH!$AF$5:$AF$39245))</definedName>
    <definedName name="MH">TH!$F$11:$F$935</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TH!$I$11:$I$935</definedName>
    <definedName name="TH">TH!$M$11:$M$935</definedName>
    <definedName name="TM">TH!$A$11:$O$935</definedName>
  </definedNames>
  <calcPr calcId="124519"/>
</workbook>
</file>

<file path=xl/calcChain.xml><?xml version="1.0" encoding="utf-8"?>
<calcChain xmlns="http://schemas.openxmlformats.org/spreadsheetml/2006/main">
  <c r="P18" i="34"/>
  <c r="W18"/>
  <c r="AA18"/>
  <c r="AB18"/>
  <c r="AD18"/>
  <c r="AE18"/>
  <c r="AF18"/>
  <c r="AG18"/>
  <c r="P19"/>
  <c r="W19"/>
  <c r="AA19"/>
  <c r="AB19"/>
  <c r="AD19"/>
  <c r="AE19"/>
  <c r="AF19"/>
  <c r="AG19"/>
  <c r="P20"/>
  <c r="W20"/>
  <c r="AA20"/>
  <c r="AB20"/>
  <c r="AD20"/>
  <c r="AE20"/>
  <c r="AF20"/>
  <c r="AG20"/>
  <c r="P21"/>
  <c r="W21"/>
  <c r="AA21"/>
  <c r="AB21"/>
  <c r="AD21"/>
  <c r="AE21"/>
  <c r="AF21"/>
  <c r="AG21"/>
  <c r="P22"/>
  <c r="W22"/>
  <c r="AA22"/>
  <c r="AB22"/>
  <c r="AD22"/>
  <c r="AE22"/>
  <c r="AF22"/>
  <c r="AG22"/>
  <c r="P23"/>
  <c r="W23"/>
  <c r="AA23"/>
  <c r="AB23"/>
  <c r="AD23"/>
  <c r="AE23"/>
  <c r="AF23"/>
  <c r="AG23"/>
  <c r="P24"/>
  <c r="W24"/>
  <c r="AA24"/>
  <c r="AB24"/>
  <c r="AD24"/>
  <c r="AE24"/>
  <c r="AF24"/>
  <c r="AG24"/>
  <c r="P25"/>
  <c r="W25"/>
  <c r="AA25"/>
  <c r="AB25"/>
  <c r="AD25"/>
  <c r="AE25"/>
  <c r="AF25"/>
  <c r="AG25"/>
  <c r="P26"/>
  <c r="W26"/>
  <c r="AA26"/>
  <c r="AB26"/>
  <c r="AD26"/>
  <c r="AE26"/>
  <c r="AF26"/>
  <c r="AG26"/>
  <c r="P27"/>
  <c r="W27"/>
  <c r="AA27"/>
  <c r="AB27"/>
  <c r="AD27"/>
  <c r="AE27"/>
  <c r="AF27"/>
  <c r="AG27"/>
  <c r="P28"/>
  <c r="W28"/>
  <c r="AA28"/>
  <c r="AB28"/>
  <c r="AD28"/>
  <c r="AE28"/>
  <c r="AF28"/>
  <c r="AG28"/>
  <c r="P29"/>
  <c r="W29"/>
  <c r="AA29"/>
  <c r="AB29"/>
  <c r="AD29"/>
  <c r="AE29"/>
  <c r="AF29"/>
  <c r="AG29"/>
  <c r="P30"/>
  <c r="W30"/>
  <c r="AA30"/>
  <c r="AB30"/>
  <c r="AD30"/>
  <c r="AE30"/>
  <c r="AF30"/>
  <c r="AG30"/>
  <c r="P31"/>
  <c r="W31"/>
  <c r="AA31"/>
  <c r="AB31"/>
  <c r="AD31"/>
  <c r="AE31"/>
  <c r="AF31"/>
  <c r="AG31"/>
  <c r="P32"/>
  <c r="W32"/>
  <c r="AA32"/>
  <c r="AB32"/>
  <c r="AD32"/>
  <c r="AE32"/>
  <c r="AF32"/>
  <c r="AG32"/>
  <c r="P33"/>
  <c r="W33"/>
  <c r="AA33"/>
  <c r="AB33"/>
  <c r="AD33"/>
  <c r="AE33"/>
  <c r="AF33"/>
  <c r="AG33"/>
  <c r="P34"/>
  <c r="W34"/>
  <c r="AA34"/>
  <c r="AB34"/>
  <c r="AD34"/>
  <c r="AE34"/>
  <c r="AF34"/>
  <c r="AG34"/>
  <c r="P35"/>
  <c r="W35"/>
  <c r="AA35"/>
  <c r="AB35"/>
  <c r="AD35"/>
  <c r="AE35"/>
  <c r="AF35"/>
  <c r="AG35"/>
  <c r="P36"/>
  <c r="W36"/>
  <c r="AA36"/>
  <c r="AB36"/>
  <c r="AD36"/>
  <c r="AE36"/>
  <c r="AF36"/>
  <c r="AG36"/>
  <c r="P37"/>
  <c r="W37"/>
  <c r="AA37"/>
  <c r="AB37"/>
  <c r="AD37"/>
  <c r="AE37"/>
  <c r="AF37"/>
  <c r="AG37"/>
  <c r="P38"/>
  <c r="W38"/>
  <c r="AA38"/>
  <c r="AB38"/>
  <c r="AD38"/>
  <c r="AE38"/>
  <c r="AF38"/>
  <c r="AG38"/>
  <c r="P39"/>
  <c r="W39"/>
  <c r="AA39"/>
  <c r="AB39"/>
  <c r="AD39"/>
  <c r="AE39"/>
  <c r="AF39"/>
  <c r="AG39"/>
  <c r="P40"/>
  <c r="W40"/>
  <c r="AA40"/>
  <c r="AB40"/>
  <c r="AD40"/>
  <c r="AE40"/>
  <c r="AF40"/>
  <c r="AG40"/>
  <c r="P41"/>
  <c r="W41"/>
  <c r="AA41"/>
  <c r="AB41"/>
  <c r="AD41"/>
  <c r="AE41"/>
  <c r="AF41"/>
  <c r="AG41"/>
  <c r="P42"/>
  <c r="W42"/>
  <c r="AA42"/>
  <c r="AB42"/>
  <c r="AD42"/>
  <c r="AE42"/>
  <c r="AF42"/>
  <c r="AG42"/>
  <c r="P43"/>
  <c r="W43"/>
  <c r="AA43"/>
  <c r="AB43"/>
  <c r="AD43"/>
  <c r="AE43"/>
  <c r="AF43"/>
  <c r="AG43"/>
  <c r="P44"/>
  <c r="W44"/>
  <c r="AA44"/>
  <c r="AB44"/>
  <c r="AD44"/>
  <c r="AE44"/>
  <c r="AF44"/>
  <c r="AG44"/>
  <c r="P45"/>
  <c r="W45"/>
  <c r="AA45"/>
  <c r="AB45"/>
  <c r="AD45"/>
  <c r="AE45"/>
  <c r="AF45"/>
  <c r="AG45"/>
  <c r="P46"/>
  <c r="W46"/>
  <c r="AA46"/>
  <c r="AB46"/>
  <c r="AD46"/>
  <c r="AE46"/>
  <c r="AF46"/>
  <c r="AG46"/>
  <c r="P47"/>
  <c r="W47"/>
  <c r="AA47"/>
  <c r="AB47"/>
  <c r="AD47"/>
  <c r="AE47"/>
  <c r="AF47"/>
  <c r="AG47"/>
  <c r="P48"/>
  <c r="W48"/>
  <c r="AA48"/>
  <c r="AB48"/>
  <c r="AD48"/>
  <c r="AE48"/>
  <c r="AF48"/>
  <c r="AG48"/>
  <c r="P49"/>
  <c r="W49"/>
  <c r="AA49"/>
  <c r="AB49"/>
  <c r="AD49"/>
  <c r="AE49"/>
  <c r="AF49"/>
  <c r="AG49"/>
  <c r="P50"/>
  <c r="W50"/>
  <c r="AA50"/>
  <c r="AB50"/>
  <c r="AD50"/>
  <c r="AE50"/>
  <c r="AF50"/>
  <c r="AG50"/>
  <c r="P51"/>
  <c r="W51"/>
  <c r="AA51"/>
  <c r="AB51"/>
  <c r="AD51"/>
  <c r="AE51"/>
  <c r="AF51"/>
  <c r="AG51"/>
  <c r="P52"/>
  <c r="W52"/>
  <c r="AA52"/>
  <c r="AB52"/>
  <c r="AD52"/>
  <c r="AE52"/>
  <c r="AF52"/>
  <c r="AG52"/>
  <c r="P53"/>
  <c r="W53"/>
  <c r="AA53"/>
  <c r="AB53"/>
  <c r="AD53"/>
  <c r="AE53"/>
  <c r="AF53"/>
  <c r="AG53"/>
  <c r="P54"/>
  <c r="W54"/>
  <c r="AA54"/>
  <c r="AB54"/>
  <c r="AD54"/>
  <c r="AE54"/>
  <c r="AF54"/>
  <c r="AG54"/>
  <c r="P55"/>
  <c r="W55"/>
  <c r="AA55"/>
  <c r="AB55"/>
  <c r="AD55"/>
  <c r="AE55"/>
  <c r="AF55"/>
  <c r="AG55"/>
  <c r="P56"/>
  <c r="W56"/>
  <c r="AA56"/>
  <c r="AB56"/>
  <c r="AD56"/>
  <c r="AE56"/>
  <c r="AF56"/>
  <c r="AG56"/>
  <c r="P57"/>
  <c r="W57"/>
  <c r="AA57"/>
  <c r="AB57"/>
  <c r="AD57"/>
  <c r="AE57"/>
  <c r="AF57"/>
  <c r="AG57"/>
  <c r="P58"/>
  <c r="W58"/>
  <c r="AA58"/>
  <c r="AB58"/>
  <c r="AD58"/>
  <c r="AE58"/>
  <c r="AF58"/>
  <c r="AG58"/>
  <c r="P59"/>
  <c r="W59"/>
  <c r="AA59"/>
  <c r="AB59"/>
  <c r="AD59"/>
  <c r="AE59"/>
  <c r="AF59"/>
  <c r="AG59"/>
  <c r="P60"/>
  <c r="W60"/>
  <c r="AA60"/>
  <c r="AB60"/>
  <c r="AD60"/>
  <c r="AE60"/>
  <c r="AF60"/>
  <c r="AG60"/>
  <c r="P61"/>
  <c r="W61"/>
  <c r="AA61"/>
  <c r="AB61"/>
  <c r="AD61"/>
  <c r="AE61"/>
  <c r="AF61"/>
  <c r="AG61"/>
  <c r="P62"/>
  <c r="W62"/>
  <c r="AA62"/>
  <c r="AB62"/>
  <c r="AD62"/>
  <c r="AE62"/>
  <c r="AF62"/>
  <c r="AG62"/>
  <c r="P63"/>
  <c r="W63"/>
  <c r="AA63"/>
  <c r="AB63"/>
  <c r="AD63"/>
  <c r="AE63"/>
  <c r="AF63"/>
  <c r="AG63"/>
  <c r="P64"/>
  <c r="W64"/>
  <c r="AA64"/>
  <c r="AB64"/>
  <c r="AD64"/>
  <c r="AE64"/>
  <c r="AF64"/>
  <c r="AG64"/>
  <c r="P65"/>
  <c r="W65"/>
  <c r="AA65"/>
  <c r="AB65"/>
  <c r="AD65"/>
  <c r="AE65"/>
  <c r="AF65"/>
  <c r="AG65"/>
  <c r="P66"/>
  <c r="W66"/>
  <c r="AA66"/>
  <c r="AB66"/>
  <c r="AD66"/>
  <c r="AE66"/>
  <c r="AF66"/>
  <c r="AG66"/>
  <c r="P67"/>
  <c r="W67"/>
  <c r="AA67"/>
  <c r="AB67"/>
  <c r="AD67"/>
  <c r="AE67"/>
  <c r="AF67"/>
  <c r="AG67"/>
  <c r="P68"/>
  <c r="W68"/>
  <c r="AA68"/>
  <c r="AB68"/>
  <c r="AD68"/>
  <c r="AE68"/>
  <c r="AF68"/>
  <c r="AG68"/>
  <c r="P69"/>
  <c r="W69"/>
  <c r="AA69"/>
  <c r="AB69"/>
  <c r="AD69"/>
  <c r="AE69"/>
  <c r="AF69"/>
  <c r="AG69"/>
  <c r="P70"/>
  <c r="W70"/>
  <c r="AA70"/>
  <c r="AB70"/>
  <c r="AD70"/>
  <c r="AE70"/>
  <c r="AF70"/>
  <c r="AG70"/>
  <c r="P71"/>
  <c r="W71"/>
  <c r="AA71"/>
  <c r="AB71"/>
  <c r="AD71"/>
  <c r="AE71"/>
  <c r="AF71"/>
  <c r="AG71"/>
  <c r="P72"/>
  <c r="W72"/>
  <c r="AA72"/>
  <c r="AB72"/>
  <c r="AD72"/>
  <c r="AE72"/>
  <c r="AF72"/>
  <c r="AG72"/>
  <c r="P73"/>
  <c r="W73"/>
  <c r="AA73"/>
  <c r="AB73"/>
  <c r="AD73"/>
  <c r="AE73"/>
  <c r="AF73"/>
  <c r="AG73"/>
  <c r="P74"/>
  <c r="W74"/>
  <c r="AA74"/>
  <c r="AB74"/>
  <c r="AD74"/>
  <c r="AE74"/>
  <c r="AF74"/>
  <c r="AG74"/>
  <c r="P75"/>
  <c r="W75"/>
  <c r="AA75"/>
  <c r="AB75"/>
  <c r="AD75"/>
  <c r="AE75"/>
  <c r="AF75"/>
  <c r="AG75"/>
  <c r="P76"/>
  <c r="W76"/>
  <c r="AA76"/>
  <c r="AB76"/>
  <c r="AD76"/>
  <c r="AE76"/>
  <c r="AF76"/>
  <c r="AG76"/>
  <c r="P77"/>
  <c r="W77"/>
  <c r="AA77"/>
  <c r="AB77"/>
  <c r="AD77"/>
  <c r="AE77"/>
  <c r="AF77"/>
  <c r="AG77"/>
  <c r="P78"/>
  <c r="W78"/>
  <c r="AA78"/>
  <c r="AB78"/>
  <c r="AD78"/>
  <c r="AE78"/>
  <c r="AF78"/>
  <c r="AG78"/>
  <c r="P79"/>
  <c r="W79"/>
  <c r="AA79"/>
  <c r="AB79"/>
  <c r="AD79"/>
  <c r="AE79"/>
  <c r="AF79"/>
  <c r="AG79"/>
  <c r="P80"/>
  <c r="W80"/>
  <c r="AA80"/>
  <c r="AB80"/>
  <c r="AD80"/>
  <c r="AE80"/>
  <c r="AF80"/>
  <c r="AG80"/>
  <c r="P81"/>
  <c r="W81"/>
  <c r="AA81"/>
  <c r="AB81"/>
  <c r="AD81"/>
  <c r="AE81"/>
  <c r="AF81"/>
  <c r="AG81"/>
  <c r="P82"/>
  <c r="W82"/>
  <c r="AA82"/>
  <c r="AB82"/>
  <c r="AD82"/>
  <c r="AE82"/>
  <c r="AF82"/>
  <c r="AG82"/>
  <c r="P83"/>
  <c r="W83"/>
  <c r="AA83"/>
  <c r="AB83"/>
  <c r="AD83"/>
  <c r="AE83"/>
  <c r="AF83"/>
  <c r="AG83"/>
  <c r="P84"/>
  <c r="W84"/>
  <c r="AA84"/>
  <c r="AB84"/>
  <c r="AD84"/>
  <c r="AE84"/>
  <c r="AF84"/>
  <c r="AG84"/>
  <c r="P85"/>
  <c r="W85"/>
  <c r="AA85"/>
  <c r="AB85"/>
  <c r="AD85"/>
  <c r="AE85"/>
  <c r="AF85"/>
  <c r="AG85"/>
  <c r="P86"/>
  <c r="W86"/>
  <c r="AA86"/>
  <c r="AB86"/>
  <c r="AD86"/>
  <c r="AE86"/>
  <c r="AF86"/>
  <c r="AG86"/>
  <c r="P87"/>
  <c r="W87"/>
  <c r="AA87"/>
  <c r="AB87"/>
  <c r="AD87"/>
  <c r="AE87"/>
  <c r="AF87"/>
  <c r="AG87"/>
  <c r="P88"/>
  <c r="W88"/>
  <c r="AA88"/>
  <c r="AB88"/>
  <c r="AD88"/>
  <c r="AE88"/>
  <c r="AF88"/>
  <c r="AG88"/>
  <c r="P89"/>
  <c r="W89"/>
  <c r="AA89"/>
  <c r="AB89"/>
  <c r="AD89"/>
  <c r="AE89"/>
  <c r="AF89"/>
  <c r="AG89"/>
  <c r="P90"/>
  <c r="W90"/>
  <c r="AA90"/>
  <c r="AB90"/>
  <c r="AD90"/>
  <c r="AE90"/>
  <c r="AF90"/>
  <c r="AG90"/>
  <c r="P91"/>
  <c r="W91"/>
  <c r="AA91"/>
  <c r="AB91"/>
  <c r="AD91"/>
  <c r="AE91"/>
  <c r="AF91"/>
  <c r="AG91"/>
  <c r="P92"/>
  <c r="W92"/>
  <c r="AA92"/>
  <c r="AB92"/>
  <c r="AD92"/>
  <c r="AE92"/>
  <c r="AF92"/>
  <c r="AG92"/>
  <c r="P93"/>
  <c r="W93"/>
  <c r="AA93"/>
  <c r="AB93"/>
  <c r="AD93"/>
  <c r="AE93"/>
  <c r="AF93"/>
  <c r="AG93"/>
  <c r="P94"/>
  <c r="W94"/>
  <c r="AA94"/>
  <c r="AB94"/>
  <c r="AD94"/>
  <c r="AE94"/>
  <c r="AF94"/>
  <c r="AG94"/>
  <c r="P95"/>
  <c r="W95"/>
  <c r="AA95"/>
  <c r="AB95"/>
  <c r="AD95"/>
  <c r="AE95"/>
  <c r="AF95"/>
  <c r="AG95"/>
  <c r="P96"/>
  <c r="W96"/>
  <c r="AA96"/>
  <c r="AB96"/>
  <c r="AD96"/>
  <c r="AE96"/>
  <c r="AF96"/>
  <c r="AG96"/>
  <c r="P97"/>
  <c r="W97"/>
  <c r="AA97"/>
  <c r="AB97"/>
  <c r="AD97"/>
  <c r="AE97"/>
  <c r="AF97"/>
  <c r="AG97"/>
  <c r="P98"/>
  <c r="W98"/>
  <c r="AA98"/>
  <c r="AB98"/>
  <c r="AD98"/>
  <c r="AE98"/>
  <c r="AF98"/>
  <c r="AG98"/>
  <c r="P99"/>
  <c r="W99"/>
  <c r="AA99"/>
  <c r="AB99"/>
  <c r="AD99"/>
  <c r="AE99"/>
  <c r="AF99"/>
  <c r="AG99"/>
  <c r="P100"/>
  <c r="W100"/>
  <c r="AA100"/>
  <c r="AB100"/>
  <c r="AD100"/>
  <c r="AE100"/>
  <c r="AF100"/>
  <c r="AG100"/>
  <c r="P101"/>
  <c r="W101"/>
  <c r="AA101"/>
  <c r="AB101"/>
  <c r="AD101"/>
  <c r="AE101"/>
  <c r="AF101"/>
  <c r="AG101"/>
  <c r="P102"/>
  <c r="W102"/>
  <c r="AA102"/>
  <c r="AB102"/>
  <c r="AD102"/>
  <c r="AE102"/>
  <c r="AF102"/>
  <c r="AG102"/>
  <c r="P103"/>
  <c r="W103"/>
  <c r="AA103"/>
  <c r="AB103"/>
  <c r="AD103"/>
  <c r="AE103"/>
  <c r="AF103"/>
  <c r="AG103"/>
  <c r="P104"/>
  <c r="W104"/>
  <c r="AA104"/>
  <c r="AB104"/>
  <c r="AD104"/>
  <c r="AE104"/>
  <c r="AF104"/>
  <c r="AG104"/>
  <c r="P105"/>
  <c r="W105"/>
  <c r="AA105"/>
  <c r="AB105"/>
  <c r="AD105"/>
  <c r="AE105"/>
  <c r="AF105"/>
  <c r="AG105"/>
  <c r="P106"/>
  <c r="W106"/>
  <c r="AA106"/>
  <c r="AB106"/>
  <c r="AD106"/>
  <c r="AE106"/>
  <c r="AF106"/>
  <c r="AG106"/>
  <c r="P107"/>
  <c r="W107"/>
  <c r="AA107"/>
  <c r="AB107"/>
  <c r="AD107"/>
  <c r="AE107"/>
  <c r="AF107"/>
  <c r="AG107"/>
  <c r="P108"/>
  <c r="W108"/>
  <c r="AA108"/>
  <c r="AB108"/>
  <c r="AD108"/>
  <c r="AE108"/>
  <c r="AF108"/>
  <c r="AG108"/>
  <c r="P109"/>
  <c r="W109"/>
  <c r="AA109"/>
  <c r="AB109"/>
  <c r="AD109"/>
  <c r="AE109"/>
  <c r="AF109"/>
  <c r="AG109"/>
  <c r="P110"/>
  <c r="W110"/>
  <c r="AA110"/>
  <c r="AB110"/>
  <c r="AD110"/>
  <c r="AE110"/>
  <c r="AF110"/>
  <c r="AG110"/>
  <c r="P111"/>
  <c r="W111"/>
  <c r="AA111"/>
  <c r="AB111"/>
  <c r="AD111"/>
  <c r="AE111"/>
  <c r="AF111"/>
  <c r="AG111"/>
  <c r="P112"/>
  <c r="W112"/>
  <c r="AA112"/>
  <c r="AB112"/>
  <c r="AD112"/>
  <c r="AE112"/>
  <c r="AF112"/>
  <c r="AG112"/>
  <c r="P113"/>
  <c r="W113"/>
  <c r="AA113"/>
  <c r="AB113"/>
  <c r="AD113"/>
  <c r="AE113"/>
  <c r="AF113"/>
  <c r="AG113"/>
  <c r="P114"/>
  <c r="W114"/>
  <c r="AA114"/>
  <c r="AB114"/>
  <c r="AD114"/>
  <c r="AE114"/>
  <c r="AF114"/>
  <c r="AG114"/>
  <c r="P115"/>
  <c r="W115"/>
  <c r="AA115"/>
  <c r="AB115"/>
  <c r="AD115"/>
  <c r="AE115"/>
  <c r="AF115"/>
  <c r="AG115"/>
  <c r="P116"/>
  <c r="W116"/>
  <c r="AA116"/>
  <c r="AB116"/>
  <c r="AD116"/>
  <c r="AE116"/>
  <c r="AF116"/>
  <c r="AG116"/>
  <c r="P117"/>
  <c r="W117"/>
  <c r="AA117"/>
  <c r="AB117"/>
  <c r="AD117"/>
  <c r="AE117"/>
  <c r="AF117"/>
  <c r="AG117"/>
  <c r="P118"/>
  <c r="W118"/>
  <c r="AA118"/>
  <c r="AB118"/>
  <c r="AD118"/>
  <c r="AE118"/>
  <c r="AF118"/>
  <c r="AG118"/>
  <c r="P119"/>
  <c r="W119"/>
  <c r="AA119"/>
  <c r="AB119"/>
  <c r="AD119"/>
  <c r="AE119"/>
  <c r="AF119"/>
  <c r="AG119"/>
  <c r="P120"/>
  <c r="W120"/>
  <c r="AA120"/>
  <c r="AB120"/>
  <c r="AD120"/>
  <c r="AE120"/>
  <c r="AF120"/>
  <c r="AG120"/>
  <c r="P121"/>
  <c r="W121"/>
  <c r="AA121"/>
  <c r="AB121"/>
  <c r="AD121"/>
  <c r="AE121"/>
  <c r="AF121"/>
  <c r="AG121"/>
  <c r="P122"/>
  <c r="W122"/>
  <c r="AA122"/>
  <c r="AB122"/>
  <c r="AD122"/>
  <c r="AE122"/>
  <c r="AF122"/>
  <c r="AG122"/>
  <c r="P123"/>
  <c r="W123"/>
  <c r="AA123"/>
  <c r="AB123"/>
  <c r="AD123"/>
  <c r="AE123"/>
  <c r="AF123"/>
  <c r="AG123"/>
  <c r="P124"/>
  <c r="W124"/>
  <c r="AA124"/>
  <c r="AB124"/>
  <c r="AD124"/>
  <c r="AE124"/>
  <c r="AF124"/>
  <c r="AG124"/>
  <c r="P125"/>
  <c r="W125"/>
  <c r="AA125"/>
  <c r="AB125"/>
  <c r="AD125"/>
  <c r="AE125"/>
  <c r="AF125"/>
  <c r="AG125"/>
  <c r="P126"/>
  <c r="W126"/>
  <c r="AA126"/>
  <c r="AB126"/>
  <c r="AD126"/>
  <c r="AE126"/>
  <c r="AF126"/>
  <c r="AG126"/>
  <c r="P127"/>
  <c r="W127"/>
  <c r="AA127"/>
  <c r="AB127"/>
  <c r="AD127"/>
  <c r="AE127"/>
  <c r="AF127"/>
  <c r="AG127"/>
  <c r="P128"/>
  <c r="W128"/>
  <c r="AA128"/>
  <c r="AB128"/>
  <c r="AD128"/>
  <c r="AE128"/>
  <c r="AF128"/>
  <c r="AG128"/>
  <c r="P129"/>
  <c r="W129"/>
  <c r="AA129"/>
  <c r="AB129"/>
  <c r="AD129"/>
  <c r="AE129"/>
  <c r="AF129"/>
  <c r="AG129"/>
  <c r="P130"/>
  <c r="W130"/>
  <c r="AA130"/>
  <c r="AB130"/>
  <c r="AD130"/>
  <c r="AE130"/>
  <c r="AF130"/>
  <c r="AG130"/>
  <c r="P131"/>
  <c r="W131"/>
  <c r="AA131"/>
  <c r="AB131"/>
  <c r="AD131"/>
  <c r="AE131"/>
  <c r="AF131"/>
  <c r="AG131"/>
  <c r="P132"/>
  <c r="W132"/>
  <c r="AA132"/>
  <c r="AB132"/>
  <c r="AD132"/>
  <c r="AE132"/>
  <c r="AF132"/>
  <c r="AG132"/>
  <c r="P133"/>
  <c r="W133"/>
  <c r="AA133"/>
  <c r="AB133"/>
  <c r="AD133"/>
  <c r="AE133"/>
  <c r="AF133"/>
  <c r="AG133"/>
  <c r="P134"/>
  <c r="W134"/>
  <c r="AA134"/>
  <c r="AB134"/>
  <c r="AD134"/>
  <c r="AE134"/>
  <c r="AF134"/>
  <c r="AG134"/>
  <c r="P135"/>
  <c r="W135"/>
  <c r="AA135"/>
  <c r="AB135"/>
  <c r="AD135"/>
  <c r="AE135"/>
  <c r="AF135"/>
  <c r="AG135"/>
  <c r="P136"/>
  <c r="W136"/>
  <c r="AA136"/>
  <c r="AB136"/>
  <c r="AD136"/>
  <c r="AE136"/>
  <c r="AF136"/>
  <c r="AG136"/>
  <c r="P137"/>
  <c r="W137"/>
  <c r="AA137"/>
  <c r="AB137"/>
  <c r="AD137"/>
  <c r="AE137"/>
  <c r="AF137"/>
  <c r="AG137"/>
  <c r="P138"/>
  <c r="W138"/>
  <c r="AA138"/>
  <c r="AB138"/>
  <c r="AD138"/>
  <c r="AE138"/>
  <c r="AF138"/>
  <c r="AG138"/>
  <c r="P139"/>
  <c r="W139"/>
  <c r="AA139"/>
  <c r="AB139"/>
  <c r="AD139"/>
  <c r="AE139"/>
  <c r="AF139"/>
  <c r="AG139"/>
  <c r="P140"/>
  <c r="W140"/>
  <c r="AA140"/>
  <c r="AB140"/>
  <c r="AD140"/>
  <c r="AE140"/>
  <c r="AF140"/>
  <c r="AG140"/>
  <c r="P141"/>
  <c r="W141"/>
  <c r="AA141"/>
  <c r="AB141"/>
  <c r="AD141"/>
  <c r="AE141"/>
  <c r="AF141"/>
  <c r="AG141"/>
  <c r="P142"/>
  <c r="W142"/>
  <c r="AA142"/>
  <c r="AB142"/>
  <c r="AD142"/>
  <c r="AE142"/>
  <c r="AF142"/>
  <c r="AG142"/>
  <c r="P143"/>
  <c r="W143"/>
  <c r="AA143"/>
  <c r="AB143"/>
  <c r="AD143"/>
  <c r="AE143"/>
  <c r="AF143"/>
  <c r="AG143"/>
  <c r="P144"/>
  <c r="W144"/>
  <c r="AA144"/>
  <c r="AB144"/>
  <c r="AD144"/>
  <c r="AE144"/>
  <c r="AF144"/>
  <c r="AG144"/>
  <c r="P145"/>
  <c r="W145"/>
  <c r="AA145"/>
  <c r="AB145"/>
  <c r="AD145"/>
  <c r="AE145"/>
  <c r="AF145"/>
  <c r="AG145"/>
  <c r="P146"/>
  <c r="W146"/>
  <c r="AA146"/>
  <c r="AB146"/>
  <c r="AD146"/>
  <c r="AE146"/>
  <c r="AF146"/>
  <c r="AG146"/>
  <c r="P147"/>
  <c r="W147"/>
  <c r="AA147"/>
  <c r="AB147"/>
  <c r="AD147"/>
  <c r="AE147"/>
  <c r="AF147"/>
  <c r="AG147"/>
  <c r="P148"/>
  <c r="W148"/>
  <c r="AA148"/>
  <c r="AB148"/>
  <c r="AD148"/>
  <c r="AE148"/>
  <c r="AF148"/>
  <c r="AG148"/>
  <c r="P149"/>
  <c r="W149"/>
  <c r="AA149"/>
  <c r="AB149"/>
  <c r="AD149"/>
  <c r="AE149"/>
  <c r="AF149"/>
  <c r="AG149"/>
  <c r="P150"/>
  <c r="W150"/>
  <c r="AA150"/>
  <c r="AB150"/>
  <c r="AD150"/>
  <c r="AE150"/>
  <c r="AF150"/>
  <c r="AG150"/>
  <c r="P151"/>
  <c r="W151"/>
  <c r="AA151"/>
  <c r="AB151"/>
  <c r="AD151"/>
  <c r="AE151"/>
  <c r="AF151"/>
  <c r="AG151"/>
  <c r="P152"/>
  <c r="W152"/>
  <c r="AA152"/>
  <c r="AB152"/>
  <c r="AD152"/>
  <c r="AE152"/>
  <c r="AF152"/>
  <c r="AG152"/>
  <c r="P153"/>
  <c r="W153"/>
  <c r="AA153"/>
  <c r="AB153"/>
  <c r="AD153"/>
  <c r="AE153"/>
  <c r="AF153"/>
  <c r="AG153"/>
  <c r="P154"/>
  <c r="W154"/>
  <c r="AA154"/>
  <c r="AB154"/>
  <c r="AD154"/>
  <c r="AE154"/>
  <c r="AF154"/>
  <c r="AG154"/>
  <c r="P155"/>
  <c r="W155"/>
  <c r="AA155"/>
  <c r="AB155"/>
  <c r="AD155"/>
  <c r="AE155"/>
  <c r="AF155"/>
  <c r="AG155"/>
  <c r="P156"/>
  <c r="W156"/>
  <c r="AA156"/>
  <c r="AB156"/>
  <c r="AD156"/>
  <c r="AE156"/>
  <c r="AF156"/>
  <c r="AG156"/>
  <c r="P157"/>
  <c r="W157"/>
  <c r="AA157"/>
  <c r="AB157"/>
  <c r="AD157"/>
  <c r="AE157"/>
  <c r="AF157"/>
  <c r="AG157"/>
  <c r="P158"/>
  <c r="W158"/>
  <c r="AA158"/>
  <c r="AB158"/>
  <c r="AE158"/>
  <c r="AF158"/>
  <c r="AG158"/>
  <c r="P159"/>
  <c r="W159"/>
  <c r="AA159"/>
  <c r="AB159"/>
  <c r="AE159"/>
  <c r="AF159"/>
  <c r="AG159"/>
  <c r="P160"/>
  <c r="W160"/>
  <c r="AA160"/>
  <c r="AB160"/>
  <c r="AD160"/>
  <c r="AE160"/>
  <c r="AF160"/>
  <c r="AG160"/>
  <c r="P161"/>
  <c r="W161"/>
  <c r="AA161"/>
  <c r="AB161"/>
  <c r="AD161"/>
  <c r="AE161"/>
  <c r="AF161"/>
  <c r="AG161"/>
  <c r="P162"/>
  <c r="W162"/>
  <c r="AA162"/>
  <c r="AB162"/>
  <c r="AD162"/>
  <c r="AE162"/>
  <c r="AF162"/>
  <c r="AG162"/>
  <c r="P163"/>
  <c r="W163"/>
  <c r="AA163"/>
  <c r="AB163"/>
  <c r="AD163"/>
  <c r="AE163"/>
  <c r="AF163"/>
  <c r="AG163"/>
  <c r="P164"/>
  <c r="W164"/>
  <c r="AA164"/>
  <c r="AB164"/>
  <c r="AD164"/>
  <c r="AE164"/>
  <c r="AF164"/>
  <c r="AG164"/>
  <c r="P165"/>
  <c r="W165"/>
  <c r="AA165"/>
  <c r="AB165"/>
  <c r="AD165"/>
  <c r="AE165"/>
  <c r="AF165"/>
  <c r="AG165"/>
  <c r="P166"/>
  <c r="W166"/>
  <c r="AA166"/>
  <c r="AB166"/>
  <c r="AD166"/>
  <c r="AE166"/>
  <c r="AF166"/>
  <c r="AG166"/>
  <c r="P167"/>
  <c r="W167"/>
  <c r="AA167"/>
  <c r="AB167"/>
  <c r="AD167"/>
  <c r="AE167"/>
  <c r="AF167"/>
  <c r="AG167"/>
  <c r="P168"/>
  <c r="W168"/>
  <c r="AA168"/>
  <c r="AB168"/>
  <c r="AD168"/>
  <c r="AE168"/>
  <c r="AF168"/>
  <c r="AG168"/>
  <c r="P169"/>
  <c r="W169"/>
  <c r="AA169"/>
  <c r="AB169"/>
  <c r="AD169"/>
  <c r="AE169"/>
  <c r="AF169"/>
  <c r="AG169"/>
  <c r="P170"/>
  <c r="W170"/>
  <c r="AA170"/>
  <c r="AB170"/>
  <c r="AE170"/>
  <c r="AF170"/>
  <c r="AG170"/>
  <c r="P171"/>
  <c r="W171"/>
  <c r="AA171"/>
  <c r="AB171"/>
  <c r="AE171"/>
  <c r="AF171"/>
  <c r="AG171"/>
  <c r="P172"/>
  <c r="W172"/>
  <c r="AA172"/>
  <c r="AB172"/>
  <c r="AE172"/>
  <c r="AF172"/>
  <c r="AG172"/>
  <c r="P173"/>
  <c r="W173"/>
  <c r="AA173"/>
  <c r="AB173"/>
  <c r="AE173"/>
  <c r="AF173"/>
  <c r="AG173"/>
  <c r="P174"/>
  <c r="W174"/>
  <c r="AA174"/>
  <c r="AB174"/>
  <c r="AE174"/>
  <c r="AF174"/>
  <c r="AG174"/>
  <c r="P175"/>
  <c r="W175"/>
  <c r="AA175"/>
  <c r="AB175"/>
  <c r="AE175"/>
  <c r="AF175"/>
  <c r="AG175"/>
  <c r="P176"/>
  <c r="W176"/>
  <c r="AA176"/>
  <c r="AB176"/>
  <c r="AE176"/>
  <c r="AF176"/>
  <c r="AG176"/>
  <c r="P177"/>
  <c r="W177"/>
  <c r="AA177"/>
  <c r="AB177"/>
  <c r="AE177"/>
  <c r="AF177"/>
  <c r="AG177"/>
  <c r="P178"/>
  <c r="W178"/>
  <c r="AA178"/>
  <c r="AB178"/>
  <c r="AE178"/>
  <c r="AF178"/>
  <c r="AG178"/>
  <c r="P179"/>
  <c r="W179"/>
  <c r="AA179"/>
  <c r="AB179"/>
  <c r="AE179"/>
  <c r="AF179"/>
  <c r="AG179"/>
  <c r="P180"/>
  <c r="W180"/>
  <c r="AA180"/>
  <c r="AB180"/>
  <c r="AE180"/>
  <c r="AF180"/>
  <c r="AG180"/>
  <c r="P181"/>
  <c r="W181"/>
  <c r="AA181"/>
  <c r="AB181"/>
  <c r="AE181"/>
  <c r="AF181"/>
  <c r="AG181"/>
  <c r="P182"/>
  <c r="W182"/>
  <c r="AA182"/>
  <c r="AB182"/>
  <c r="AE182"/>
  <c r="AF182"/>
  <c r="AG182"/>
  <c r="P183"/>
  <c r="W183"/>
  <c r="AA183"/>
  <c r="AB183"/>
  <c r="AE183"/>
  <c r="AF183"/>
  <c r="AG183"/>
  <c r="P184"/>
  <c r="W184"/>
  <c r="AA184"/>
  <c r="AB184"/>
  <c r="AE184"/>
  <c r="AF184"/>
  <c r="AG184"/>
  <c r="P185"/>
  <c r="W185"/>
  <c r="AA185"/>
  <c r="AB185"/>
  <c r="AE185"/>
  <c r="AF185"/>
  <c r="AG185"/>
  <c r="P186"/>
  <c r="W186"/>
  <c r="AA186"/>
  <c r="AB186"/>
  <c r="AE186"/>
  <c r="AF186"/>
  <c r="AG186"/>
  <c r="P187"/>
  <c r="W187"/>
  <c r="AA187"/>
  <c r="AB187"/>
  <c r="AE187"/>
  <c r="AF187"/>
  <c r="AG187"/>
  <c r="P188"/>
  <c r="W188"/>
  <c r="AA188"/>
  <c r="AB188"/>
  <c r="AE188"/>
  <c r="AF188"/>
  <c r="AG188"/>
  <c r="P189"/>
  <c r="W189"/>
  <c r="AA189"/>
  <c r="AB189"/>
  <c r="AE189"/>
  <c r="AF189"/>
  <c r="AG189"/>
  <c r="P190"/>
  <c r="W190"/>
  <c r="AA190"/>
  <c r="AB190"/>
  <c r="AE190"/>
  <c r="AF190"/>
  <c r="AG190"/>
  <c r="P191"/>
  <c r="W191"/>
  <c r="AA191"/>
  <c r="AB191"/>
  <c r="AE191"/>
  <c r="AF191"/>
  <c r="AG191"/>
  <c r="P192"/>
  <c r="W192"/>
  <c r="AA192"/>
  <c r="AB192"/>
  <c r="AE192"/>
  <c r="AF192"/>
  <c r="AG192"/>
  <c r="P193"/>
  <c r="W193"/>
  <c r="AA193"/>
  <c r="AB193"/>
  <c r="AE193"/>
  <c r="AF193"/>
  <c r="AG193"/>
  <c r="P194"/>
  <c r="W194"/>
  <c r="AA194"/>
  <c r="AB194"/>
  <c r="AE194"/>
  <c r="AF194"/>
  <c r="AG194"/>
  <c r="P195"/>
  <c r="W195"/>
  <c r="AA195"/>
  <c r="AB195"/>
  <c r="AE195"/>
  <c r="AF195"/>
  <c r="AG195"/>
  <c r="P196"/>
  <c r="W196"/>
  <c r="AA196"/>
  <c r="AB196"/>
  <c r="AE196"/>
  <c r="AF196"/>
  <c r="AG196"/>
  <c r="P197"/>
  <c r="W197"/>
  <c r="AA197"/>
  <c r="AB197"/>
  <c r="AE197"/>
  <c r="AF197"/>
  <c r="AG197"/>
  <c r="P198"/>
  <c r="W198"/>
  <c r="AA198"/>
  <c r="AB198"/>
  <c r="AE198"/>
  <c r="AF198"/>
  <c r="AG198"/>
  <c r="P199"/>
  <c r="W199"/>
  <c r="AA199"/>
  <c r="AB199"/>
  <c r="AE199"/>
  <c r="AF199"/>
  <c r="AG199"/>
  <c r="P200"/>
  <c r="W200"/>
  <c r="AA200"/>
  <c r="AB200"/>
  <c r="AE200"/>
  <c r="AF200"/>
  <c r="AG200"/>
  <c r="P201"/>
  <c r="W201"/>
  <c r="AA201"/>
  <c r="AB201"/>
  <c r="AE201"/>
  <c r="AF201"/>
  <c r="AG201"/>
  <c r="P202"/>
  <c r="W202"/>
  <c r="AA202"/>
  <c r="AB202"/>
  <c r="AE202"/>
  <c r="AF202"/>
  <c r="AG202"/>
  <c r="P203"/>
  <c r="W203"/>
  <c r="AA203"/>
  <c r="AB203"/>
  <c r="AE203"/>
  <c r="AF203"/>
  <c r="AG203"/>
  <c r="P204"/>
  <c r="W204"/>
  <c r="AA204"/>
  <c r="AB204"/>
  <c r="AE204"/>
  <c r="AF204"/>
  <c r="AG204"/>
  <c r="P205"/>
  <c r="W205"/>
  <c r="AA205"/>
  <c r="AB205"/>
  <c r="AE205"/>
  <c r="AF205"/>
  <c r="AG205"/>
  <c r="P206"/>
  <c r="W206"/>
  <c r="AA206"/>
  <c r="AB206"/>
  <c r="AE206"/>
  <c r="AF206"/>
  <c r="AG206"/>
  <c r="P207"/>
  <c r="W207"/>
  <c r="AA207"/>
  <c r="AB207"/>
  <c r="AE207"/>
  <c r="AF207"/>
  <c r="AG207"/>
  <c r="P208"/>
  <c r="W208"/>
  <c r="AA208"/>
  <c r="AB208"/>
  <c r="AE208"/>
  <c r="AF208"/>
  <c r="AG208"/>
  <c r="P209"/>
  <c r="W209"/>
  <c r="AA209"/>
  <c r="AB209"/>
  <c r="AE209"/>
  <c r="AF209"/>
  <c r="AG209"/>
  <c r="P210"/>
  <c r="W210"/>
  <c r="AA210"/>
  <c r="AB210"/>
  <c r="AE210"/>
  <c r="AF210"/>
  <c r="AG210"/>
  <c r="P211"/>
  <c r="W211"/>
  <c r="AA211"/>
  <c r="AB211"/>
  <c r="AE211"/>
  <c r="AF211"/>
  <c r="AG211"/>
  <c r="P212"/>
  <c r="W212"/>
  <c r="AA212"/>
  <c r="AB212"/>
  <c r="AE212"/>
  <c r="AF212"/>
  <c r="AG212"/>
  <c r="P213"/>
  <c r="W213"/>
  <c r="AA213"/>
  <c r="AB213"/>
  <c r="AE213"/>
  <c r="AF213"/>
  <c r="AG213"/>
  <c r="P214"/>
  <c r="W214"/>
  <c r="AA214"/>
  <c r="AB214"/>
  <c r="AE214"/>
  <c r="AF214"/>
  <c r="AG214"/>
  <c r="P215"/>
  <c r="W215"/>
  <c r="AA215"/>
  <c r="AB215"/>
  <c r="AE215"/>
  <c r="AF215"/>
  <c r="AG215"/>
  <c r="P216"/>
  <c r="W216"/>
  <c r="AA216"/>
  <c r="AB216"/>
  <c r="AE216"/>
  <c r="AF216"/>
  <c r="AG216"/>
  <c r="P217"/>
  <c r="W217"/>
  <c r="AA217"/>
  <c r="AB217"/>
  <c r="AD217"/>
  <c r="AE217"/>
  <c r="AF217"/>
  <c r="AG217"/>
  <c r="P218"/>
  <c r="W218"/>
  <c r="AA218"/>
  <c r="AB218"/>
  <c r="AD218"/>
  <c r="AE218"/>
  <c r="AF218"/>
  <c r="AG218"/>
  <c r="P219"/>
  <c r="W219"/>
  <c r="AA219"/>
  <c r="AB219"/>
  <c r="AD219"/>
  <c r="AE219"/>
  <c r="AF219"/>
  <c r="AG219"/>
  <c r="P220"/>
  <c r="W220"/>
  <c r="AA220"/>
  <c r="AB220"/>
  <c r="AD220"/>
  <c r="AE220"/>
  <c r="AF220"/>
  <c r="AG220"/>
  <c r="P221"/>
  <c r="W221"/>
  <c r="AA221"/>
  <c r="AB221"/>
  <c r="AE221"/>
  <c r="AF221"/>
  <c r="AG221"/>
  <c r="P222"/>
  <c r="W222"/>
  <c r="AA222"/>
  <c r="AB222"/>
  <c r="AE222"/>
  <c r="AF222"/>
  <c r="AG222"/>
  <c r="P223"/>
  <c r="W223"/>
  <c r="AA223"/>
  <c r="AB223"/>
  <c r="AE223"/>
  <c r="AF223"/>
  <c r="AG223"/>
  <c r="P224"/>
  <c r="W224"/>
  <c r="AA224"/>
  <c r="AB224"/>
  <c r="AE224"/>
  <c r="AF224"/>
  <c r="AG224"/>
  <c r="P225"/>
  <c r="W225"/>
  <c r="AA225"/>
  <c r="AB225"/>
  <c r="AE225"/>
  <c r="AF225"/>
  <c r="AG225"/>
  <c r="P226"/>
  <c r="W226"/>
  <c r="AA226"/>
  <c r="AB226"/>
  <c r="AE226"/>
  <c r="AF226"/>
  <c r="AG226"/>
  <c r="P227"/>
  <c r="W227"/>
  <c r="AA227"/>
  <c r="AB227"/>
  <c r="AE227"/>
  <c r="AF227"/>
  <c r="AG227"/>
  <c r="P228"/>
  <c r="W228"/>
  <c r="AA228"/>
  <c r="AB228"/>
  <c r="AE228"/>
  <c r="AF228"/>
  <c r="AG228"/>
  <c r="P229"/>
  <c r="W229"/>
  <c r="AA229"/>
  <c r="AB229"/>
  <c r="AE229"/>
  <c r="AF229"/>
  <c r="AG229"/>
  <c r="P230"/>
  <c r="W230"/>
  <c r="AA230"/>
  <c r="AB230"/>
  <c r="AE230"/>
  <c r="AF230"/>
  <c r="AG230"/>
  <c r="P231"/>
  <c r="W231"/>
  <c r="AA231"/>
  <c r="AB231"/>
  <c r="AE231"/>
  <c r="AF231"/>
  <c r="AG231"/>
  <c r="P232"/>
  <c r="W232"/>
  <c r="AA232"/>
  <c r="AB232"/>
  <c r="AE232"/>
  <c r="AF232"/>
  <c r="AG232"/>
  <c r="P233"/>
  <c r="W233"/>
  <c r="AA233"/>
  <c r="AB233"/>
  <c r="AE233"/>
  <c r="AF233"/>
  <c r="AG233"/>
  <c r="P234"/>
  <c r="W234"/>
  <c r="AA234"/>
  <c r="AB234"/>
  <c r="AE234"/>
  <c r="AF234"/>
  <c r="AG234"/>
  <c r="P235"/>
  <c r="W235"/>
  <c r="AA235"/>
  <c r="AB235"/>
  <c r="AE235"/>
  <c r="AF235"/>
  <c r="AG235"/>
  <c r="P236"/>
  <c r="W236"/>
  <c r="AA236"/>
  <c r="AB236"/>
  <c r="AE236"/>
  <c r="AF236"/>
  <c r="AG236"/>
  <c r="P237"/>
  <c r="W237"/>
  <c r="AA237"/>
  <c r="AB237"/>
  <c r="AE237"/>
  <c r="AF237"/>
  <c r="AG237"/>
  <c r="P238"/>
  <c r="W238"/>
  <c r="AA238"/>
  <c r="AB238"/>
  <c r="AE238"/>
  <c r="AF238"/>
  <c r="AG238"/>
  <c r="P239"/>
  <c r="W239"/>
  <c r="AA239"/>
  <c r="AB239"/>
  <c r="AE239"/>
  <c r="AF239"/>
  <c r="AG239"/>
  <c r="P240"/>
  <c r="W240"/>
  <c r="AA240"/>
  <c r="AB240"/>
  <c r="AE240"/>
  <c r="AF240"/>
  <c r="AG240"/>
  <c r="P241"/>
  <c r="W241"/>
  <c r="AA241"/>
  <c r="AB241"/>
  <c r="AE241"/>
  <c r="AF241"/>
  <c r="AG241"/>
  <c r="P242"/>
  <c r="W242"/>
  <c r="AA242"/>
  <c r="AB242"/>
  <c r="AD242"/>
  <c r="AE242"/>
  <c r="AF242"/>
  <c r="AG242"/>
  <c r="P243"/>
  <c r="W243"/>
  <c r="AA243"/>
  <c r="AB243"/>
  <c r="AD243"/>
  <c r="AE243"/>
  <c r="AF243"/>
  <c r="AG243"/>
  <c r="P244"/>
  <c r="W244"/>
  <c r="AA244"/>
  <c r="AB244"/>
  <c r="AD244"/>
  <c r="AE244"/>
  <c r="AF244"/>
  <c r="AG244"/>
  <c r="P245"/>
  <c r="W245"/>
  <c r="AA245"/>
  <c r="AB245"/>
  <c r="AD245"/>
  <c r="AE245"/>
  <c r="AF245"/>
  <c r="AG245"/>
  <c r="P246"/>
  <c r="W246"/>
  <c r="AA246"/>
  <c r="AB246"/>
  <c r="AD246"/>
  <c r="AE246"/>
  <c r="AF246"/>
  <c r="AG246"/>
  <c r="P247"/>
  <c r="W247"/>
  <c r="AA247"/>
  <c r="AB247"/>
  <c r="AD247"/>
  <c r="AE247"/>
  <c r="AF247"/>
  <c r="AG247"/>
  <c r="P248"/>
  <c r="W248"/>
  <c r="AA248"/>
  <c r="AB248"/>
  <c r="AD248"/>
  <c r="AE248"/>
  <c r="AF248"/>
  <c r="AG248"/>
  <c r="P249"/>
  <c r="W249"/>
  <c r="AA249"/>
  <c r="AB249"/>
  <c r="AD249"/>
  <c r="AE249"/>
  <c r="AF249"/>
  <c r="AG249"/>
  <c r="P250"/>
  <c r="W250"/>
  <c r="AA250"/>
  <c r="AB250"/>
  <c r="AD250"/>
  <c r="AE250"/>
  <c r="AF250"/>
  <c r="AG250"/>
  <c r="P251"/>
  <c r="W251"/>
  <c r="AA251"/>
  <c r="AB251"/>
  <c r="AD251"/>
  <c r="AE251"/>
  <c r="AF251"/>
  <c r="AG251"/>
  <c r="P252"/>
  <c r="W252"/>
  <c r="AA252"/>
  <c r="AB252"/>
  <c r="AD252"/>
  <c r="AE252"/>
  <c r="AF252"/>
  <c r="AG252"/>
  <c r="P253"/>
  <c r="W253"/>
  <c r="AA253"/>
  <c r="AB253"/>
  <c r="AD253"/>
  <c r="AE253"/>
  <c r="AF253"/>
  <c r="AG253"/>
  <c r="P254"/>
  <c r="W254"/>
  <c r="AA254"/>
  <c r="AB254"/>
  <c r="AD254"/>
  <c r="AE254"/>
  <c r="AF254"/>
  <c r="AG254"/>
  <c r="P255"/>
  <c r="W255"/>
  <c r="AA255"/>
  <c r="AB255"/>
  <c r="AD255"/>
  <c r="AE255"/>
  <c r="AF255"/>
  <c r="AG255"/>
  <c r="P256"/>
  <c r="W256"/>
  <c r="AA256"/>
  <c r="AB256"/>
  <c r="AD256"/>
  <c r="AE256"/>
  <c r="AF256"/>
  <c r="AG256"/>
  <c r="P257"/>
  <c r="W257"/>
  <c r="AA257"/>
  <c r="AB257"/>
  <c r="AD257"/>
  <c r="AE257"/>
  <c r="AF257"/>
  <c r="AG257"/>
  <c r="P258"/>
  <c r="W258"/>
  <c r="AA258"/>
  <c r="AB258"/>
  <c r="AE258"/>
  <c r="AF258"/>
  <c r="AG258"/>
  <c r="P259"/>
  <c r="W259"/>
  <c r="AA259"/>
  <c r="AB259"/>
  <c r="AE259"/>
  <c r="AF259"/>
  <c r="AG259"/>
  <c r="P260"/>
  <c r="W260"/>
  <c r="AA260"/>
  <c r="AB260"/>
  <c r="AE260"/>
  <c r="AF260"/>
  <c r="AG260"/>
  <c r="P261"/>
  <c r="W261"/>
  <c r="AA261"/>
  <c r="AB261"/>
  <c r="AE261"/>
  <c r="AF261"/>
  <c r="AG261"/>
  <c r="P262"/>
  <c r="W262"/>
  <c r="AA262"/>
  <c r="AB262"/>
  <c r="AE262"/>
  <c r="AF262"/>
  <c r="AG262"/>
  <c r="P263"/>
  <c r="W263"/>
  <c r="AA263"/>
  <c r="AB263"/>
  <c r="AE263"/>
  <c r="AF263"/>
  <c r="AG263"/>
  <c r="P264"/>
  <c r="W264"/>
  <c r="AA264"/>
  <c r="AB264"/>
  <c r="AE264"/>
  <c r="AF264"/>
  <c r="AG264"/>
  <c r="P265"/>
  <c r="W265"/>
  <c r="AA265"/>
  <c r="AB265"/>
  <c r="AE265"/>
  <c r="AF265"/>
  <c r="AG265"/>
  <c r="P266"/>
  <c r="W266"/>
  <c r="AA266"/>
  <c r="AB266"/>
  <c r="AD266"/>
  <c r="AE266"/>
  <c r="AF266"/>
  <c r="AG266"/>
  <c r="P267"/>
  <c r="W267"/>
  <c r="AA267"/>
  <c r="AB267"/>
  <c r="AD267"/>
  <c r="AE267"/>
  <c r="AF267"/>
  <c r="AG267"/>
  <c r="P268"/>
  <c r="W268"/>
  <c r="AA268"/>
  <c r="AB268"/>
  <c r="AE268"/>
  <c r="AF268"/>
  <c r="AG268"/>
  <c r="P269"/>
  <c r="W269"/>
  <c r="AA269"/>
  <c r="AB269"/>
  <c r="AE269"/>
  <c r="AF269"/>
  <c r="AG269"/>
  <c r="P270"/>
  <c r="W270"/>
  <c r="AA270"/>
  <c r="AB270"/>
  <c r="AE270"/>
  <c r="AF270"/>
  <c r="AG270"/>
  <c r="P271"/>
  <c r="W271"/>
  <c r="AA271"/>
  <c r="AB271"/>
  <c r="AE271"/>
  <c r="AF271"/>
  <c r="AG271"/>
  <c r="P272"/>
  <c r="W272"/>
  <c r="AA272"/>
  <c r="AB272"/>
  <c r="AE272"/>
  <c r="AF272"/>
  <c r="AG272"/>
  <c r="P273"/>
  <c r="W273"/>
  <c r="AA273"/>
  <c r="AB273"/>
  <c r="AE273"/>
  <c r="AF273"/>
  <c r="AG273"/>
  <c r="P274"/>
  <c r="W274"/>
  <c r="AA274"/>
  <c r="AB274"/>
  <c r="AD274"/>
  <c r="AE274"/>
  <c r="AF274"/>
  <c r="P275"/>
  <c r="W275"/>
  <c r="AA275"/>
  <c r="AB275"/>
  <c r="AD275"/>
  <c r="AE275"/>
  <c r="AF275"/>
  <c r="P276"/>
  <c r="W276"/>
  <c r="AA276"/>
  <c r="AB276"/>
  <c r="AD276"/>
  <c r="AE276"/>
  <c r="AF276"/>
  <c r="P277"/>
  <c r="W277"/>
  <c r="AA277"/>
  <c r="AB277"/>
  <c r="AD277"/>
  <c r="AE277"/>
  <c r="AF277"/>
  <c r="P278"/>
  <c r="W278"/>
  <c r="AA278"/>
  <c r="AB278"/>
  <c r="AD278"/>
  <c r="AE278"/>
  <c r="AF278"/>
  <c r="P279"/>
  <c r="W279"/>
  <c r="AA279"/>
  <c r="AB279"/>
  <c r="AD279"/>
  <c r="AE279"/>
  <c r="AF279"/>
  <c r="P280"/>
  <c r="W280"/>
  <c r="AA280"/>
  <c r="AB280"/>
  <c r="AD280"/>
  <c r="AE280"/>
  <c r="AF280"/>
  <c r="P281"/>
  <c r="W281"/>
  <c r="AA281"/>
  <c r="AB281"/>
  <c r="AD281"/>
  <c r="AE281"/>
  <c r="AF281"/>
  <c r="P282"/>
  <c r="W282"/>
  <c r="AA282"/>
  <c r="AB282"/>
  <c r="AD282"/>
  <c r="AE282"/>
  <c r="AF282"/>
  <c r="P283"/>
  <c r="W283"/>
  <c r="AA283"/>
  <c r="AB283"/>
  <c r="AD283"/>
  <c r="AE283"/>
  <c r="AF283"/>
  <c r="P284"/>
  <c r="W284"/>
  <c r="AA284"/>
  <c r="AB284"/>
  <c r="AD284"/>
  <c r="AE284"/>
  <c r="AF284"/>
  <c r="P285"/>
  <c r="W285"/>
  <c r="AA285"/>
  <c r="AB285"/>
  <c r="AD285"/>
  <c r="AE285"/>
  <c r="AF285"/>
  <c r="P286"/>
  <c r="W286"/>
  <c r="AA286"/>
  <c r="AB286"/>
  <c r="AD286"/>
  <c r="AE286"/>
  <c r="AF286"/>
  <c r="P287"/>
  <c r="W287"/>
  <c r="AA287"/>
  <c r="AB287"/>
  <c r="AD287"/>
  <c r="AE287"/>
  <c r="AF287"/>
  <c r="P288"/>
  <c r="W288"/>
  <c r="AA288"/>
  <c r="AB288"/>
  <c r="AD288"/>
  <c r="AE288"/>
  <c r="AF288"/>
  <c r="P289"/>
  <c r="W289"/>
  <c r="AA289"/>
  <c r="AB289"/>
  <c r="AD289"/>
  <c r="AE289"/>
  <c r="AF289"/>
  <c r="P290"/>
  <c r="W290"/>
  <c r="AA290"/>
  <c r="AB290"/>
  <c r="AD290"/>
  <c r="AE290"/>
  <c r="AF290"/>
  <c r="P291"/>
  <c r="W291"/>
  <c r="AA291"/>
  <c r="AB291"/>
  <c r="AD291"/>
  <c r="AE291"/>
  <c r="AF291"/>
  <c r="P292"/>
  <c r="W292"/>
  <c r="AA292"/>
  <c r="AB292"/>
  <c r="AD292"/>
  <c r="AE292"/>
  <c r="AF292"/>
  <c r="P293"/>
  <c r="W293"/>
  <c r="AA293"/>
  <c r="AB293"/>
  <c r="AD293"/>
  <c r="AE293"/>
  <c r="AF293"/>
  <c r="P294"/>
  <c r="W294"/>
  <c r="AA294"/>
  <c r="AB294"/>
  <c r="AD294"/>
  <c r="AE294"/>
  <c r="AF294"/>
  <c r="P295"/>
  <c r="W295"/>
  <c r="AA295"/>
  <c r="AB295"/>
  <c r="AD295"/>
  <c r="AE295"/>
  <c r="AF295"/>
  <c r="P296"/>
  <c r="W296"/>
  <c r="AA296"/>
  <c r="AB296"/>
  <c r="AD296"/>
  <c r="AE296"/>
  <c r="AF296"/>
  <c r="P297"/>
  <c r="W297"/>
  <c r="AA297"/>
  <c r="AB297"/>
  <c r="AD297"/>
  <c r="AE297"/>
  <c r="AF297"/>
  <c r="P298"/>
  <c r="W298"/>
  <c r="AA298"/>
  <c r="AB298"/>
  <c r="AD298"/>
  <c r="AE298"/>
  <c r="AF298"/>
  <c r="P299"/>
  <c r="W299"/>
  <c r="AA299"/>
  <c r="AB299"/>
  <c r="AD299"/>
  <c r="AE299"/>
  <c r="AF299"/>
  <c r="P300"/>
  <c r="W300"/>
  <c r="AA300"/>
  <c r="AB300"/>
  <c r="AD300"/>
  <c r="AE300"/>
  <c r="AF300"/>
  <c r="P301"/>
  <c r="W301"/>
  <c r="AA301"/>
  <c r="AB301"/>
  <c r="AD301"/>
  <c r="AE301"/>
  <c r="AF301"/>
  <c r="P302"/>
  <c r="W302"/>
  <c r="AA302"/>
  <c r="AB302"/>
  <c r="AD302"/>
  <c r="AE302"/>
  <c r="AF302"/>
  <c r="P303"/>
  <c r="W303"/>
  <c r="AA303"/>
  <c r="AB303"/>
  <c r="AD303"/>
  <c r="AE303"/>
  <c r="AF303"/>
  <c r="P304"/>
  <c r="W304"/>
  <c r="AA304"/>
  <c r="AB304"/>
  <c r="AD304"/>
  <c r="AE304"/>
  <c r="AF304"/>
  <c r="AG304"/>
  <c r="P305"/>
  <c r="W305"/>
  <c r="AA305"/>
  <c r="AB305"/>
  <c r="AD305"/>
  <c r="AE305"/>
  <c r="AF305"/>
  <c r="AG305"/>
  <c r="P306"/>
  <c r="W306"/>
  <c r="AA306"/>
  <c r="AB306"/>
  <c r="AD306"/>
  <c r="AE306"/>
  <c r="AF306"/>
  <c r="P307"/>
  <c r="W307"/>
  <c r="AA307"/>
  <c r="AB307"/>
  <c r="AD307"/>
  <c r="AE307"/>
  <c r="AF307"/>
  <c r="P308"/>
  <c r="W308"/>
  <c r="AA308"/>
  <c r="AB308"/>
  <c r="AD308"/>
  <c r="AE308"/>
  <c r="AF308"/>
  <c r="P309"/>
  <c r="W309"/>
  <c r="AA309"/>
  <c r="AB309"/>
  <c r="AD309"/>
  <c r="AE309"/>
  <c r="AF309"/>
  <c r="P310"/>
  <c r="W310"/>
  <c r="AA310"/>
  <c r="AB310"/>
  <c r="AD310"/>
  <c r="AE310"/>
  <c r="AF310"/>
  <c r="P311"/>
  <c r="W311"/>
  <c r="AA311"/>
  <c r="AB311"/>
  <c r="AD311"/>
  <c r="AE311"/>
  <c r="AF311"/>
  <c r="P312"/>
  <c r="W312"/>
  <c r="AA312"/>
  <c r="AB312"/>
  <c r="AD312"/>
  <c r="AE312"/>
  <c r="AF312"/>
  <c r="P313"/>
  <c r="W313"/>
  <c r="AA313"/>
  <c r="AB313"/>
  <c r="AD313"/>
  <c r="AE313"/>
  <c r="AF313"/>
  <c r="P314"/>
  <c r="W314"/>
  <c r="AA314"/>
  <c r="AB314"/>
  <c r="AD314"/>
  <c r="AE314"/>
  <c r="AF314"/>
  <c r="P315"/>
  <c r="W315"/>
  <c r="AA315"/>
  <c r="AB315"/>
  <c r="AD315"/>
  <c r="AE315"/>
  <c r="AF315"/>
  <c r="P316"/>
  <c r="W316"/>
  <c r="AA316"/>
  <c r="AB316"/>
  <c r="AD316"/>
  <c r="AE316"/>
  <c r="AF316"/>
  <c r="P317"/>
  <c r="W317"/>
  <c r="AA317"/>
  <c r="AB317"/>
  <c r="AD317"/>
  <c r="AE317"/>
  <c r="AF317"/>
  <c r="P318"/>
  <c r="W318"/>
  <c r="AA318"/>
  <c r="AB318"/>
  <c r="AD318"/>
  <c r="AE318"/>
  <c r="AF318"/>
  <c r="P319"/>
  <c r="W319"/>
  <c r="AA319"/>
  <c r="AB319"/>
  <c r="AD319"/>
  <c r="AE319"/>
  <c r="AF319"/>
  <c r="P320"/>
  <c r="W320"/>
  <c r="AA320"/>
  <c r="AB320"/>
  <c r="AD320"/>
  <c r="AE320"/>
  <c r="AF320"/>
  <c r="P321"/>
  <c r="W321"/>
  <c r="AA321"/>
  <c r="AB321"/>
  <c r="AD321"/>
  <c r="AE321"/>
  <c r="AF321"/>
  <c r="AG321"/>
  <c r="P322"/>
  <c r="W322"/>
  <c r="AA322"/>
  <c r="AB322"/>
  <c r="AD322"/>
  <c r="AE322"/>
  <c r="AF322"/>
  <c r="AG322"/>
  <c r="P323"/>
  <c r="W323"/>
  <c r="AA323"/>
  <c r="AB323"/>
  <c r="AD323"/>
  <c r="AE323"/>
  <c r="AF323"/>
  <c r="P324"/>
  <c r="W324"/>
  <c r="AA324"/>
  <c r="AB324"/>
  <c r="AD324"/>
  <c r="AE324"/>
  <c r="AF324"/>
  <c r="P325"/>
  <c r="W325"/>
  <c r="AA325"/>
  <c r="AB325"/>
  <c r="AD325"/>
  <c r="AE325"/>
  <c r="AF325"/>
  <c r="P326"/>
  <c r="W326"/>
  <c r="AA326"/>
  <c r="AB326"/>
  <c r="AD326"/>
  <c r="AE326"/>
  <c r="AF326"/>
  <c r="P327"/>
  <c r="W327"/>
  <c r="AA327"/>
  <c r="AB327"/>
  <c r="AD327"/>
  <c r="AE327"/>
  <c r="AF327"/>
  <c r="P328"/>
  <c r="W328"/>
  <c r="AA328"/>
  <c r="AB328"/>
  <c r="AD328"/>
  <c r="AE328"/>
  <c r="AF328"/>
  <c r="P329"/>
  <c r="W329"/>
  <c r="AA329"/>
  <c r="AB329"/>
  <c r="AD329"/>
  <c r="AE329"/>
  <c r="AF329"/>
  <c r="P330"/>
  <c r="W330"/>
  <c r="AA330"/>
  <c r="AB330"/>
  <c r="AD330"/>
  <c r="AE330"/>
  <c r="AF330"/>
  <c r="P331"/>
  <c r="W331"/>
  <c r="AA331"/>
  <c r="AB331"/>
  <c r="AD331"/>
  <c r="AE331"/>
  <c r="AF331"/>
  <c r="P332"/>
  <c r="W332"/>
  <c r="AA332"/>
  <c r="AB332"/>
  <c r="AD332"/>
  <c r="AE332"/>
  <c r="AF332"/>
  <c r="P333"/>
  <c r="W333"/>
  <c r="AA333"/>
  <c r="AB333"/>
  <c r="AD333"/>
  <c r="AE333"/>
  <c r="AF333"/>
  <c r="P334"/>
  <c r="W334"/>
  <c r="AA334"/>
  <c r="AB334"/>
  <c r="AD334"/>
  <c r="AE334"/>
  <c r="AF334"/>
  <c r="P335"/>
  <c r="W335"/>
  <c r="AA335"/>
  <c r="AB335"/>
  <c r="AD335"/>
  <c r="AE335"/>
  <c r="AF335"/>
  <c r="P336"/>
  <c r="W336"/>
  <c r="AA336"/>
  <c r="AB336"/>
  <c r="AD336"/>
  <c r="AE336"/>
  <c r="AF336"/>
  <c r="P337"/>
  <c r="W337"/>
  <c r="AA337"/>
  <c r="AB337"/>
  <c r="AD337"/>
  <c r="AE337"/>
  <c r="AF337"/>
  <c r="P338"/>
  <c r="W338"/>
  <c r="AA338"/>
  <c r="AB338"/>
  <c r="AD338"/>
  <c r="AE338"/>
  <c r="AF338"/>
  <c r="P339"/>
  <c r="W339"/>
  <c r="AA339"/>
  <c r="AB339"/>
  <c r="AD339"/>
  <c r="AE339"/>
  <c r="AF339"/>
  <c r="P340"/>
  <c r="W340"/>
  <c r="AA340"/>
  <c r="AB340"/>
  <c r="AD340"/>
  <c r="AE340"/>
  <c r="AF340"/>
  <c r="P341"/>
  <c r="W341"/>
  <c r="AA341"/>
  <c r="AB341"/>
  <c r="AD341"/>
  <c r="AE341"/>
  <c r="AF341"/>
  <c r="P342"/>
  <c r="W342"/>
  <c r="AA342"/>
  <c r="AB342"/>
  <c r="AD342"/>
  <c r="AE342"/>
  <c r="AF342"/>
  <c r="P343"/>
  <c r="W343"/>
  <c r="AA343"/>
  <c r="AB343"/>
  <c r="AD343"/>
  <c r="AE343"/>
  <c r="AF343"/>
  <c r="P344"/>
  <c r="W344"/>
  <c r="AA344"/>
  <c r="AB344"/>
  <c r="AD344"/>
  <c r="AE344"/>
  <c r="AF344"/>
  <c r="P345"/>
  <c r="W345"/>
  <c r="AA345"/>
  <c r="AB345"/>
  <c r="AD345"/>
  <c r="AE345"/>
  <c r="AF345"/>
  <c r="P346"/>
  <c r="W346"/>
  <c r="AA346"/>
  <c r="AB346"/>
  <c r="AD346"/>
  <c r="AE346"/>
  <c r="AF346"/>
  <c r="P347"/>
  <c r="W347"/>
  <c r="AA347"/>
  <c r="AB347"/>
  <c r="AD347"/>
  <c r="AE347"/>
  <c r="AF347"/>
  <c r="P348"/>
  <c r="W348"/>
  <c r="AA348"/>
  <c r="AB348"/>
  <c r="AD348"/>
  <c r="AE348"/>
  <c r="AF348"/>
  <c r="P349"/>
  <c r="W349"/>
  <c r="AA349"/>
  <c r="AB349"/>
  <c r="AD349"/>
  <c r="AE349"/>
  <c r="AF349"/>
  <c r="P350"/>
  <c r="W350"/>
  <c r="AA350"/>
  <c r="AB350"/>
  <c r="AD350"/>
  <c r="AE350"/>
  <c r="AF350"/>
  <c r="P351"/>
  <c r="W351"/>
  <c r="AA351"/>
  <c r="AB351"/>
  <c r="AD351"/>
  <c r="AE351"/>
  <c r="AF351"/>
  <c r="P352"/>
  <c r="W352"/>
  <c r="AA352"/>
  <c r="AB352"/>
  <c r="AD352"/>
  <c r="AE352"/>
  <c r="AF352"/>
  <c r="AG352"/>
  <c r="P353"/>
  <c r="W353"/>
  <c r="AA353"/>
  <c r="AB353"/>
  <c r="AD353"/>
  <c r="AE353"/>
  <c r="AF353"/>
  <c r="AG353"/>
  <c r="P354"/>
  <c r="W354"/>
  <c r="AA354"/>
  <c r="AB354"/>
  <c r="AD354"/>
  <c r="AE354"/>
  <c r="AF354"/>
  <c r="P355"/>
  <c r="W355"/>
  <c r="AA355"/>
  <c r="AB355"/>
  <c r="AD355"/>
  <c r="AE355"/>
  <c r="AF355"/>
  <c r="P356"/>
  <c r="W356"/>
  <c r="AA356"/>
  <c r="AB356"/>
  <c r="AD356"/>
  <c r="AE356"/>
  <c r="AF356"/>
  <c r="P357"/>
  <c r="W357"/>
  <c r="AA357"/>
  <c r="AB357"/>
  <c r="AD357"/>
  <c r="AE357"/>
  <c r="AF357"/>
  <c r="P358"/>
  <c r="W358"/>
  <c r="AA358"/>
  <c r="AB358"/>
  <c r="AD358"/>
  <c r="AE358"/>
  <c r="AF358"/>
  <c r="P359"/>
  <c r="W359"/>
  <c r="AA359"/>
  <c r="AB359"/>
  <c r="AD359"/>
  <c r="AE359"/>
  <c r="AF359"/>
  <c r="P360"/>
  <c r="W360"/>
  <c r="AA360"/>
  <c r="AB360"/>
  <c r="AD360"/>
  <c r="AE360"/>
  <c r="AF360"/>
  <c r="P361"/>
  <c r="W361"/>
  <c r="AA361"/>
  <c r="AB361"/>
  <c r="AD361"/>
  <c r="AE361"/>
  <c r="AF361"/>
  <c r="P362"/>
  <c r="W362"/>
  <c r="AA362"/>
  <c r="AB362"/>
  <c r="AD362"/>
  <c r="AE362"/>
  <c r="AF362"/>
  <c r="P363"/>
  <c r="W363"/>
  <c r="AA363"/>
  <c r="AB363"/>
  <c r="AD363"/>
  <c r="AE363"/>
  <c r="AF363"/>
  <c r="P364"/>
  <c r="W364"/>
  <c r="AA364"/>
  <c r="AB364"/>
  <c r="AD364"/>
  <c r="AE364"/>
  <c r="AF364"/>
  <c r="P365"/>
  <c r="W365"/>
  <c r="AA365"/>
  <c r="AB365"/>
  <c r="AD365"/>
  <c r="AE365"/>
  <c r="AF365"/>
  <c r="P366"/>
  <c r="W366"/>
  <c r="AA366"/>
  <c r="AB366"/>
  <c r="AD366"/>
  <c r="AE366"/>
  <c r="AF366"/>
  <c r="P367"/>
  <c r="W367"/>
  <c r="AA367"/>
  <c r="AB367"/>
  <c r="AD367"/>
  <c r="AE367"/>
  <c r="AF367"/>
  <c r="P368"/>
  <c r="W368"/>
  <c r="AA368"/>
  <c r="AB368"/>
  <c r="AD368"/>
  <c r="AE368"/>
  <c r="AF368"/>
  <c r="P369"/>
  <c r="W369"/>
  <c r="AA369"/>
  <c r="AB369"/>
  <c r="AD369"/>
  <c r="AE369"/>
  <c r="AF369"/>
  <c r="AG369"/>
  <c r="P370"/>
  <c r="W370"/>
  <c r="AA370"/>
  <c r="AB370"/>
  <c r="AD370"/>
  <c r="AE370"/>
  <c r="AF370"/>
  <c r="AG370"/>
  <c r="P371"/>
  <c r="W371"/>
  <c r="AA371"/>
  <c r="AB371"/>
  <c r="AD371"/>
  <c r="AE371"/>
  <c r="AF371"/>
  <c r="P372"/>
  <c r="W372"/>
  <c r="AA372"/>
  <c r="AB372"/>
  <c r="AD372"/>
  <c r="AE372"/>
  <c r="AF372"/>
  <c r="P373"/>
  <c r="W373"/>
  <c r="AA373"/>
  <c r="AB373"/>
  <c r="AD373"/>
  <c r="AE373"/>
  <c r="AF373"/>
  <c r="P374"/>
  <c r="W374"/>
  <c r="AA374"/>
  <c r="AB374"/>
  <c r="AD374"/>
  <c r="AE374"/>
  <c r="AF374"/>
  <c r="P375"/>
  <c r="W375"/>
  <c r="AA375"/>
  <c r="AB375"/>
  <c r="AD375"/>
  <c r="AE375"/>
  <c r="AF375"/>
  <c r="P376"/>
  <c r="W376"/>
  <c r="AA376"/>
  <c r="AB376"/>
  <c r="AD376"/>
  <c r="AE376"/>
  <c r="AF376"/>
  <c r="P377"/>
  <c r="W377"/>
  <c r="AA377"/>
  <c r="AB377"/>
  <c r="AD377"/>
  <c r="AE377"/>
  <c r="AF377"/>
  <c r="P378"/>
  <c r="W378"/>
  <c r="AA378"/>
  <c r="AB378"/>
  <c r="AD378"/>
  <c r="AE378"/>
  <c r="AF378"/>
  <c r="P379"/>
  <c r="W379"/>
  <c r="AA379"/>
  <c r="AB379"/>
  <c r="AD379"/>
  <c r="AE379"/>
  <c r="AF379"/>
  <c r="P380"/>
  <c r="W380"/>
  <c r="AA380"/>
  <c r="AB380"/>
  <c r="AD380"/>
  <c r="AE380"/>
  <c r="AF380"/>
  <c r="P381"/>
  <c r="W381"/>
  <c r="AA381"/>
  <c r="AB381"/>
  <c r="AD381"/>
  <c r="AE381"/>
  <c r="AF381"/>
  <c r="P382"/>
  <c r="W382"/>
  <c r="AA382"/>
  <c r="AB382"/>
  <c r="AD382"/>
  <c r="AE382"/>
  <c r="AF382"/>
  <c r="P383"/>
  <c r="W383"/>
  <c r="AA383"/>
  <c r="AB383"/>
  <c r="AD383"/>
  <c r="AE383"/>
  <c r="AF383"/>
  <c r="P384"/>
  <c r="W384"/>
  <c r="AA384"/>
  <c r="AB384"/>
  <c r="AD384"/>
  <c r="AE384"/>
  <c r="AF384"/>
  <c r="P385"/>
  <c r="W385"/>
  <c r="AA385"/>
  <c r="AB385"/>
  <c r="AD385"/>
  <c r="AE385"/>
  <c r="AF385"/>
  <c r="P386"/>
  <c r="W386"/>
  <c r="AA386"/>
  <c r="AB386"/>
  <c r="AD386"/>
  <c r="AE386"/>
  <c r="AF386"/>
  <c r="P387"/>
  <c r="W387"/>
  <c r="AA387"/>
  <c r="AB387"/>
  <c r="AD387"/>
  <c r="AE387"/>
  <c r="AF387"/>
  <c r="P388"/>
  <c r="W388"/>
  <c r="AA388"/>
  <c r="AB388"/>
  <c r="AD388"/>
  <c r="AE388"/>
  <c r="AF388"/>
  <c r="P389"/>
  <c r="W389"/>
  <c r="AA389"/>
  <c r="AB389"/>
  <c r="AD389"/>
  <c r="AE389"/>
  <c r="AF389"/>
  <c r="P390"/>
  <c r="W390"/>
  <c r="AA390"/>
  <c r="AB390"/>
  <c r="AD390"/>
  <c r="AE390"/>
  <c r="AF390"/>
  <c r="P391"/>
  <c r="W391"/>
  <c r="AA391"/>
  <c r="AB391"/>
  <c r="AD391"/>
  <c r="AE391"/>
  <c r="AF391"/>
  <c r="P392"/>
  <c r="W392"/>
  <c r="AA392"/>
  <c r="AB392"/>
  <c r="AD392"/>
  <c r="AE392"/>
  <c r="AF392"/>
  <c r="P393"/>
  <c r="W393"/>
  <c r="AA393"/>
  <c r="AB393"/>
  <c r="AD393"/>
  <c r="AE393"/>
  <c r="AF393"/>
  <c r="P394"/>
  <c r="W394"/>
  <c r="AA394"/>
  <c r="AB394"/>
  <c r="AD394"/>
  <c r="AE394"/>
  <c r="AF394"/>
  <c r="P395"/>
  <c r="W395"/>
  <c r="AA395"/>
  <c r="AB395"/>
  <c r="AD395"/>
  <c r="AE395"/>
  <c r="AF395"/>
  <c r="P396"/>
  <c r="W396"/>
  <c r="AA396"/>
  <c r="AB396"/>
  <c r="AD396"/>
  <c r="AE396"/>
  <c r="AF396"/>
  <c r="P397"/>
  <c r="W397"/>
  <c r="AA397"/>
  <c r="AB397"/>
  <c r="AD397"/>
  <c r="AE397"/>
  <c r="AF397"/>
  <c r="P398"/>
  <c r="W398"/>
  <c r="AA398"/>
  <c r="AB398"/>
  <c r="AD398"/>
  <c r="AE398"/>
  <c r="AF398"/>
  <c r="P399"/>
  <c r="W399"/>
  <c r="AA399"/>
  <c r="AB399"/>
  <c r="AD399"/>
  <c r="AE399"/>
  <c r="AF399"/>
  <c r="P400"/>
  <c r="W400"/>
  <c r="AA400"/>
  <c r="AB400"/>
  <c r="AD400"/>
  <c r="AE400"/>
  <c r="AF400"/>
  <c r="P401"/>
  <c r="W401"/>
  <c r="AA401"/>
  <c r="AB401"/>
  <c r="AD401"/>
  <c r="AE401"/>
  <c r="AF401"/>
  <c r="AG401"/>
  <c r="P402"/>
  <c r="W402"/>
  <c r="AA402"/>
  <c r="AB402"/>
  <c r="AD402"/>
  <c r="AE402"/>
  <c r="AF402"/>
  <c r="AG402"/>
  <c r="P403"/>
  <c r="W403"/>
  <c r="AA403"/>
  <c r="AB403"/>
  <c r="AD403"/>
  <c r="AE403"/>
  <c r="AF403"/>
  <c r="AG403"/>
  <c r="P404"/>
  <c r="W404"/>
  <c r="AA404"/>
  <c r="AB404"/>
  <c r="AD404"/>
  <c r="AE404"/>
  <c r="AF404"/>
  <c r="AG404"/>
  <c r="P405"/>
  <c r="W405"/>
  <c r="AA405"/>
  <c r="AB405"/>
  <c r="AD405"/>
  <c r="AE405"/>
  <c r="AF405"/>
  <c r="AG405"/>
  <c r="P406"/>
  <c r="W406"/>
  <c r="AA406"/>
  <c r="AB406"/>
  <c r="AD406"/>
  <c r="AE406"/>
  <c r="AF406"/>
  <c r="P407"/>
  <c r="W407"/>
  <c r="AA407"/>
  <c r="AB407"/>
  <c r="AD407"/>
  <c r="AE407"/>
  <c r="AF407"/>
  <c r="P408"/>
  <c r="W408"/>
  <c r="AA408"/>
  <c r="AB408"/>
  <c r="AD408"/>
  <c r="AE408"/>
  <c r="AF408"/>
  <c r="AG408"/>
  <c r="P409"/>
  <c r="W409"/>
  <c r="AA409"/>
  <c r="AB409"/>
  <c r="AD409"/>
  <c r="AE409"/>
  <c r="AF409"/>
  <c r="AG409"/>
  <c r="P410"/>
  <c r="W410"/>
  <c r="AA410"/>
  <c r="AB410"/>
  <c r="AD410"/>
  <c r="AE410"/>
  <c r="AF410"/>
  <c r="P411"/>
  <c r="W411"/>
  <c r="AA411"/>
  <c r="AB411"/>
  <c r="AD411"/>
  <c r="AE411"/>
  <c r="AF411"/>
  <c r="P412"/>
  <c r="W412"/>
  <c r="AA412"/>
  <c r="AB412"/>
  <c r="AD412"/>
  <c r="AE412"/>
  <c r="AF412"/>
  <c r="P413"/>
  <c r="W413"/>
  <c r="AA413"/>
  <c r="AB413"/>
  <c r="AD413"/>
  <c r="AE413"/>
  <c r="AF413"/>
  <c r="P414"/>
  <c r="W414"/>
  <c r="AA414"/>
  <c r="AB414"/>
  <c r="AD414"/>
  <c r="AE414"/>
  <c r="AF414"/>
  <c r="P415"/>
  <c r="W415"/>
  <c r="AA415"/>
  <c r="AB415"/>
  <c r="AD415"/>
  <c r="AE415"/>
  <c r="AF415"/>
  <c r="P416"/>
  <c r="W416"/>
  <c r="AA416"/>
  <c r="AB416"/>
  <c r="AD416"/>
  <c r="AE416"/>
  <c r="AF416"/>
  <c r="P417"/>
  <c r="W417"/>
  <c r="AA417"/>
  <c r="AB417"/>
  <c r="AD417"/>
  <c r="AE417"/>
  <c r="AF417"/>
  <c r="P418"/>
  <c r="W418"/>
  <c r="AA418"/>
  <c r="AB418"/>
  <c r="AD418"/>
  <c r="AE418"/>
  <c r="AF418"/>
  <c r="P419"/>
  <c r="W419"/>
  <c r="AA419"/>
  <c r="AB419"/>
  <c r="AD419"/>
  <c r="AE419"/>
  <c r="AF419"/>
  <c r="AG419"/>
  <c r="P420"/>
  <c r="W420"/>
  <c r="AA420"/>
  <c r="AB420"/>
  <c r="AD420"/>
  <c r="AE420"/>
  <c r="AF420"/>
  <c r="AG420"/>
  <c r="P421"/>
  <c r="W421"/>
  <c r="AA421"/>
  <c r="AB421"/>
  <c r="AD421"/>
  <c r="AE421"/>
  <c r="AF421"/>
  <c r="AG421"/>
  <c r="P422"/>
  <c r="W422"/>
  <c r="AA422"/>
  <c r="AB422"/>
  <c r="AD422"/>
  <c r="AE422"/>
  <c r="AF422"/>
  <c r="AG422"/>
  <c r="P423"/>
  <c r="W423"/>
  <c r="AA423"/>
  <c r="AB423"/>
  <c r="AD423"/>
  <c r="AE423"/>
  <c r="AF423"/>
  <c r="AG423"/>
  <c r="P424"/>
  <c r="W424"/>
  <c r="AA424"/>
  <c r="AB424"/>
  <c r="AD424"/>
  <c r="AE424"/>
  <c r="AF424"/>
  <c r="AG424"/>
  <c r="P425"/>
  <c r="W425"/>
  <c r="AA425"/>
  <c r="AB425"/>
  <c r="AE425"/>
  <c r="AF425"/>
  <c r="AG425"/>
  <c r="P426"/>
  <c r="W426"/>
  <c r="AA426"/>
  <c r="AB426"/>
  <c r="AD426"/>
  <c r="AE426"/>
  <c r="AF426"/>
  <c r="P427"/>
  <c r="W427"/>
  <c r="AA427"/>
  <c r="AB427"/>
  <c r="AD427"/>
  <c r="AE427"/>
  <c r="AF427"/>
  <c r="P428"/>
  <c r="W428"/>
  <c r="AA428"/>
  <c r="AB428"/>
  <c r="AD428"/>
  <c r="AE428"/>
  <c r="AF428"/>
  <c r="P429"/>
  <c r="W429"/>
  <c r="AA429"/>
  <c r="AB429"/>
  <c r="AD429"/>
  <c r="AE429"/>
  <c r="AF429"/>
  <c r="P430"/>
  <c r="W430"/>
  <c r="AA430"/>
  <c r="AB430"/>
  <c r="AD430"/>
  <c r="AE430"/>
  <c r="AF430"/>
  <c r="P431"/>
  <c r="W431"/>
  <c r="AA431"/>
  <c r="AB431"/>
  <c r="AD431"/>
  <c r="AE431"/>
  <c r="AF431"/>
  <c r="P432"/>
  <c r="W432"/>
  <c r="AA432"/>
  <c r="AB432"/>
  <c r="AD432"/>
  <c r="AE432"/>
  <c r="AF432"/>
  <c r="AG432"/>
  <c r="P433"/>
  <c r="W433"/>
  <c r="AA433"/>
  <c r="AB433"/>
  <c r="AD433"/>
  <c r="AE433"/>
  <c r="AF433"/>
  <c r="AG433"/>
  <c r="P434"/>
  <c r="W434"/>
  <c r="AA434"/>
  <c r="AB434"/>
  <c r="AD434"/>
  <c r="AE434"/>
  <c r="AF434"/>
  <c r="AG434"/>
  <c r="P435"/>
  <c r="W435"/>
  <c r="AA435"/>
  <c r="AB435"/>
  <c r="AD435"/>
  <c r="AE435"/>
  <c r="AF435"/>
  <c r="AG435"/>
  <c r="P436"/>
  <c r="W436"/>
  <c r="AA436"/>
  <c r="AB436"/>
  <c r="AD436"/>
  <c r="AE436"/>
  <c r="AF436"/>
  <c r="AG436"/>
  <c r="P437"/>
  <c r="W437"/>
  <c r="AA437"/>
  <c r="AB437"/>
  <c r="AD437"/>
  <c r="AE437"/>
  <c r="AF437"/>
  <c r="AG437"/>
  <c r="P438"/>
  <c r="W438"/>
  <c r="AA438"/>
  <c r="AB438"/>
  <c r="AD438"/>
  <c r="AE438"/>
  <c r="AF438"/>
  <c r="AG438"/>
  <c r="P439"/>
  <c r="W439"/>
  <c r="AA439"/>
  <c r="AB439"/>
  <c r="AD439"/>
  <c r="AE439"/>
  <c r="AF439"/>
  <c r="AG439"/>
  <c r="P440"/>
  <c r="W440"/>
  <c r="AA440"/>
  <c r="AB440"/>
  <c r="AD440"/>
  <c r="AE440"/>
  <c r="AF440"/>
  <c r="AG440"/>
  <c r="P441"/>
  <c r="W441"/>
  <c r="AA441"/>
  <c r="AB441"/>
  <c r="AD441"/>
  <c r="AE441"/>
  <c r="AF441"/>
  <c r="AG441"/>
  <c r="P442"/>
  <c r="W442"/>
  <c r="AA442"/>
  <c r="AB442"/>
  <c r="AD442"/>
  <c r="AE442"/>
  <c r="AF442"/>
  <c r="AG442"/>
  <c r="P443"/>
  <c r="W443"/>
  <c r="AA443"/>
  <c r="AB443"/>
  <c r="AD443"/>
  <c r="AE443"/>
  <c r="AF443"/>
  <c r="AG443"/>
  <c r="P444"/>
  <c r="W444"/>
  <c r="AA444"/>
  <c r="AB444"/>
  <c r="AD444"/>
  <c r="AE444"/>
  <c r="AF444"/>
  <c r="AG444"/>
  <c r="P445"/>
  <c r="W445"/>
  <c r="AA445"/>
  <c r="AB445"/>
  <c r="AD445"/>
  <c r="AE445"/>
  <c r="AF445"/>
  <c r="AG445"/>
  <c r="P446"/>
  <c r="W446"/>
  <c r="AA446"/>
  <c r="AB446"/>
  <c r="AD446"/>
  <c r="AE446"/>
  <c r="AF446"/>
  <c r="AG446"/>
  <c r="P447"/>
  <c r="W447"/>
  <c r="AA447"/>
  <c r="AB447"/>
  <c r="AD447"/>
  <c r="AE447"/>
  <c r="AF447"/>
  <c r="AG447"/>
  <c r="P448"/>
  <c r="W448"/>
  <c r="AA448"/>
  <c r="AB448"/>
  <c r="AD448"/>
  <c r="AE448"/>
  <c r="AF448"/>
  <c r="AG448"/>
  <c r="P449"/>
  <c r="W449"/>
  <c r="AA449"/>
  <c r="AB449"/>
  <c r="AD449"/>
  <c r="AE449"/>
  <c r="AF449"/>
  <c r="AG449"/>
  <c r="P450"/>
  <c r="W450"/>
  <c r="AA450"/>
  <c r="AB450"/>
  <c r="AD450"/>
  <c r="AE450"/>
  <c r="AF450"/>
  <c r="AG450"/>
  <c r="P451"/>
  <c r="W451"/>
  <c r="AA451"/>
  <c r="AB451"/>
  <c r="AD451"/>
  <c r="AE451"/>
  <c r="AF451"/>
  <c r="AG451"/>
  <c r="P452"/>
  <c r="W452"/>
  <c r="AA452"/>
  <c r="AB452"/>
  <c r="AD452"/>
  <c r="AE452"/>
  <c r="AF452"/>
  <c r="AG452"/>
  <c r="P453"/>
  <c r="W453"/>
  <c r="AA453"/>
  <c r="AB453"/>
  <c r="AD453"/>
  <c r="AE453"/>
  <c r="AF453"/>
  <c r="AG453"/>
  <c r="P454"/>
  <c r="W454"/>
  <c r="AA454"/>
  <c r="AB454"/>
  <c r="AD454"/>
  <c r="AE454"/>
  <c r="AF454"/>
  <c r="AG454"/>
  <c r="P455"/>
  <c r="W455"/>
  <c r="AA455"/>
  <c r="AB455"/>
  <c r="AD455"/>
  <c r="AE455"/>
  <c r="AF455"/>
  <c r="AG455"/>
  <c r="P456"/>
  <c r="W456"/>
  <c r="AA456"/>
  <c r="AB456"/>
  <c r="AD456"/>
  <c r="AE456"/>
  <c r="AF456"/>
  <c r="AG456"/>
  <c r="P457"/>
  <c r="W457"/>
  <c r="AA457"/>
  <c r="AB457"/>
  <c r="AD457"/>
  <c r="AE457"/>
  <c r="AF457"/>
  <c r="AG457"/>
  <c r="P458"/>
  <c r="W458"/>
  <c r="AA458"/>
  <c r="AB458"/>
  <c r="AD458"/>
  <c r="AE458"/>
  <c r="AF458"/>
  <c r="AG458"/>
  <c r="P459"/>
  <c r="W459"/>
  <c r="AA459"/>
  <c r="AB459"/>
  <c r="AD459"/>
  <c r="AE459"/>
  <c r="AF459"/>
  <c r="AG459"/>
  <c r="P460"/>
  <c r="W460"/>
  <c r="AA460"/>
  <c r="AB460"/>
  <c r="AD460"/>
  <c r="AE460"/>
  <c r="AF460"/>
  <c r="AG460"/>
  <c r="P461"/>
  <c r="W461"/>
  <c r="AA461"/>
  <c r="AB461"/>
  <c r="AD461"/>
  <c r="AE461"/>
  <c r="AF461"/>
  <c r="AG461"/>
  <c r="P462"/>
  <c r="W462"/>
  <c r="AA462"/>
  <c r="AB462"/>
  <c r="AD462"/>
  <c r="AE462"/>
  <c r="AF462"/>
  <c r="AG462"/>
  <c r="P463"/>
  <c r="W463"/>
  <c r="AA463"/>
  <c r="AB463"/>
  <c r="AD463"/>
  <c r="AE463"/>
  <c r="AF463"/>
  <c r="AG463"/>
  <c r="P464"/>
  <c r="W464"/>
  <c r="AA464"/>
  <c r="AB464"/>
  <c r="AD464"/>
  <c r="AE464"/>
  <c r="AF464"/>
  <c r="AG464"/>
  <c r="P465"/>
  <c r="W465"/>
  <c r="AA465"/>
  <c r="AB465"/>
  <c r="AD465"/>
  <c r="AE465"/>
  <c r="AF465"/>
  <c r="AG465"/>
  <c r="P466"/>
  <c r="W466"/>
  <c r="AA466"/>
  <c r="AB466"/>
  <c r="AD466"/>
  <c r="AE466"/>
  <c r="AF466"/>
  <c r="AG466"/>
  <c r="P467"/>
  <c r="W467"/>
  <c r="AA467"/>
  <c r="AB467"/>
  <c r="AD467"/>
  <c r="AE467"/>
  <c r="AF467"/>
  <c r="AG467"/>
  <c r="P468"/>
  <c r="W468"/>
  <c r="AA468"/>
  <c r="AB468"/>
  <c r="AD468"/>
  <c r="AE468"/>
  <c r="AF468"/>
  <c r="AG468"/>
  <c r="P469"/>
  <c r="W469"/>
  <c r="AA469"/>
  <c r="AB469"/>
  <c r="AD469"/>
  <c r="AE469"/>
  <c r="AF469"/>
  <c r="AG469"/>
  <c r="P470"/>
  <c r="W470"/>
  <c r="AA470"/>
  <c r="AB470"/>
  <c r="AD470"/>
  <c r="AE470"/>
  <c r="AF470"/>
  <c r="AG470"/>
  <c r="P471"/>
  <c r="W471"/>
  <c r="AA471"/>
  <c r="AB471"/>
  <c r="AD471"/>
  <c r="AE471"/>
  <c r="AF471"/>
  <c r="AG471"/>
  <c r="P472"/>
  <c r="W472"/>
  <c r="AA472"/>
  <c r="AB472"/>
  <c r="AD472"/>
  <c r="AE472"/>
  <c r="AF472"/>
  <c r="AG472"/>
  <c r="P473"/>
  <c r="W473"/>
  <c r="AA473"/>
  <c r="AB473"/>
  <c r="AD473"/>
  <c r="AE473"/>
  <c r="AF473"/>
  <c r="AG473"/>
  <c r="P474"/>
  <c r="W474"/>
  <c r="AA474"/>
  <c r="AB474"/>
  <c r="AD474"/>
  <c r="AE474"/>
  <c r="AF474"/>
  <c r="AG474"/>
  <c r="P475"/>
  <c r="W475"/>
  <c r="AA475"/>
  <c r="AB475"/>
  <c r="AD475"/>
  <c r="AE475"/>
  <c r="AF475"/>
  <c r="AG475"/>
  <c r="P476"/>
  <c r="W476"/>
  <c r="AA476"/>
  <c r="AB476"/>
  <c r="AD476"/>
  <c r="AE476"/>
  <c r="AF476"/>
  <c r="AG476"/>
  <c r="P477"/>
  <c r="W477"/>
  <c r="AA477"/>
  <c r="AB477"/>
  <c r="AD477"/>
  <c r="AE477"/>
  <c r="AF477"/>
  <c r="AG477"/>
  <c r="P478"/>
  <c r="W478"/>
  <c r="AA478"/>
  <c r="AB478"/>
  <c r="AD478"/>
  <c r="AE478"/>
  <c r="AF478"/>
  <c r="AG478"/>
  <c r="P479"/>
  <c r="W479"/>
  <c r="AA479"/>
  <c r="AB479"/>
  <c r="AD479"/>
  <c r="AE479"/>
  <c r="AF479"/>
  <c r="AG479"/>
  <c r="P480"/>
  <c r="W480"/>
  <c r="AA480"/>
  <c r="AB480"/>
  <c r="AD480"/>
  <c r="AE480"/>
  <c r="AF480"/>
  <c r="AG480"/>
  <c r="P481"/>
  <c r="W481"/>
  <c r="AA481"/>
  <c r="AB481"/>
  <c r="AD481"/>
  <c r="AE481"/>
  <c r="AF481"/>
  <c r="AG481"/>
  <c r="P482"/>
  <c r="W482"/>
  <c r="AA482"/>
  <c r="AB482"/>
  <c r="AD482"/>
  <c r="AE482"/>
  <c r="AF482"/>
  <c r="AG482"/>
  <c r="P483"/>
  <c r="W483"/>
  <c r="AA483"/>
  <c r="AB483"/>
  <c r="AD483"/>
  <c r="AE483"/>
  <c r="AF483"/>
  <c r="AG483"/>
  <c r="P484"/>
  <c r="W484"/>
  <c r="AA484"/>
  <c r="AB484"/>
  <c r="AD484"/>
  <c r="AE484"/>
  <c r="AF484"/>
  <c r="AG484"/>
  <c r="P485"/>
  <c r="W485"/>
  <c r="AA485"/>
  <c r="AB485"/>
  <c r="AD485"/>
  <c r="AE485"/>
  <c r="AF485"/>
  <c r="AG485"/>
  <c r="P486"/>
  <c r="W486"/>
  <c r="AA486"/>
  <c r="AB486"/>
  <c r="AD486"/>
  <c r="AE486"/>
  <c r="AF486"/>
  <c r="AG486"/>
  <c r="P487"/>
  <c r="W487"/>
  <c r="AA487"/>
  <c r="AB487"/>
  <c r="AD487"/>
  <c r="AE487"/>
  <c r="AF487"/>
  <c r="AG487"/>
  <c r="P488"/>
  <c r="W488"/>
  <c r="AA488"/>
  <c r="AB488"/>
  <c r="AD488"/>
  <c r="AE488"/>
  <c r="AF488"/>
  <c r="AG488"/>
  <c r="P489"/>
  <c r="W489"/>
  <c r="AA489"/>
  <c r="AB489"/>
  <c r="AD489"/>
  <c r="AE489"/>
  <c r="AF489"/>
  <c r="AG489"/>
  <c r="P490"/>
  <c r="W490"/>
  <c r="AA490"/>
  <c r="AB490"/>
  <c r="AD490"/>
  <c r="AE490"/>
  <c r="AF490"/>
  <c r="AG490"/>
  <c r="P491"/>
  <c r="W491"/>
  <c r="AA491"/>
  <c r="AB491"/>
  <c r="AD491"/>
  <c r="AE491"/>
  <c r="AF491"/>
  <c r="AG491"/>
  <c r="P492"/>
  <c r="W492"/>
  <c r="AA492"/>
  <c r="AB492"/>
  <c r="AD492"/>
  <c r="AE492"/>
  <c r="AF492"/>
  <c r="AG492"/>
  <c r="P493"/>
  <c r="W493"/>
  <c r="AA493"/>
  <c r="AB493"/>
  <c r="AD493"/>
  <c r="AE493"/>
  <c r="AF493"/>
  <c r="AG493"/>
  <c r="P494"/>
  <c r="W494"/>
  <c r="AA494"/>
  <c r="AB494"/>
  <c r="AD494"/>
  <c r="AE494"/>
  <c r="AF494"/>
  <c r="AG494"/>
  <c r="P495"/>
  <c r="W495"/>
  <c r="AA495"/>
  <c r="AB495"/>
  <c r="AD495"/>
  <c r="AE495"/>
  <c r="AF495"/>
  <c r="AG495"/>
  <c r="P496"/>
  <c r="W496"/>
  <c r="AA496"/>
  <c r="AB496"/>
  <c r="AD496"/>
  <c r="AE496"/>
  <c r="AF496"/>
  <c r="AG496"/>
  <c r="P497"/>
  <c r="W497"/>
  <c r="AA497"/>
  <c r="AB497"/>
  <c r="AD497"/>
  <c r="AE497"/>
  <c r="AF497"/>
  <c r="AG497"/>
  <c r="P498"/>
  <c r="W498"/>
  <c r="AA498"/>
  <c r="AB498"/>
  <c r="AD498"/>
  <c r="AE498"/>
  <c r="AF498"/>
  <c r="AG498"/>
  <c r="P499"/>
  <c r="W499"/>
  <c r="AA499"/>
  <c r="AB499"/>
  <c r="AD499"/>
  <c r="AE499"/>
  <c r="AF499"/>
  <c r="AG499"/>
  <c r="P500"/>
  <c r="W500"/>
  <c r="AA500"/>
  <c r="AB500"/>
  <c r="AD500"/>
  <c r="AE500"/>
  <c r="AF500"/>
  <c r="AG500"/>
  <c r="P501"/>
  <c r="W501"/>
  <c r="AA501"/>
  <c r="AB501"/>
  <c r="AD501"/>
  <c r="AE501"/>
  <c r="AF501"/>
  <c r="AG501"/>
  <c r="P502"/>
  <c r="W502"/>
  <c r="AA502"/>
  <c r="AB502"/>
  <c r="AD502"/>
  <c r="AE502"/>
  <c r="AF502"/>
  <c r="AG502"/>
  <c r="P503"/>
  <c r="W503"/>
  <c r="AA503"/>
  <c r="AB503"/>
  <c r="AD503"/>
  <c r="AE503"/>
  <c r="AF503"/>
  <c r="AG503"/>
  <c r="P504"/>
  <c r="W504"/>
  <c r="AA504"/>
  <c r="AB504"/>
  <c r="AD504"/>
  <c r="AE504"/>
  <c r="AF504"/>
  <c r="AG504"/>
  <c r="P505"/>
  <c r="W505"/>
  <c r="AA505"/>
  <c r="AB505"/>
  <c r="AD505"/>
  <c r="AE505"/>
  <c r="AF505"/>
  <c r="AG505"/>
  <c r="P506"/>
  <c r="W506"/>
  <c r="AA506"/>
  <c r="AB506"/>
  <c r="AD506"/>
  <c r="AE506"/>
  <c r="AF506"/>
  <c r="AG506"/>
  <c r="P507"/>
  <c r="W507"/>
  <c r="AA507"/>
  <c r="AB507"/>
  <c r="AD507"/>
  <c r="AE507"/>
  <c r="AF507"/>
  <c r="AG507"/>
  <c r="P508"/>
  <c r="W508"/>
  <c r="AA508"/>
  <c r="AB508"/>
  <c r="AD508"/>
  <c r="AE508"/>
  <c r="AF508"/>
  <c r="AG508"/>
  <c r="P509"/>
  <c r="W509"/>
  <c r="AA509"/>
  <c r="AB509"/>
  <c r="AD509"/>
  <c r="AE509"/>
  <c r="AF509"/>
  <c r="AG509"/>
  <c r="P510"/>
  <c r="W510"/>
  <c r="AA510"/>
  <c r="AB510"/>
  <c r="AD510"/>
  <c r="AE510"/>
  <c r="AF510"/>
  <c r="AG510"/>
  <c r="P511"/>
  <c r="W511"/>
  <c r="AA511"/>
  <c r="AB511"/>
  <c r="AD511"/>
  <c r="AE511"/>
  <c r="AF511"/>
  <c r="AG511"/>
  <c r="P512"/>
  <c r="W512"/>
  <c r="AA512"/>
  <c r="AB512"/>
  <c r="AD512"/>
  <c r="AE512"/>
  <c r="AF512"/>
  <c r="AG512"/>
  <c r="P513"/>
  <c r="W513"/>
  <c r="AA513"/>
  <c r="AB513"/>
  <c r="AD513"/>
  <c r="AE513"/>
  <c r="AF513"/>
  <c r="AG513"/>
  <c r="P514"/>
  <c r="W514"/>
  <c r="AA514"/>
  <c r="AB514"/>
  <c r="AD514"/>
  <c r="AE514"/>
  <c r="AF514"/>
  <c r="AG514"/>
  <c r="P515"/>
  <c r="W515"/>
  <c r="AA515"/>
  <c r="AB515"/>
  <c r="AD515"/>
  <c r="AE515"/>
  <c r="AF515"/>
  <c r="AG515"/>
  <c r="P516"/>
  <c r="W516"/>
  <c r="AA516"/>
  <c r="AB516"/>
  <c r="AD516"/>
  <c r="AE516"/>
  <c r="AF516"/>
  <c r="AG516"/>
  <c r="P517"/>
  <c r="W517"/>
  <c r="AA517"/>
  <c r="AB517"/>
  <c r="AD517"/>
  <c r="AE517"/>
  <c r="AF517"/>
  <c r="AG517"/>
  <c r="P518"/>
  <c r="W518"/>
  <c r="AA518"/>
  <c r="AB518"/>
  <c r="AD518"/>
  <c r="AE518"/>
  <c r="AF518"/>
  <c r="AG518"/>
  <c r="P519"/>
  <c r="W519"/>
  <c r="AA519"/>
  <c r="AB519"/>
  <c r="AD519"/>
  <c r="AE519"/>
  <c r="AF519"/>
  <c r="AG519"/>
  <c r="P520"/>
  <c r="W520"/>
  <c r="AA520"/>
  <c r="AB520"/>
  <c r="AD520"/>
  <c r="AE520"/>
  <c r="AF520"/>
  <c r="AG520"/>
  <c r="P521"/>
  <c r="W521"/>
  <c r="AA521"/>
  <c r="AB521"/>
  <c r="AD521"/>
  <c r="AE521"/>
  <c r="AF521"/>
  <c r="AG521"/>
  <c r="P522"/>
  <c r="W522"/>
  <c r="AA522"/>
  <c r="AB522"/>
  <c r="AD522"/>
  <c r="AE522"/>
  <c r="AF522"/>
  <c r="AG522"/>
  <c r="P523"/>
  <c r="W523"/>
  <c r="AA523"/>
  <c r="AB523"/>
  <c r="AD523"/>
  <c r="AE523"/>
  <c r="AF523"/>
  <c r="AG523"/>
  <c r="P524"/>
  <c r="W524"/>
  <c r="AA524"/>
  <c r="AB524"/>
  <c r="AD524"/>
  <c r="AE524"/>
  <c r="AF524"/>
  <c r="AG524"/>
  <c r="P525"/>
  <c r="W525"/>
  <c r="AA525"/>
  <c r="AB525"/>
  <c r="AD525"/>
  <c r="AE525"/>
  <c r="AF525"/>
  <c r="AG525"/>
  <c r="P526"/>
  <c r="W526"/>
  <c r="AA526"/>
  <c r="AB526"/>
  <c r="AD526"/>
  <c r="AE526"/>
  <c r="AF526"/>
  <c r="AG526"/>
  <c r="P527"/>
  <c r="W527"/>
  <c r="AA527"/>
  <c r="AB527"/>
  <c r="AD527"/>
  <c r="AE527"/>
  <c r="AF527"/>
  <c r="AG527"/>
  <c r="P528"/>
  <c r="W528"/>
  <c r="AA528"/>
  <c r="AB528"/>
  <c r="AD528"/>
  <c r="AE528"/>
  <c r="AF528"/>
  <c r="AG528"/>
  <c r="P529"/>
  <c r="W529"/>
  <c r="AA529"/>
  <c r="AB529"/>
  <c r="AD529"/>
  <c r="AE529"/>
  <c r="AF529"/>
  <c r="AG529"/>
  <c r="P530"/>
  <c r="W530"/>
  <c r="AA530"/>
  <c r="AB530"/>
  <c r="AD530"/>
  <c r="AE530"/>
  <c r="AF530"/>
  <c r="AG530"/>
  <c r="P531"/>
  <c r="W531"/>
  <c r="AA531"/>
  <c r="AB531"/>
  <c r="AD531"/>
  <c r="AE531"/>
  <c r="AF531"/>
  <c r="AG531"/>
  <c r="P532"/>
  <c r="W532"/>
  <c r="AA532"/>
  <c r="AB532"/>
  <c r="AD532"/>
  <c r="AE532"/>
  <c r="AF532"/>
  <c r="AG532"/>
  <c r="P533"/>
  <c r="W533"/>
  <c r="AA533"/>
  <c r="AB533"/>
  <c r="AD533"/>
  <c r="AE533"/>
  <c r="AF533"/>
  <c r="AG533"/>
  <c r="P534"/>
  <c r="W534"/>
  <c r="AA534"/>
  <c r="AB534"/>
  <c r="AD534"/>
  <c r="AE534"/>
  <c r="AF534"/>
  <c r="AG534"/>
  <c r="P535"/>
  <c r="W535"/>
  <c r="AA535"/>
  <c r="AB535"/>
  <c r="AD535"/>
  <c r="AE535"/>
  <c r="AF535"/>
  <c r="AG535"/>
  <c r="P536"/>
  <c r="W536"/>
  <c r="AA536"/>
  <c r="AB536"/>
  <c r="AD536"/>
  <c r="AE536"/>
  <c r="AF536"/>
  <c r="AG536"/>
  <c r="P537"/>
  <c r="W537"/>
  <c r="AA537"/>
  <c r="AB537"/>
  <c r="AD537"/>
  <c r="AE537"/>
  <c r="AF537"/>
  <c r="AG537"/>
  <c r="P538"/>
  <c r="W538"/>
  <c r="AA538"/>
  <c r="AB538"/>
  <c r="AD538"/>
  <c r="AE538"/>
  <c r="AF538"/>
  <c r="AG538"/>
  <c r="P539"/>
  <c r="W539"/>
  <c r="AA539"/>
  <c r="AB539"/>
  <c r="AD539"/>
  <c r="AE539"/>
  <c r="AF539"/>
  <c r="AG539"/>
  <c r="P540"/>
  <c r="W540"/>
  <c r="AA540"/>
  <c r="AB540"/>
  <c r="AD540"/>
  <c r="AE540"/>
  <c r="AF540"/>
  <c r="AG540"/>
  <c r="P541"/>
  <c r="W541"/>
  <c r="AA541"/>
  <c r="AB541"/>
  <c r="AD541"/>
  <c r="AE541"/>
  <c r="AF541"/>
  <c r="AG541"/>
  <c r="P542"/>
  <c r="W542"/>
  <c r="AA542"/>
  <c r="AB542"/>
  <c r="AD542"/>
  <c r="AE542"/>
  <c r="AF542"/>
  <c r="AG542"/>
  <c r="P543"/>
  <c r="W543"/>
  <c r="AA543"/>
  <c r="AB543"/>
  <c r="AD543"/>
  <c r="AE543"/>
  <c r="AF543"/>
  <c r="AG543"/>
  <c r="P544"/>
  <c r="W544"/>
  <c r="AA544"/>
  <c r="AB544"/>
  <c r="AD544"/>
  <c r="AE544"/>
  <c r="AF544"/>
  <c r="AG544"/>
  <c r="P545"/>
  <c r="W545"/>
  <c r="AA545"/>
  <c r="AB545"/>
  <c r="AD545"/>
  <c r="AE545"/>
  <c r="AF545"/>
  <c r="AG545"/>
  <c r="P546"/>
  <c r="W546"/>
  <c r="AA546"/>
  <c r="AB546"/>
  <c r="AD546"/>
  <c r="AE546"/>
  <c r="AF546"/>
  <c r="AG546"/>
  <c r="P547"/>
  <c r="W547"/>
  <c r="AA547"/>
  <c r="AB547"/>
  <c r="AD547"/>
  <c r="AE547"/>
  <c r="AF547"/>
  <c r="AG547"/>
  <c r="P548"/>
  <c r="W548"/>
  <c r="AA548"/>
  <c r="AB548"/>
  <c r="AD548"/>
  <c r="AE548"/>
  <c r="AF548"/>
  <c r="AG548"/>
  <c r="P549"/>
  <c r="W549"/>
  <c r="AA549"/>
  <c r="AB549"/>
  <c r="AD549"/>
  <c r="AE549"/>
  <c r="AF549"/>
  <c r="AG549"/>
  <c r="P550"/>
  <c r="W550"/>
  <c r="AA550"/>
  <c r="AB550"/>
  <c r="AD550"/>
  <c r="AE550"/>
  <c r="AF550"/>
  <c r="AG550"/>
  <c r="P551"/>
  <c r="W551"/>
  <c r="AA551"/>
  <c r="AB551"/>
  <c r="AD551"/>
  <c r="AE551"/>
  <c r="AF551"/>
  <c r="AG551"/>
  <c r="P552"/>
  <c r="W552"/>
  <c r="AA552"/>
  <c r="AB552"/>
  <c r="AD552"/>
  <c r="AE552"/>
  <c r="AF552"/>
  <c r="AG552"/>
  <c r="P553"/>
  <c r="W553"/>
  <c r="AA553"/>
  <c r="AB553"/>
  <c r="AD553"/>
  <c r="AE553"/>
  <c r="AF553"/>
  <c r="AG553"/>
  <c r="P554"/>
  <c r="W554"/>
  <c r="AA554"/>
  <c r="AB554"/>
  <c r="AD554"/>
  <c r="AE554"/>
  <c r="AF554"/>
  <c r="AG554"/>
  <c r="P555"/>
  <c r="W555"/>
  <c r="AA555"/>
  <c r="AB555"/>
  <c r="AD555"/>
  <c r="AE555"/>
  <c r="AF555"/>
  <c r="AG555"/>
  <c r="P556"/>
  <c r="W556"/>
  <c r="AA556"/>
  <c r="AB556"/>
  <c r="AD556"/>
  <c r="AE556"/>
  <c r="AF556"/>
  <c r="AG556"/>
  <c r="P557"/>
  <c r="W557"/>
  <c r="AA557"/>
  <c r="AB557"/>
  <c r="AD557"/>
  <c r="AE557"/>
  <c r="AF557"/>
  <c r="AG557"/>
  <c r="P558"/>
  <c r="W558"/>
  <c r="AA558"/>
  <c r="AB558"/>
  <c r="AD558"/>
  <c r="AE558"/>
  <c r="AF558"/>
  <c r="AG558"/>
  <c r="P559"/>
  <c r="W559"/>
  <c r="AA559"/>
  <c r="AB559"/>
  <c r="AD559"/>
  <c r="AE559"/>
  <c r="AF559"/>
  <c r="AG559"/>
  <c r="P560"/>
  <c r="W560"/>
  <c r="AA560"/>
  <c r="AB560"/>
  <c r="AD560"/>
  <c r="AE560"/>
  <c r="AF560"/>
  <c r="AG560"/>
  <c r="P561"/>
  <c r="W561"/>
  <c r="AA561"/>
  <c r="AB561"/>
  <c r="AD561"/>
  <c r="AE561"/>
  <c r="AF561"/>
  <c r="AG561"/>
  <c r="P562"/>
  <c r="W562"/>
  <c r="AA562"/>
  <c r="AB562"/>
  <c r="AD562"/>
  <c r="AE562"/>
  <c r="AF562"/>
  <c r="AG562"/>
  <c r="P563"/>
  <c r="W563"/>
  <c r="AA563"/>
  <c r="AB563"/>
  <c r="AD563"/>
  <c r="AE563"/>
  <c r="AF563"/>
  <c r="AG563"/>
  <c r="P564"/>
  <c r="W564"/>
  <c r="AA564"/>
  <c r="AB564"/>
  <c r="AD564"/>
  <c r="AE564"/>
  <c r="AF564"/>
  <c r="AG564"/>
  <c r="P565"/>
  <c r="W565"/>
  <c r="AA565"/>
  <c r="AB565"/>
  <c r="AD565"/>
  <c r="AE565"/>
  <c r="AF565"/>
  <c r="AG565"/>
  <c r="P566"/>
  <c r="W566"/>
  <c r="AA566"/>
  <c r="AB566"/>
  <c r="AD566"/>
  <c r="AE566"/>
  <c r="AF566"/>
  <c r="AG566"/>
  <c r="P567"/>
  <c r="W567"/>
  <c r="AA567"/>
  <c r="AB567"/>
  <c r="AD567"/>
  <c r="AE567"/>
  <c r="AF567"/>
  <c r="AG567"/>
  <c r="P568"/>
  <c r="W568"/>
  <c r="AA568"/>
  <c r="AB568"/>
  <c r="AD568"/>
  <c r="AE568"/>
  <c r="AF568"/>
  <c r="AG568"/>
  <c r="P569"/>
  <c r="W569"/>
  <c r="AA569"/>
  <c r="AB569"/>
  <c r="AD569"/>
  <c r="AE569"/>
  <c r="AF569"/>
  <c r="AG569"/>
  <c r="P570"/>
  <c r="W570"/>
  <c r="AA570"/>
  <c r="AB570"/>
  <c r="AD570"/>
  <c r="AE570"/>
  <c r="AF570"/>
  <c r="AG570"/>
  <c r="P571"/>
  <c r="W571"/>
  <c r="AA571"/>
  <c r="AB571"/>
  <c r="AD571"/>
  <c r="AE571"/>
  <c r="AF571"/>
  <c r="AG571"/>
  <c r="P572"/>
  <c r="W572"/>
  <c r="AA572"/>
  <c r="AB572"/>
  <c r="AD572"/>
  <c r="AE572"/>
  <c r="AF572"/>
  <c r="AG572"/>
  <c r="P573"/>
  <c r="W573"/>
  <c r="AA573"/>
  <c r="AB573"/>
  <c r="AD573"/>
  <c r="AE573"/>
  <c r="AF573"/>
  <c r="AG573"/>
  <c r="P574"/>
  <c r="W574"/>
  <c r="AA574"/>
  <c r="AB574"/>
  <c r="AD574"/>
  <c r="AE574"/>
  <c r="AF574"/>
  <c r="AG574"/>
  <c r="P575"/>
  <c r="W575"/>
  <c r="AA575"/>
  <c r="AB575"/>
  <c r="AD575"/>
  <c r="AE575"/>
  <c r="AF575"/>
  <c r="AG575"/>
  <c r="P576"/>
  <c r="W576"/>
  <c r="AA576"/>
  <c r="AB576"/>
  <c r="AD576"/>
  <c r="AE576"/>
  <c r="AF576"/>
  <c r="AG576"/>
  <c r="P577"/>
  <c r="W577"/>
  <c r="AA577"/>
  <c r="AB577"/>
  <c r="AD577"/>
  <c r="AE577"/>
  <c r="AF577"/>
  <c r="AG577"/>
  <c r="P578"/>
  <c r="W578"/>
  <c r="AA578"/>
  <c r="AB578"/>
  <c r="AD578"/>
  <c r="AE578"/>
  <c r="AF578"/>
  <c r="AG578"/>
  <c r="P579"/>
  <c r="W579"/>
  <c r="AA579"/>
  <c r="AB579"/>
  <c r="AD579"/>
  <c r="AE579"/>
  <c r="AF579"/>
  <c r="AG579"/>
  <c r="P580"/>
  <c r="W580"/>
  <c r="AA580"/>
  <c r="AB580"/>
  <c r="AD580"/>
  <c r="AE580"/>
  <c r="AF580"/>
  <c r="AG580"/>
  <c r="P581"/>
  <c r="W581"/>
  <c r="AA581"/>
  <c r="AB581"/>
  <c r="AD581"/>
  <c r="AE581"/>
  <c r="AF581"/>
  <c r="AG581"/>
  <c r="P582"/>
  <c r="W582"/>
  <c r="AA582"/>
  <c r="AB582"/>
  <c r="AD582"/>
  <c r="AE582"/>
  <c r="AF582"/>
  <c r="AG582"/>
  <c r="P583"/>
  <c r="W583"/>
  <c r="AA583"/>
  <c r="AB583"/>
  <c r="AD583"/>
  <c r="AE583"/>
  <c r="AF583"/>
  <c r="AG583"/>
  <c r="P584"/>
  <c r="W584"/>
  <c r="AA584"/>
  <c r="AB584"/>
  <c r="AD584"/>
  <c r="AE584"/>
  <c r="AF584"/>
  <c r="AG584"/>
  <c r="P585"/>
  <c r="W585"/>
  <c r="AA585"/>
  <c r="AB585"/>
  <c r="AD585"/>
  <c r="AE585"/>
  <c r="AF585"/>
  <c r="AG585"/>
  <c r="P586"/>
  <c r="W586"/>
  <c r="AA586"/>
  <c r="AB586"/>
  <c r="AD586"/>
  <c r="AE586"/>
  <c r="AF586"/>
  <c r="AG586"/>
  <c r="P587"/>
  <c r="W587"/>
  <c r="AA587"/>
  <c r="AB587"/>
  <c r="AD587"/>
  <c r="AE587"/>
  <c r="AF587"/>
  <c r="AG587"/>
  <c r="P588"/>
  <c r="W588"/>
  <c r="AA588"/>
  <c r="AB588"/>
  <c r="AD588"/>
  <c r="AE588"/>
  <c r="AF588"/>
  <c r="AG588"/>
  <c r="P589"/>
  <c r="W589"/>
  <c r="AA589"/>
  <c r="AB589"/>
  <c r="AD589"/>
  <c r="AE589"/>
  <c r="AF589"/>
  <c r="AG589"/>
  <c r="P590"/>
  <c r="W590"/>
  <c r="AA590"/>
  <c r="AB590"/>
  <c r="AD590"/>
  <c r="AE590"/>
  <c r="AF590"/>
  <c r="AG590"/>
  <c r="P591"/>
  <c r="W591"/>
  <c r="AA591"/>
  <c r="AB591"/>
  <c r="AD591"/>
  <c r="AE591"/>
  <c r="AF591"/>
  <c r="AG591"/>
  <c r="P592"/>
  <c r="W592"/>
  <c r="AA592"/>
  <c r="AB592"/>
  <c r="AD592"/>
  <c r="AE592"/>
  <c r="AF592"/>
  <c r="AG592"/>
  <c r="P593"/>
  <c r="W593"/>
  <c r="AA593"/>
  <c r="AB593"/>
  <c r="AD593"/>
  <c r="AE593"/>
  <c r="AF593"/>
  <c r="AG593"/>
  <c r="P594"/>
  <c r="W594"/>
  <c r="AA594"/>
  <c r="AB594"/>
  <c r="AD594"/>
  <c r="AE594"/>
  <c r="AF594"/>
  <c r="AG594"/>
  <c r="P595"/>
  <c r="W595"/>
  <c r="AA595"/>
  <c r="AB595"/>
  <c r="AD595"/>
  <c r="AE595"/>
  <c r="AF595"/>
  <c r="AG595"/>
  <c r="P596"/>
  <c r="W596"/>
  <c r="AA596"/>
  <c r="AB596"/>
  <c r="AD596"/>
  <c r="AE596"/>
  <c r="AF596"/>
  <c r="AG596"/>
  <c r="P597"/>
  <c r="W597"/>
  <c r="AA597"/>
  <c r="AB597"/>
  <c r="AD597"/>
  <c r="AE597"/>
  <c r="AF597"/>
  <c r="AG597"/>
  <c r="P598"/>
  <c r="W598"/>
  <c r="AA598"/>
  <c r="AB598"/>
  <c r="AD598"/>
  <c r="AE598"/>
  <c r="AF598"/>
  <c r="AG598"/>
  <c r="P599"/>
  <c r="W599"/>
  <c r="AA599"/>
  <c r="AB599"/>
  <c r="AD599"/>
  <c r="AE599"/>
  <c r="AF599"/>
  <c r="AG599"/>
  <c r="P600"/>
  <c r="W600"/>
  <c r="AA600"/>
  <c r="AB600"/>
  <c r="AD600"/>
  <c r="AE600"/>
  <c r="AF600"/>
  <c r="AG600"/>
  <c r="P601"/>
  <c r="W601"/>
  <c r="AA601"/>
  <c r="AB601"/>
  <c r="AD601"/>
  <c r="AE601"/>
  <c r="AF601"/>
  <c r="AG601"/>
  <c r="P602"/>
  <c r="W602"/>
  <c r="AA602"/>
  <c r="AB602"/>
  <c r="AD602"/>
  <c r="AE602"/>
  <c r="AF602"/>
  <c r="AG602"/>
  <c r="P603"/>
  <c r="W603"/>
  <c r="AA603"/>
  <c r="AB603"/>
  <c r="AD603"/>
  <c r="AE603"/>
  <c r="AF603"/>
  <c r="AG603"/>
  <c r="P604"/>
  <c r="W604"/>
  <c r="AA604"/>
  <c r="AB604"/>
  <c r="AD604"/>
  <c r="AE604"/>
  <c r="AF604"/>
  <c r="AG604"/>
  <c r="P605"/>
  <c r="W605"/>
  <c r="AA605"/>
  <c r="AB605"/>
  <c r="AD605"/>
  <c r="AE605"/>
  <c r="AF605"/>
  <c r="AG605"/>
  <c r="P606"/>
  <c r="W606"/>
  <c r="AA606"/>
  <c r="AB606"/>
  <c r="AD606"/>
  <c r="AE606"/>
  <c r="AF606"/>
  <c r="AG606"/>
  <c r="P607"/>
  <c r="W607"/>
  <c r="AA607"/>
  <c r="AB607"/>
  <c r="AD607"/>
  <c r="AE607"/>
  <c r="AF607"/>
  <c r="AG607"/>
  <c r="P608"/>
  <c r="W608"/>
  <c r="AA608"/>
  <c r="AB608"/>
  <c r="AD608"/>
  <c r="AE608"/>
  <c r="AF608"/>
  <c r="AG608"/>
  <c r="P609"/>
  <c r="W609"/>
  <c r="AA609"/>
  <c r="AB609"/>
  <c r="AD609"/>
  <c r="AE609"/>
  <c r="AF609"/>
  <c r="AG609"/>
  <c r="P610"/>
  <c r="W610"/>
  <c r="AA610"/>
  <c r="AB610"/>
  <c r="AD610"/>
  <c r="AE610"/>
  <c r="AF610"/>
  <c r="AG610"/>
  <c r="P611" l="1"/>
  <c r="W611"/>
  <c r="AA611"/>
  <c r="AB611"/>
  <c r="AD611"/>
  <c r="AE611"/>
  <c r="AF611"/>
  <c r="AG611"/>
  <c r="P612"/>
  <c r="W612"/>
  <c r="AA612"/>
  <c r="AB612"/>
  <c r="AD612"/>
  <c r="AE612"/>
  <c r="AF612"/>
  <c r="AG612"/>
  <c r="P613"/>
  <c r="W613"/>
  <c r="AA613"/>
  <c r="AB613"/>
  <c r="AD613"/>
  <c r="AE613"/>
  <c r="AF613"/>
  <c r="AG613"/>
  <c r="P614"/>
  <c r="W614"/>
  <c r="AA614"/>
  <c r="AB614"/>
  <c r="AD614"/>
  <c r="AE614"/>
  <c r="AF614"/>
  <c r="AG614"/>
  <c r="P615"/>
  <c r="W615"/>
  <c r="AA615"/>
  <c r="AB615"/>
  <c r="AD615"/>
  <c r="AE615"/>
  <c r="AF615"/>
  <c r="AG615"/>
  <c r="P616"/>
  <c r="W616"/>
  <c r="AA616"/>
  <c r="AB616"/>
  <c r="AD616"/>
  <c r="AE616"/>
  <c r="AF616"/>
  <c r="AG616"/>
  <c r="P617"/>
  <c r="W617"/>
  <c r="AA617"/>
  <c r="AB617"/>
  <c r="AD617"/>
  <c r="AE617"/>
  <c r="AF617"/>
  <c r="AG617"/>
  <c r="P618"/>
  <c r="W618"/>
  <c r="AA618"/>
  <c r="AB618"/>
  <c r="AD618"/>
  <c r="AE618"/>
  <c r="AF618"/>
  <c r="AG618"/>
  <c r="P619"/>
  <c r="W619"/>
  <c r="AA619"/>
  <c r="AB619"/>
  <c r="AD619"/>
  <c r="AE619"/>
  <c r="AF619"/>
  <c r="AG619"/>
  <c r="P620"/>
  <c r="W620"/>
  <c r="AA620"/>
  <c r="AB620"/>
  <c r="AD620"/>
  <c r="AE620"/>
  <c r="AF620"/>
  <c r="AG620"/>
  <c r="P621"/>
  <c r="W621"/>
  <c r="AA621"/>
  <c r="AB621"/>
  <c r="AD621"/>
  <c r="AE621"/>
  <c r="AF621"/>
  <c r="AG621"/>
  <c r="P622"/>
  <c r="W622"/>
  <c r="AA622"/>
  <c r="AB622"/>
  <c r="AD622"/>
  <c r="AE622"/>
  <c r="AF622"/>
  <c r="AG622"/>
  <c r="P623"/>
  <c r="W623"/>
  <c r="AA623"/>
  <c r="AB623"/>
  <c r="AD623"/>
  <c r="AE623"/>
  <c r="AF623"/>
  <c r="AG623"/>
  <c r="P624"/>
  <c r="W624"/>
  <c r="AA624"/>
  <c r="AB624"/>
  <c r="AD624"/>
  <c r="AE624"/>
  <c r="AF624"/>
  <c r="AG624"/>
  <c r="P625"/>
  <c r="W625"/>
  <c r="AA625"/>
  <c r="AB625"/>
  <c r="AD625"/>
  <c r="AE625"/>
  <c r="AF625"/>
  <c r="AG625"/>
  <c r="P626"/>
  <c r="W626"/>
  <c r="AA626"/>
  <c r="AB626"/>
  <c r="AD626"/>
  <c r="AE626"/>
  <c r="AF626"/>
  <c r="AG626"/>
  <c r="P627"/>
  <c r="W627"/>
  <c r="AA627"/>
  <c r="AB627"/>
  <c r="AD627"/>
  <c r="AE627"/>
  <c r="AF627"/>
  <c r="AG627"/>
  <c r="P628"/>
  <c r="W628"/>
  <c r="AA628"/>
  <c r="AB628"/>
  <c r="AD628"/>
  <c r="AE628"/>
  <c r="AF628"/>
  <c r="AG628"/>
  <c r="P629"/>
  <c r="W629"/>
  <c r="AA629"/>
  <c r="AB629"/>
  <c r="AD629"/>
  <c r="AE629"/>
  <c r="AF629"/>
  <c r="AG629"/>
  <c r="P630"/>
  <c r="W630"/>
  <c r="AA630"/>
  <c r="AB630"/>
  <c r="AD630"/>
  <c r="AE630"/>
  <c r="AF630"/>
  <c r="AG630"/>
  <c r="P631"/>
  <c r="W631"/>
  <c r="AA631"/>
  <c r="AB631"/>
  <c r="AD631"/>
  <c r="AE631"/>
  <c r="AF631"/>
  <c r="AG631"/>
  <c r="P632"/>
  <c r="W632"/>
  <c r="AA632"/>
  <c r="AB632"/>
  <c r="AD632"/>
  <c r="AE632"/>
  <c r="AF632"/>
  <c r="AG632"/>
  <c r="P633"/>
  <c r="W633"/>
  <c r="AA633"/>
  <c r="AB633"/>
  <c r="AD633"/>
  <c r="AE633"/>
  <c r="AF633"/>
  <c r="AG633"/>
  <c r="P634"/>
  <c r="W634"/>
  <c r="AA634"/>
  <c r="AB634"/>
  <c r="AD634"/>
  <c r="AE634"/>
  <c r="AF634"/>
  <c r="AG634"/>
  <c r="P635"/>
  <c r="W635"/>
  <c r="AA635"/>
  <c r="AB635"/>
  <c r="AD635"/>
  <c r="AE635"/>
  <c r="AF635"/>
  <c r="AG635"/>
  <c r="P636"/>
  <c r="W636"/>
  <c r="AA636"/>
  <c r="AB636"/>
  <c r="AD636"/>
  <c r="AE636"/>
  <c r="AF636"/>
  <c r="AG636"/>
  <c r="P637"/>
  <c r="W637"/>
  <c r="AA637"/>
  <c r="AB637"/>
  <c r="AD637"/>
  <c r="AE637"/>
  <c r="AF637"/>
  <c r="AG637"/>
  <c r="P638"/>
  <c r="W638"/>
  <c r="AA638"/>
  <c r="AB638"/>
  <c r="AD638"/>
  <c r="AE638"/>
  <c r="AF638"/>
  <c r="AG638"/>
  <c r="P639"/>
  <c r="W639"/>
  <c r="AA639"/>
  <c r="AB639"/>
  <c r="AD639"/>
  <c r="AE639"/>
  <c r="AF639"/>
  <c r="AG639"/>
  <c r="P640"/>
  <c r="W640"/>
  <c r="AA640"/>
  <c r="AB640"/>
  <c r="AD640"/>
  <c r="AE640"/>
  <c r="AF640"/>
  <c r="AG640"/>
  <c r="P641"/>
  <c r="W641"/>
  <c r="AA641"/>
  <c r="AB641"/>
  <c r="AD641"/>
  <c r="AE641"/>
  <c r="AF641"/>
  <c r="AG641"/>
  <c r="P642"/>
  <c r="W642"/>
  <c r="AA642"/>
  <c r="AB642"/>
  <c r="AD642"/>
  <c r="AE642"/>
  <c r="AF642"/>
  <c r="AG642"/>
  <c r="P643"/>
  <c r="W643"/>
  <c r="AA643"/>
  <c r="AB643"/>
  <c r="AD643"/>
  <c r="AE643"/>
  <c r="AF643"/>
  <c r="AG643"/>
  <c r="P644"/>
  <c r="W644"/>
  <c r="AA644"/>
  <c r="AB644"/>
  <c r="AD644"/>
  <c r="AE644"/>
  <c r="AF644"/>
  <c r="AG644"/>
  <c r="P645"/>
  <c r="W645"/>
  <c r="AA645"/>
  <c r="AB645"/>
  <c r="AD645"/>
  <c r="AE645"/>
  <c r="AF645"/>
  <c r="AG645"/>
  <c r="P646"/>
  <c r="W646"/>
  <c r="AA646"/>
  <c r="AB646"/>
  <c r="AD646"/>
  <c r="AE646"/>
  <c r="AF646"/>
  <c r="AG646"/>
  <c r="P647"/>
  <c r="W647"/>
  <c r="AA647"/>
  <c r="AB647"/>
  <c r="AD647"/>
  <c r="AE647"/>
  <c r="AF647"/>
  <c r="AG647"/>
  <c r="P648"/>
  <c r="W648"/>
  <c r="AA648"/>
  <c r="AB648"/>
  <c r="AD648"/>
  <c r="AE648"/>
  <c r="AF648"/>
  <c r="AG648"/>
  <c r="P649"/>
  <c r="W649"/>
  <c r="AA649"/>
  <c r="AB649"/>
  <c r="AD649"/>
  <c r="AE649"/>
  <c r="AF649"/>
  <c r="AG649"/>
  <c r="P650"/>
  <c r="W650"/>
  <c r="AA650"/>
  <c r="AB650"/>
  <c r="AD650"/>
  <c r="AE650"/>
  <c r="AF650"/>
  <c r="AG650"/>
  <c r="P651"/>
  <c r="W651"/>
  <c r="AA651"/>
  <c r="AB651"/>
  <c r="AD651"/>
  <c r="AE651"/>
  <c r="AF651"/>
  <c r="AG651"/>
  <c r="P652"/>
  <c r="W652"/>
  <c r="AA652"/>
  <c r="AB652"/>
  <c r="AD652"/>
  <c r="AE652"/>
  <c r="AF652"/>
  <c r="AG652"/>
  <c r="P653"/>
  <c r="W653"/>
  <c r="AA653"/>
  <c r="AB653"/>
  <c r="AD653"/>
  <c r="AE653"/>
  <c r="AF653"/>
  <c r="AG653"/>
  <c r="P654"/>
  <c r="W654"/>
  <c r="AA654"/>
  <c r="AB654"/>
  <c r="AD654"/>
  <c r="AE654"/>
  <c r="AF654"/>
  <c r="AG654"/>
  <c r="P655"/>
  <c r="W655"/>
  <c r="AA655"/>
  <c r="AB655"/>
  <c r="AD655"/>
  <c r="AE655"/>
  <c r="AF655"/>
  <c r="AG655"/>
  <c r="P656"/>
  <c r="W656"/>
  <c r="AA656"/>
  <c r="AB656"/>
  <c r="AD656"/>
  <c r="AE656"/>
  <c r="AF656"/>
  <c r="AG656"/>
  <c r="P657"/>
  <c r="W657"/>
  <c r="AA657"/>
  <c r="AB657"/>
  <c r="AD657"/>
  <c r="AE657"/>
  <c r="AF657"/>
  <c r="AG657"/>
  <c r="P658"/>
  <c r="W658"/>
  <c r="AA658"/>
  <c r="AB658"/>
  <c r="AD658"/>
  <c r="AE658"/>
  <c r="AF658"/>
  <c r="AG658"/>
  <c r="P659"/>
  <c r="W659"/>
  <c r="AA659"/>
  <c r="AB659"/>
  <c r="AD659"/>
  <c r="AE659"/>
  <c r="AF659"/>
  <c r="AG659"/>
  <c r="P660"/>
  <c r="W660"/>
  <c r="AA660"/>
  <c r="AB660"/>
  <c r="AD660"/>
  <c r="AE660"/>
  <c r="AF660"/>
  <c r="AG660"/>
  <c r="P661"/>
  <c r="W661"/>
  <c r="AA661"/>
  <c r="AB661"/>
  <c r="AD661"/>
  <c r="AE661"/>
  <c r="AF661"/>
  <c r="AG661"/>
  <c r="P662"/>
  <c r="W662"/>
  <c r="AA662"/>
  <c r="AB662"/>
  <c r="AD662"/>
  <c r="AE662"/>
  <c r="AF662"/>
  <c r="AG662"/>
  <c r="P663"/>
  <c r="W663"/>
  <c r="AA663"/>
  <c r="AB663"/>
  <c r="AD663"/>
  <c r="AE663"/>
  <c r="AF663"/>
  <c r="AG663"/>
  <c r="P664"/>
  <c r="W664"/>
  <c r="AA664"/>
  <c r="AB664"/>
  <c r="AD664"/>
  <c r="AE664"/>
  <c r="AF664"/>
  <c r="AG664"/>
  <c r="P665"/>
  <c r="W665"/>
  <c r="AA665"/>
  <c r="AB665"/>
  <c r="AD665"/>
  <c r="AE665"/>
  <c r="AF665"/>
  <c r="AG665"/>
  <c r="P666"/>
  <c r="W666"/>
  <c r="AA666"/>
  <c r="AB666"/>
  <c r="AD666"/>
  <c r="AE666"/>
  <c r="AF666"/>
  <c r="AG666"/>
  <c r="P667"/>
  <c r="W667"/>
  <c r="AA667"/>
  <c r="AB667"/>
  <c r="AD667"/>
  <c r="AE667"/>
  <c r="AF667"/>
  <c r="AG667"/>
  <c r="P668"/>
  <c r="W668"/>
  <c r="AA668"/>
  <c r="AB668"/>
  <c r="AD668"/>
  <c r="AE668"/>
  <c r="AF668"/>
  <c r="AG668"/>
  <c r="P669"/>
  <c r="W669"/>
  <c r="AA669"/>
  <c r="AB669"/>
  <c r="AD669"/>
  <c r="AE669"/>
  <c r="AF669"/>
  <c r="AG669"/>
  <c r="P670"/>
  <c r="W670"/>
  <c r="AA670"/>
  <c r="AB670"/>
  <c r="AD670"/>
  <c r="AE670"/>
  <c r="AF670"/>
  <c r="AG670"/>
  <c r="P671"/>
  <c r="W671"/>
  <c r="AA671"/>
  <c r="AB671"/>
  <c r="AD671"/>
  <c r="AE671"/>
  <c r="AF671"/>
  <c r="AG671"/>
  <c r="P672"/>
  <c r="W672"/>
  <c r="AA672"/>
  <c r="AB672"/>
  <c r="AD672"/>
  <c r="AE672"/>
  <c r="AF672"/>
  <c r="AG672"/>
  <c r="P673"/>
  <c r="W673"/>
  <c r="AA673"/>
  <c r="AB673"/>
  <c r="AD673"/>
  <c r="AE673"/>
  <c r="AF673"/>
  <c r="AG673"/>
  <c r="P674"/>
  <c r="W674"/>
  <c r="AA674"/>
  <c r="AB674"/>
  <c r="AD674"/>
  <c r="AE674"/>
  <c r="AF674"/>
  <c r="AG674"/>
  <c r="P675"/>
  <c r="W675"/>
  <c r="AA675"/>
  <c r="AB675"/>
  <c r="AD675"/>
  <c r="AE675"/>
  <c r="AF675"/>
  <c r="AG675"/>
  <c r="P676"/>
  <c r="W676"/>
  <c r="AA676"/>
  <c r="AB676"/>
  <c r="AD676"/>
  <c r="AE676"/>
  <c r="AF676"/>
  <c r="AG676"/>
  <c r="P677"/>
  <c r="W677"/>
  <c r="AA677"/>
  <c r="AB677"/>
  <c r="AD677"/>
  <c r="AE677"/>
  <c r="AF677"/>
  <c r="AG677"/>
  <c r="P678"/>
  <c r="W678"/>
  <c r="AA678"/>
  <c r="AB678"/>
  <c r="AD678"/>
  <c r="AE678"/>
  <c r="AF678"/>
  <c r="AG678"/>
  <c r="P679"/>
  <c r="W679"/>
  <c r="AA679"/>
  <c r="AB679"/>
  <c r="AD679"/>
  <c r="AE679"/>
  <c r="AF679"/>
  <c r="AG679"/>
  <c r="P680"/>
  <c r="W680"/>
  <c r="AA680"/>
  <c r="AB680"/>
  <c r="AD680"/>
  <c r="AE680"/>
  <c r="AF680"/>
  <c r="AG680"/>
  <c r="P681"/>
  <c r="W681"/>
  <c r="AA681"/>
  <c r="AB681"/>
  <c r="AD681"/>
  <c r="AE681"/>
  <c r="AF681"/>
  <c r="AG681"/>
  <c r="P682"/>
  <c r="W682"/>
  <c r="AA682"/>
  <c r="AB682"/>
  <c r="AD682"/>
  <c r="AE682"/>
  <c r="AF682"/>
  <c r="AG682"/>
  <c r="P683"/>
  <c r="W683"/>
  <c r="AA683"/>
  <c r="AB683"/>
  <c r="AD683"/>
  <c r="AE683"/>
  <c r="AF683"/>
  <c r="AG683"/>
  <c r="P684"/>
  <c r="W684"/>
  <c r="AA684"/>
  <c r="AB684"/>
  <c r="AD684"/>
  <c r="AE684"/>
  <c r="AF684"/>
  <c r="AG684"/>
  <c r="P685"/>
  <c r="W685"/>
  <c r="AA685"/>
  <c r="AB685"/>
  <c r="AD685"/>
  <c r="AE685"/>
  <c r="AF685"/>
  <c r="AG685"/>
  <c r="P686"/>
  <c r="W686"/>
  <c r="AA686"/>
  <c r="AB686"/>
  <c r="AD686"/>
  <c r="AE686"/>
  <c r="AF686"/>
  <c r="AG686"/>
  <c r="P687"/>
  <c r="W687"/>
  <c r="AA687"/>
  <c r="AB687"/>
  <c r="AD687"/>
  <c r="AE687"/>
  <c r="AF687"/>
  <c r="AG687"/>
  <c r="P688"/>
  <c r="W688"/>
  <c r="AA688"/>
  <c r="AB688"/>
  <c r="AD688"/>
  <c r="AE688"/>
  <c r="AF688"/>
  <c r="AG688"/>
  <c r="P689"/>
  <c r="W689"/>
  <c r="AA689"/>
  <c r="AB689"/>
  <c r="AD689"/>
  <c r="AE689"/>
  <c r="AF689"/>
  <c r="AG689"/>
  <c r="P690"/>
  <c r="W690"/>
  <c r="AA690"/>
  <c r="AB690"/>
  <c r="AD690"/>
  <c r="AE690"/>
  <c r="AF690"/>
  <c r="AG690"/>
  <c r="P691"/>
  <c r="W691"/>
  <c r="AA691"/>
  <c r="AB691"/>
  <c r="AD691"/>
  <c r="AE691"/>
  <c r="AF691"/>
  <c r="AG691"/>
  <c r="P692"/>
  <c r="W692"/>
  <c r="AA692"/>
  <c r="AB692"/>
  <c r="AD692"/>
  <c r="AE692"/>
  <c r="AF692"/>
  <c r="AG692"/>
  <c r="P693"/>
  <c r="W693"/>
  <c r="AA693"/>
  <c r="AB693"/>
  <c r="AD693"/>
  <c r="AE693"/>
  <c r="AF693"/>
  <c r="AG693"/>
  <c r="P694"/>
  <c r="W694"/>
  <c r="AA694"/>
  <c r="AB694"/>
  <c r="AD694"/>
  <c r="AE694"/>
  <c r="AF694"/>
  <c r="AG694"/>
  <c r="P695"/>
  <c r="W695"/>
  <c r="AA695"/>
  <c r="AB695"/>
  <c r="AD695"/>
  <c r="AE695"/>
  <c r="AF695"/>
  <c r="AG695"/>
  <c r="P696"/>
  <c r="W696"/>
  <c r="AA696"/>
  <c r="AB696"/>
  <c r="AD696"/>
  <c r="AE696"/>
  <c r="AF696"/>
  <c r="AG696"/>
  <c r="P697"/>
  <c r="W697"/>
  <c r="AA697"/>
  <c r="AB697"/>
  <c r="AD697"/>
  <c r="AE697"/>
  <c r="AF697"/>
  <c r="AG697"/>
  <c r="P698"/>
  <c r="W698"/>
  <c r="AA698"/>
  <c r="AB698"/>
  <c r="AD698"/>
  <c r="AE698"/>
  <c r="AF698"/>
  <c r="AG698"/>
  <c r="P699"/>
  <c r="W699"/>
  <c r="AA699"/>
  <c r="AB699"/>
  <c r="AD699"/>
  <c r="AE699"/>
  <c r="AF699"/>
  <c r="AG699"/>
  <c r="P700"/>
  <c r="W700"/>
  <c r="AA700"/>
  <c r="AB700"/>
  <c r="AD700"/>
  <c r="AE700"/>
  <c r="AF700"/>
  <c r="AG700"/>
  <c r="P701"/>
  <c r="W701"/>
  <c r="AA701"/>
  <c r="AB701"/>
  <c r="AD701"/>
  <c r="AE701"/>
  <c r="AF701"/>
  <c r="AG701"/>
  <c r="P702"/>
  <c r="W702"/>
  <c r="AA702"/>
  <c r="AB702"/>
  <c r="AD702"/>
  <c r="AE702"/>
  <c r="AF702"/>
  <c r="AG702"/>
  <c r="P703"/>
  <c r="W703"/>
  <c r="AA703"/>
  <c r="AB703"/>
  <c r="AD703"/>
  <c r="AE703"/>
  <c r="AF703"/>
  <c r="AG703"/>
  <c r="P704"/>
  <c r="W704"/>
  <c r="AA704"/>
  <c r="AB704"/>
  <c r="AD704"/>
  <c r="AE704"/>
  <c r="AF704"/>
  <c r="AG704"/>
  <c r="P705"/>
  <c r="W705"/>
  <c r="AA705"/>
  <c r="AB705"/>
  <c r="AD705"/>
  <c r="AE705"/>
  <c r="AF705"/>
  <c r="AG705"/>
  <c r="P706"/>
  <c r="W706"/>
  <c r="AA706"/>
  <c r="AB706"/>
  <c r="AD706"/>
  <c r="AE706"/>
  <c r="AF706"/>
  <c r="AG706"/>
  <c r="P707"/>
  <c r="W707"/>
  <c r="AA707"/>
  <c r="AB707"/>
  <c r="AD707"/>
  <c r="AE707"/>
  <c r="AF707"/>
  <c r="AG707"/>
  <c r="P708"/>
  <c r="W708"/>
  <c r="AA708"/>
  <c r="AB708"/>
  <c r="AD708"/>
  <c r="AE708"/>
  <c r="AF708"/>
  <c r="AG708"/>
  <c r="P709"/>
  <c r="W709"/>
  <c r="AA709"/>
  <c r="AB709"/>
  <c r="AD709"/>
  <c r="AE709"/>
  <c r="AF709"/>
  <c r="AG709"/>
  <c r="P710"/>
  <c r="W710"/>
  <c r="AA710"/>
  <c r="AB710"/>
  <c r="AD710"/>
  <c r="AE710"/>
  <c r="AF710"/>
  <c r="AG710"/>
  <c r="P711"/>
  <c r="W711"/>
  <c r="AA711"/>
  <c r="AB711"/>
  <c r="AD711"/>
  <c r="AE711"/>
  <c r="AF711"/>
  <c r="AG711"/>
  <c r="P712"/>
  <c r="W712"/>
  <c r="AA712"/>
  <c r="AB712"/>
  <c r="AD712"/>
  <c r="AE712"/>
  <c r="AF712"/>
  <c r="AG712"/>
  <c r="P713"/>
  <c r="W713"/>
  <c r="AA713"/>
  <c r="AB713"/>
  <c r="AD713"/>
  <c r="AE713"/>
  <c r="AF713"/>
  <c r="AG713"/>
  <c r="P714"/>
  <c r="W714"/>
  <c r="AA714"/>
  <c r="AB714"/>
  <c r="AD714"/>
  <c r="AE714"/>
  <c r="AF714"/>
  <c r="AG714"/>
  <c r="P715"/>
  <c r="W715"/>
  <c r="AA715"/>
  <c r="AB715"/>
  <c r="AD715"/>
  <c r="AE715"/>
  <c r="AF715"/>
  <c r="AG715"/>
  <c r="P716"/>
  <c r="W716"/>
  <c r="AA716"/>
  <c r="AB716"/>
  <c r="AD716"/>
  <c r="AE716"/>
  <c r="AF716"/>
  <c r="AG716"/>
  <c r="P717"/>
  <c r="W717"/>
  <c r="AA717"/>
  <c r="AB717"/>
  <c r="AD717"/>
  <c r="AE717"/>
  <c r="AF717"/>
  <c r="AG717"/>
  <c r="P718"/>
  <c r="W718"/>
  <c r="AA718"/>
  <c r="AB718"/>
  <c r="AD718"/>
  <c r="AE718"/>
  <c r="AF718"/>
  <c r="AG718"/>
  <c r="P719"/>
  <c r="W719"/>
  <c r="AA719"/>
  <c r="AB719"/>
  <c r="AD719"/>
  <c r="AE719"/>
  <c r="AF719"/>
  <c r="AG719"/>
  <c r="P720"/>
  <c r="W720"/>
  <c r="AA720"/>
  <c r="AB720"/>
  <c r="AD720"/>
  <c r="AE720"/>
  <c r="AF720"/>
  <c r="AG720"/>
  <c r="P721"/>
  <c r="W721"/>
  <c r="AA721"/>
  <c r="AB721"/>
  <c r="AD721"/>
  <c r="AE721"/>
  <c r="AF721"/>
  <c r="AG721"/>
  <c r="P722"/>
  <c r="W722"/>
  <c r="AA722"/>
  <c r="AB722"/>
  <c r="AD722"/>
  <c r="AE722"/>
  <c r="AF722"/>
  <c r="AG722"/>
  <c r="P723"/>
  <c r="W723"/>
  <c r="AA723"/>
  <c r="AB723"/>
  <c r="AD723"/>
  <c r="AE723"/>
  <c r="AF723"/>
  <c r="AG723"/>
  <c r="P724"/>
  <c r="W724"/>
  <c r="AA724"/>
  <c r="AB724"/>
  <c r="AD724"/>
  <c r="AE724"/>
  <c r="AF724"/>
  <c r="AG724"/>
  <c r="P725"/>
  <c r="W725"/>
  <c r="AA725"/>
  <c r="AB725"/>
  <c r="AD725"/>
  <c r="AE725"/>
  <c r="AF725"/>
  <c r="AG725"/>
  <c r="P726"/>
  <c r="W726"/>
  <c r="AA726"/>
  <c r="AB726"/>
  <c r="AD726"/>
  <c r="AE726"/>
  <c r="AF726"/>
  <c r="AG726"/>
  <c r="P727"/>
  <c r="W727"/>
  <c r="AA727"/>
  <c r="AB727"/>
  <c r="AD727"/>
  <c r="AE727"/>
  <c r="AF727"/>
  <c r="AG727"/>
  <c r="P728"/>
  <c r="W728"/>
  <c r="AA728"/>
  <c r="AB728"/>
  <c r="AD728"/>
  <c r="AE728"/>
  <c r="AF728"/>
  <c r="AG728"/>
  <c r="P729"/>
  <c r="W729"/>
  <c r="AA729"/>
  <c r="AB729"/>
  <c r="AD729"/>
  <c r="AE729"/>
  <c r="AF729"/>
  <c r="AG729"/>
  <c r="P730"/>
  <c r="W730"/>
  <c r="AA730"/>
  <c r="AB730"/>
  <c r="AD730"/>
  <c r="AE730"/>
  <c r="AF730"/>
  <c r="AG730"/>
  <c r="P731"/>
  <c r="W731"/>
  <c r="AA731"/>
  <c r="AB731"/>
  <c r="AD731"/>
  <c r="AE731"/>
  <c r="AF731"/>
  <c r="AG731"/>
  <c r="P732"/>
  <c r="W732"/>
  <c r="AA732"/>
  <c r="AB732"/>
  <c r="AD732"/>
  <c r="AE732"/>
  <c r="AF732"/>
  <c r="AG732"/>
  <c r="P733"/>
  <c r="W733"/>
  <c r="AA733"/>
  <c r="AB733"/>
  <c r="AD733"/>
  <c r="AE733"/>
  <c r="AF733"/>
  <c r="AG733"/>
  <c r="P734"/>
  <c r="W734"/>
  <c r="AA734"/>
  <c r="AB734"/>
  <c r="AD734"/>
  <c r="AE734"/>
  <c r="AF734"/>
  <c r="AG734"/>
  <c r="P735"/>
  <c r="W735"/>
  <c r="AA735"/>
  <c r="AB735"/>
  <c r="AD735"/>
  <c r="AE735"/>
  <c r="AF735"/>
  <c r="AG735"/>
  <c r="P736"/>
  <c r="W736"/>
  <c r="AA736"/>
  <c r="AB736"/>
  <c r="AD736"/>
  <c r="AE736"/>
  <c r="AF736"/>
  <c r="AG736"/>
  <c r="P737"/>
  <c r="W737"/>
  <c r="AA737"/>
  <c r="AB737"/>
  <c r="AD737"/>
  <c r="AE737"/>
  <c r="AF737"/>
  <c r="AG737"/>
  <c r="P738"/>
  <c r="W738"/>
  <c r="AA738"/>
  <c r="AB738"/>
  <c r="AD738"/>
  <c r="AE738"/>
  <c r="AF738"/>
  <c r="AG738"/>
  <c r="P739"/>
  <c r="W739"/>
  <c r="AA739"/>
  <c r="AB739"/>
  <c r="AD739"/>
  <c r="AE739"/>
  <c r="AF739"/>
  <c r="AG739"/>
  <c r="P740"/>
  <c r="W740"/>
  <c r="AA740"/>
  <c r="AB740"/>
  <c r="AD740"/>
  <c r="AE740"/>
  <c r="AF740"/>
  <c r="AG740"/>
  <c r="P741"/>
  <c r="W741"/>
  <c r="AA741"/>
  <c r="AB741"/>
  <c r="AD741"/>
  <c r="AE741"/>
  <c r="AF741"/>
  <c r="AG741"/>
  <c r="P742"/>
  <c r="W742"/>
  <c r="AA742"/>
  <c r="AB742"/>
  <c r="AD742"/>
  <c r="AE742"/>
  <c r="AF742"/>
  <c r="AG742"/>
  <c r="P743"/>
  <c r="W743"/>
  <c r="AA743"/>
  <c r="AB743"/>
  <c r="AD743"/>
  <c r="AE743"/>
  <c r="AF743"/>
  <c r="AG743"/>
  <c r="P744"/>
  <c r="W744"/>
  <c r="AA744"/>
  <c r="AB744"/>
  <c r="AD744"/>
  <c r="AE744"/>
  <c r="AF744"/>
  <c r="AG744"/>
  <c r="P745"/>
  <c r="W745"/>
  <c r="AA745"/>
  <c r="AB745"/>
  <c r="AD745"/>
  <c r="AE745"/>
  <c r="AF745"/>
  <c r="AG745"/>
  <c r="P746"/>
  <c r="W746"/>
  <c r="AA746"/>
  <c r="AB746"/>
  <c r="AD746"/>
  <c r="AE746"/>
  <c r="AF746"/>
  <c r="AG746"/>
  <c r="P747"/>
  <c r="W747"/>
  <c r="AA747"/>
  <c r="AB747"/>
  <c r="AD747"/>
  <c r="AE747"/>
  <c r="AF747"/>
  <c r="AG747"/>
  <c r="P748"/>
  <c r="W748"/>
  <c r="AA748"/>
  <c r="AB748"/>
  <c r="AD748"/>
  <c r="AE748"/>
  <c r="AF748"/>
  <c r="AG748"/>
  <c r="P749"/>
  <c r="W749"/>
  <c r="AA749"/>
  <c r="AB749"/>
  <c r="AD749"/>
  <c r="AE749"/>
  <c r="AF749"/>
  <c r="AG749"/>
  <c r="P750"/>
  <c r="W750"/>
  <c r="AA750"/>
  <c r="AB750"/>
  <c r="AD750"/>
  <c r="AE750"/>
  <c r="AF750"/>
  <c r="AG750"/>
  <c r="P751"/>
  <c r="W751"/>
  <c r="AA751"/>
  <c r="AB751"/>
  <c r="AD751"/>
  <c r="AE751"/>
  <c r="AF751"/>
  <c r="AG751"/>
  <c r="P752"/>
  <c r="W752"/>
  <c r="AA752"/>
  <c r="AB752"/>
  <c r="AD752"/>
  <c r="AE752"/>
  <c r="AF752"/>
  <c r="AG752"/>
  <c r="P753"/>
  <c r="W753"/>
  <c r="AA753"/>
  <c r="AB753"/>
  <c r="AD753"/>
  <c r="AE753"/>
  <c r="AF753"/>
  <c r="AG753"/>
  <c r="P754"/>
  <c r="W754"/>
  <c r="AA754"/>
  <c r="AB754"/>
  <c r="AD754"/>
  <c r="AE754"/>
  <c r="AF754"/>
  <c r="AG754"/>
  <c r="P755"/>
  <c r="W755"/>
  <c r="AA755"/>
  <c r="AB755"/>
  <c r="AD755"/>
  <c r="AE755"/>
  <c r="AF755"/>
  <c r="AG755"/>
  <c r="P756"/>
  <c r="W756"/>
  <c r="AA756"/>
  <c r="AB756"/>
  <c r="AD756"/>
  <c r="AE756"/>
  <c r="AF756"/>
  <c r="AG756"/>
  <c r="P757"/>
  <c r="W757"/>
  <c r="AA757"/>
  <c r="AB757"/>
  <c r="AD757"/>
  <c r="AE757"/>
  <c r="AF757"/>
  <c r="AG757"/>
  <c r="P758"/>
  <c r="W758"/>
  <c r="AA758"/>
  <c r="AB758"/>
  <c r="AD758"/>
  <c r="AE758"/>
  <c r="AF758"/>
  <c r="AG758"/>
  <c r="P759"/>
  <c r="W759"/>
  <c r="AA759"/>
  <c r="AB759"/>
  <c r="AD759"/>
  <c r="AE759"/>
  <c r="AF759"/>
  <c r="AG759"/>
  <c r="P760"/>
  <c r="W760"/>
  <c r="AA760"/>
  <c r="AB760"/>
  <c r="AD760"/>
  <c r="AE760"/>
  <c r="AF760"/>
  <c r="AG760"/>
  <c r="P761"/>
  <c r="W761"/>
  <c r="AA761"/>
  <c r="AB761"/>
  <c r="AD761"/>
  <c r="AE761"/>
  <c r="AF761"/>
  <c r="AG761"/>
  <c r="P762"/>
  <c r="W762"/>
  <c r="AA762"/>
  <c r="AB762"/>
  <c r="AD762"/>
  <c r="AE762"/>
  <c r="AF762"/>
  <c r="AG762"/>
  <c r="P763"/>
  <c r="W763"/>
  <c r="AA763"/>
  <c r="AB763"/>
  <c r="AD763"/>
  <c r="AE763"/>
  <c r="AF763"/>
  <c r="AG763"/>
  <c r="P764"/>
  <c r="W764"/>
  <c r="AA764"/>
  <c r="AB764"/>
  <c r="AD764"/>
  <c r="AE764"/>
  <c r="AF764"/>
  <c r="AG764"/>
  <c r="P765"/>
  <c r="W765"/>
  <c r="AA765"/>
  <c r="AB765"/>
  <c r="AD765"/>
  <c r="AE765"/>
  <c r="AF765"/>
  <c r="AG765"/>
  <c r="P766"/>
  <c r="W766"/>
  <c r="AA766"/>
  <c r="AB766"/>
  <c r="AD766"/>
  <c r="AE766"/>
  <c r="AF766"/>
  <c r="AG766"/>
  <c r="P767"/>
  <c r="W767"/>
  <c r="AA767"/>
  <c r="AB767"/>
  <c r="AD767"/>
  <c r="AE767"/>
  <c r="AF767"/>
  <c r="AG767"/>
  <c r="P768"/>
  <c r="W768"/>
  <c r="AA768"/>
  <c r="AB768"/>
  <c r="AD768"/>
  <c r="AE768"/>
  <c r="AF768"/>
  <c r="AG768"/>
  <c r="P769"/>
  <c r="W769"/>
  <c r="AA769"/>
  <c r="AB769"/>
  <c r="AD769"/>
  <c r="AE769"/>
  <c r="AF769"/>
  <c r="AG769"/>
  <c r="P770"/>
  <c r="W770"/>
  <c r="AA770"/>
  <c r="AB770"/>
  <c r="AD770"/>
  <c r="AE770"/>
  <c r="AF770"/>
  <c r="AG770"/>
  <c r="P771"/>
  <c r="W771"/>
  <c r="AA771"/>
  <c r="AB771"/>
  <c r="AD771"/>
  <c r="AE771"/>
  <c r="AF771"/>
  <c r="AG771"/>
  <c r="P772"/>
  <c r="W772"/>
  <c r="AA772"/>
  <c r="AB772"/>
  <c r="AD772"/>
  <c r="AE772"/>
  <c r="AF772"/>
  <c r="AG772"/>
  <c r="P773"/>
  <c r="W773"/>
  <c r="AA773"/>
  <c r="AB773"/>
  <c r="AD773"/>
  <c r="AE773"/>
  <c r="AF773"/>
  <c r="AG773"/>
  <c r="P774"/>
  <c r="W774"/>
  <c r="AA774"/>
  <c r="AB774"/>
  <c r="AD774"/>
  <c r="AE774"/>
  <c r="AF774"/>
  <c r="AG774"/>
  <c r="P775"/>
  <c r="W775"/>
  <c r="AA775"/>
  <c r="AB775"/>
  <c r="AD775"/>
  <c r="AE775"/>
  <c r="AF775"/>
  <c r="AG775"/>
  <c r="P776"/>
  <c r="W776"/>
  <c r="AA776"/>
  <c r="AB776"/>
  <c r="AD776"/>
  <c r="AE776"/>
  <c r="AF776"/>
  <c r="AG776"/>
  <c r="P777"/>
  <c r="W777"/>
  <c r="AA777"/>
  <c r="AB777"/>
  <c r="AD777"/>
  <c r="AE777"/>
  <c r="AF777"/>
  <c r="AG777"/>
  <c r="P778"/>
  <c r="W778"/>
  <c r="AA778"/>
  <c r="AB778"/>
  <c r="AD778"/>
  <c r="AE778"/>
  <c r="AF778"/>
  <c r="AG778"/>
  <c r="P779"/>
  <c r="W779"/>
  <c r="AA779"/>
  <c r="AB779"/>
  <c r="AD779"/>
  <c r="AE779"/>
  <c r="AF779"/>
  <c r="AG779"/>
  <c r="P780"/>
  <c r="W780"/>
  <c r="AA780"/>
  <c r="AB780"/>
  <c r="AD780"/>
  <c r="AE780"/>
  <c r="AF780"/>
  <c r="AG780"/>
  <c r="P781"/>
  <c r="W781"/>
  <c r="AA781"/>
  <c r="AB781"/>
  <c r="AD781"/>
  <c r="AE781"/>
  <c r="AF781"/>
  <c r="AG781"/>
  <c r="P782"/>
  <c r="W782"/>
  <c r="AA782"/>
  <c r="AB782"/>
  <c r="AD782"/>
  <c r="AE782"/>
  <c r="AF782"/>
  <c r="AG782"/>
  <c r="P783"/>
  <c r="W783"/>
  <c r="AA783"/>
  <c r="AB783"/>
  <c r="AD783"/>
  <c r="AE783"/>
  <c r="AF783"/>
  <c r="AG783"/>
  <c r="P784"/>
  <c r="W784"/>
  <c r="AA784"/>
  <c r="AB784"/>
  <c r="AD784"/>
  <c r="AE784"/>
  <c r="AF784"/>
  <c r="AG784"/>
  <c r="P785"/>
  <c r="W785"/>
  <c r="AA785"/>
  <c r="AB785"/>
  <c r="AD785"/>
  <c r="AE785"/>
  <c r="AF785"/>
  <c r="AG785"/>
  <c r="P786"/>
  <c r="W786"/>
  <c r="AA786"/>
  <c r="AB786"/>
  <c r="AD786"/>
  <c r="AE786"/>
  <c r="AF786"/>
  <c r="AG786"/>
  <c r="P787"/>
  <c r="W787"/>
  <c r="AA787"/>
  <c r="AB787"/>
  <c r="AD787"/>
  <c r="AE787"/>
  <c r="AF787"/>
  <c r="AG787"/>
  <c r="P788"/>
  <c r="W788"/>
  <c r="AA788"/>
  <c r="AB788"/>
  <c r="AD788"/>
  <c r="AE788"/>
  <c r="AF788"/>
  <c r="AG788"/>
  <c r="P789"/>
  <c r="W789"/>
  <c r="AA789"/>
  <c r="AB789"/>
  <c r="AD789"/>
  <c r="AE789"/>
  <c r="AF789"/>
  <c r="AG789"/>
  <c r="P790"/>
  <c r="W790"/>
  <c r="AA790"/>
  <c r="AB790"/>
  <c r="AD790"/>
  <c r="AE790"/>
  <c r="AF790"/>
  <c r="AG790"/>
  <c r="P791"/>
  <c r="W791"/>
  <c r="AA791"/>
  <c r="AB791"/>
  <c r="AD791"/>
  <c r="AE791"/>
  <c r="AF791"/>
  <c r="AG791"/>
  <c r="P792"/>
  <c r="W792"/>
  <c r="AA792"/>
  <c r="AB792"/>
  <c r="AD792"/>
  <c r="AE792"/>
  <c r="AF792"/>
  <c r="AG792"/>
  <c r="P793"/>
  <c r="W793"/>
  <c r="AA793"/>
  <c r="AB793"/>
  <c r="AD793"/>
  <c r="AE793"/>
  <c r="AF793"/>
  <c r="AG793"/>
  <c r="P794"/>
  <c r="W794"/>
  <c r="AA794"/>
  <c r="AB794"/>
  <c r="AD794"/>
  <c r="AE794"/>
  <c r="AF794"/>
  <c r="AG794"/>
  <c r="P795"/>
  <c r="W795"/>
  <c r="AA795"/>
  <c r="AB795"/>
  <c r="AD795"/>
  <c r="AE795"/>
  <c r="AF795"/>
  <c r="AG795"/>
  <c r="P796"/>
  <c r="W796"/>
  <c r="AA796"/>
  <c r="AB796"/>
  <c r="AD796"/>
  <c r="AE796"/>
  <c r="AF796"/>
  <c r="AG796"/>
  <c r="P797"/>
  <c r="W797"/>
  <c r="AA797"/>
  <c r="AB797"/>
  <c r="AD797"/>
  <c r="AE797"/>
  <c r="AF797"/>
  <c r="AG797"/>
  <c r="P798"/>
  <c r="W798"/>
  <c r="AA798"/>
  <c r="AB798"/>
  <c r="AD798"/>
  <c r="AE798"/>
  <c r="AF798"/>
  <c r="AG798"/>
  <c r="P799"/>
  <c r="W799"/>
  <c r="AA799"/>
  <c r="AB799"/>
  <c r="AD799"/>
  <c r="AE799"/>
  <c r="AF799"/>
  <c r="AG799"/>
  <c r="P800"/>
  <c r="W800"/>
  <c r="AA800"/>
  <c r="AB800"/>
  <c r="AD800"/>
  <c r="AE800"/>
  <c r="AF800"/>
  <c r="AG800"/>
  <c r="P801"/>
  <c r="W801"/>
  <c r="AA801"/>
  <c r="AB801"/>
  <c r="AD801"/>
  <c r="AE801"/>
  <c r="AF801"/>
  <c r="AG801"/>
  <c r="P802"/>
  <c r="W802"/>
  <c r="AA802"/>
  <c r="AB802"/>
  <c r="AD802"/>
  <c r="AE802"/>
  <c r="AF802"/>
  <c r="AG802"/>
  <c r="P803"/>
  <c r="W803"/>
  <c r="AA803"/>
  <c r="AB803"/>
  <c r="AD803"/>
  <c r="AE803"/>
  <c r="AF803"/>
  <c r="AG803"/>
  <c r="P804"/>
  <c r="W804"/>
  <c r="AA804"/>
  <c r="AB804"/>
  <c r="AD804"/>
  <c r="AE804"/>
  <c r="AF804"/>
  <c r="AG804"/>
  <c r="P805"/>
  <c r="W805"/>
  <c r="AA805"/>
  <c r="AB805"/>
  <c r="AD805"/>
  <c r="AE805"/>
  <c r="AF805"/>
  <c r="AG805"/>
  <c r="P806"/>
  <c r="W806"/>
  <c r="AA806"/>
  <c r="AB806"/>
  <c r="AD806"/>
  <c r="AE806"/>
  <c r="AF806"/>
  <c r="AG806"/>
  <c r="P807"/>
  <c r="W807"/>
  <c r="AA807"/>
  <c r="AB807"/>
  <c r="AD807"/>
  <c r="AE807"/>
  <c r="AF807"/>
  <c r="AG807"/>
  <c r="P808"/>
  <c r="W808"/>
  <c r="AA808"/>
  <c r="AB808"/>
  <c r="AD808"/>
  <c r="AE808"/>
  <c r="AF808"/>
  <c r="AG808"/>
  <c r="P809"/>
  <c r="W809"/>
  <c r="AA809"/>
  <c r="AB809"/>
  <c r="AD809"/>
  <c r="AE809"/>
  <c r="AF809"/>
  <c r="AG809"/>
  <c r="P810"/>
  <c r="W810"/>
  <c r="AA810"/>
  <c r="AB810"/>
  <c r="AD810"/>
  <c r="AE810"/>
  <c r="AF810"/>
  <c r="AG810"/>
  <c r="P811"/>
  <c r="W811"/>
  <c r="AA811"/>
  <c r="AB811"/>
  <c r="AD811"/>
  <c r="AE811"/>
  <c r="AF811"/>
  <c r="AG811"/>
  <c r="P812"/>
  <c r="W812"/>
  <c r="AA812"/>
  <c r="AB812"/>
  <c r="AD812"/>
  <c r="AE812"/>
  <c r="AF812"/>
  <c r="AG812"/>
  <c r="P813"/>
  <c r="W813"/>
  <c r="AA813"/>
  <c r="AB813"/>
  <c r="AD813"/>
  <c r="AE813"/>
  <c r="AF813"/>
  <c r="AG813"/>
  <c r="D18" i="15" l="1"/>
  <c r="C18"/>
  <c r="D61"/>
  <c r="C61"/>
  <c r="C418" i="34" l="1"/>
  <c r="AG418" s="1"/>
  <c r="C429"/>
  <c r="AG429" s="1"/>
  <c r="C430"/>
  <c r="AG430" s="1"/>
  <c r="C431"/>
  <c r="AG431" s="1"/>
  <c r="C415"/>
  <c r="AG415" s="1"/>
  <c r="C428"/>
  <c r="AG428" s="1"/>
  <c r="C407"/>
  <c r="AG407" s="1"/>
  <c r="C410"/>
  <c r="AG410" s="1"/>
  <c r="C411"/>
  <c r="AG411" s="1"/>
  <c r="C412"/>
  <c r="AG412" s="1"/>
  <c r="C413"/>
  <c r="AG413" s="1"/>
  <c r="C416"/>
  <c r="AG416" s="1"/>
  <c r="C417"/>
  <c r="AG417" s="1"/>
  <c r="B405"/>
  <c r="B425"/>
  <c r="B401"/>
  <c r="B402"/>
  <c r="B403"/>
  <c r="B404"/>
  <c r="R12" i="48"/>
  <c r="S12"/>
  <c r="R13"/>
  <c r="S13"/>
  <c r="R14"/>
  <c r="S14"/>
  <c r="R15"/>
  <c r="S15"/>
  <c r="R16"/>
  <c r="S16"/>
  <c r="R17"/>
  <c r="S17"/>
  <c r="R18"/>
  <c r="S18"/>
  <c r="R19"/>
  <c r="S19"/>
  <c r="R20"/>
  <c r="S20"/>
  <c r="R21"/>
  <c r="S21"/>
  <c r="R22"/>
  <c r="S22"/>
  <c r="R23"/>
  <c r="S23"/>
  <c r="R24"/>
  <c r="S24"/>
  <c r="R25"/>
  <c r="S25"/>
  <c r="R26"/>
  <c r="S26"/>
  <c r="R27"/>
  <c r="S27"/>
  <c r="R28"/>
  <c r="S28"/>
  <c r="R29"/>
  <c r="S29"/>
  <c r="R30"/>
  <c r="S30"/>
  <c r="R31"/>
  <c r="S31"/>
  <c r="R32"/>
  <c r="S32"/>
  <c r="R33"/>
  <c r="S33"/>
  <c r="R34"/>
  <c r="S34"/>
  <c r="R35"/>
  <c r="S35"/>
  <c r="R36"/>
  <c r="S36"/>
  <c r="R37"/>
  <c r="S37"/>
  <c r="R38"/>
  <c r="S38"/>
  <c r="R39"/>
  <c r="S39"/>
  <c r="R40"/>
  <c r="S40"/>
  <c r="R41"/>
  <c r="S41"/>
  <c r="R42"/>
  <c r="S42"/>
  <c r="R43"/>
  <c r="S43"/>
  <c r="R44"/>
  <c r="S44"/>
  <c r="R45"/>
  <c r="S45"/>
  <c r="R46"/>
  <c r="S46"/>
  <c r="R47"/>
  <c r="S47"/>
  <c r="R48"/>
  <c r="S48"/>
  <c r="R49"/>
  <c r="S49"/>
  <c r="R50"/>
  <c r="S50"/>
  <c r="R51"/>
  <c r="S51"/>
  <c r="R52"/>
  <c r="S52"/>
  <c r="R53"/>
  <c r="S53"/>
  <c r="R54"/>
  <c r="S54"/>
  <c r="R55"/>
  <c r="S55"/>
  <c r="R56"/>
  <c r="S56"/>
  <c r="R57"/>
  <c r="S57"/>
  <c r="R58"/>
  <c r="S58"/>
  <c r="R59"/>
  <c r="S59"/>
  <c r="R60"/>
  <c r="S60"/>
  <c r="R61"/>
  <c r="S61"/>
  <c r="R62"/>
  <c r="S62"/>
  <c r="R63"/>
  <c r="S63"/>
  <c r="R64"/>
  <c r="S64"/>
  <c r="R65"/>
  <c r="S65"/>
  <c r="R66"/>
  <c r="S66"/>
  <c r="R67"/>
  <c r="S67"/>
  <c r="R68"/>
  <c r="S68"/>
  <c r="R69"/>
  <c r="S69"/>
  <c r="R70"/>
  <c r="S70"/>
  <c r="R71"/>
  <c r="S71"/>
  <c r="R72"/>
  <c r="S72"/>
  <c r="R73"/>
  <c r="S73"/>
  <c r="R74"/>
  <c r="S74"/>
  <c r="S10"/>
  <c r="R10"/>
  <c r="M426" i="34"/>
  <c r="M366"/>
  <c r="M372"/>
  <c r="M371"/>
  <c r="C372"/>
  <c r="AG372" s="1"/>
  <c r="C366"/>
  <c r="AG366" s="1"/>
  <c r="C367"/>
  <c r="AG367" s="1"/>
  <c r="C368"/>
  <c r="AG368" s="1"/>
  <c r="C406"/>
  <c r="AG406" s="1"/>
  <c r="C414"/>
  <c r="AG414" s="1"/>
  <c r="C397"/>
  <c r="AG397" s="1"/>
  <c r="C398"/>
  <c r="AG398" s="1"/>
  <c r="C399"/>
  <c r="AG399" s="1"/>
  <c r="C400"/>
  <c r="AG400" s="1"/>
  <c r="C348"/>
  <c r="AG348" s="1"/>
  <c r="C349"/>
  <c r="AG349" s="1"/>
  <c r="C371"/>
  <c r="AG371" s="1"/>
  <c r="C377"/>
  <c r="AG377" s="1"/>
  <c r="C380"/>
  <c r="AG380" s="1"/>
  <c r="C381"/>
  <c r="AG381" s="1"/>
  <c r="C382"/>
  <c r="AG382" s="1"/>
  <c r="C383"/>
  <c r="AG383" s="1"/>
  <c r="C384"/>
  <c r="AG384" s="1"/>
  <c r="C385"/>
  <c r="AG385" s="1"/>
  <c r="C386"/>
  <c r="AG386" s="1"/>
  <c r="C387"/>
  <c r="AG387" s="1"/>
  <c r="C388"/>
  <c r="AG388" s="1"/>
  <c r="C389"/>
  <c r="AG389" s="1"/>
  <c r="C390"/>
  <c r="AG390" s="1"/>
  <c r="C391"/>
  <c r="AG391" s="1"/>
  <c r="C392"/>
  <c r="AG392" s="1"/>
  <c r="C394"/>
  <c r="AG394" s="1"/>
  <c r="C395"/>
  <c r="AG395" s="1"/>
  <c r="C396"/>
  <c r="AG396" s="1"/>
  <c r="M393"/>
  <c r="C393"/>
  <c r="AG393" s="1"/>
  <c r="M374"/>
  <c r="M373"/>
  <c r="C374"/>
  <c r="AG374" s="1"/>
  <c r="C375"/>
  <c r="AG375" s="1"/>
  <c r="C376"/>
  <c r="AG376" s="1"/>
  <c r="C311"/>
  <c r="AG311" s="1"/>
  <c r="C378"/>
  <c r="AG378" s="1"/>
  <c r="C379"/>
  <c r="AG379" s="1"/>
  <c r="C373"/>
  <c r="AG373" s="1"/>
  <c r="A404" l="1"/>
  <c r="Q404"/>
  <c r="S404"/>
  <c r="U404"/>
  <c r="Y404"/>
  <c r="AC404"/>
  <c r="T404"/>
  <c r="Z404"/>
  <c r="R404"/>
  <c r="V404"/>
  <c r="X404"/>
  <c r="A402"/>
  <c r="Q402"/>
  <c r="S402"/>
  <c r="U402"/>
  <c r="Y402"/>
  <c r="AC402"/>
  <c r="T402"/>
  <c r="Z402"/>
  <c r="R402"/>
  <c r="V402"/>
  <c r="X402"/>
  <c r="A425"/>
  <c r="Q425"/>
  <c r="S425"/>
  <c r="U425"/>
  <c r="Y425"/>
  <c r="AC425"/>
  <c r="R425"/>
  <c r="T425"/>
  <c r="V425"/>
  <c r="X425"/>
  <c r="Z425"/>
  <c r="A403"/>
  <c r="Q403"/>
  <c r="S403"/>
  <c r="U403"/>
  <c r="Y403"/>
  <c r="AC403"/>
  <c r="R403"/>
  <c r="V403"/>
  <c r="X403"/>
  <c r="T403"/>
  <c r="Z403"/>
  <c r="A401"/>
  <c r="Q401"/>
  <c r="S401"/>
  <c r="U401"/>
  <c r="Y401"/>
  <c r="AC401"/>
  <c r="R401"/>
  <c r="V401"/>
  <c r="X401"/>
  <c r="T401"/>
  <c r="Z401"/>
  <c r="A405"/>
  <c r="Q405"/>
  <c r="S405"/>
  <c r="R405"/>
  <c r="U405"/>
  <c r="Y405"/>
  <c r="AC405"/>
  <c r="T405"/>
  <c r="V405"/>
  <c r="X405"/>
  <c r="Z405"/>
  <c r="C289"/>
  <c r="AG289" s="1"/>
  <c r="C290"/>
  <c r="AG290" s="1"/>
  <c r="C291"/>
  <c r="AG291" s="1"/>
  <c r="C292"/>
  <c r="AG292" s="1"/>
  <c r="C293"/>
  <c r="AG293" s="1"/>
  <c r="C294"/>
  <c r="AG294" s="1"/>
  <c r="C295"/>
  <c r="AG295" s="1"/>
  <c r="C296"/>
  <c r="AG296" s="1"/>
  <c r="C297"/>
  <c r="AG297" s="1"/>
  <c r="C298"/>
  <c r="AG298" s="1"/>
  <c r="C299"/>
  <c r="AG299" s="1"/>
  <c r="C308"/>
  <c r="AG308" s="1"/>
  <c r="C309"/>
  <c r="AG309" s="1"/>
  <c r="C310"/>
  <c r="AG310" s="1"/>
  <c r="C314"/>
  <c r="AG314" s="1"/>
  <c r="C315"/>
  <c r="AG315" s="1"/>
  <c r="C316"/>
  <c r="AG316" s="1"/>
  <c r="C330"/>
  <c r="AG330" s="1"/>
  <c r="C336"/>
  <c r="AG336" s="1"/>
  <c r="C337"/>
  <c r="AG337" s="1"/>
  <c r="C338"/>
  <c r="AG338" s="1"/>
  <c r="C339"/>
  <c r="AG339" s="1"/>
  <c r="C340"/>
  <c r="AG340" s="1"/>
  <c r="C341"/>
  <c r="AG341" s="1"/>
  <c r="C342"/>
  <c r="AG342" s="1"/>
  <c r="C343"/>
  <c r="AG343" s="1"/>
  <c r="C344"/>
  <c r="AG344" s="1"/>
  <c r="C345"/>
  <c r="AG345" s="1"/>
  <c r="C346"/>
  <c r="AG346" s="1"/>
  <c r="C347"/>
  <c r="AG347" s="1"/>
  <c r="C356"/>
  <c r="AG356" s="1"/>
  <c r="C357"/>
  <c r="AG357" s="1"/>
  <c r="C363"/>
  <c r="AG363" s="1"/>
  <c r="C364"/>
  <c r="AG364" s="1"/>
  <c r="C365"/>
  <c r="AG365" s="1"/>
  <c r="C279"/>
  <c r="AG279" s="1"/>
  <c r="C280"/>
  <c r="AG280" s="1"/>
  <c r="C281"/>
  <c r="AG281" s="1"/>
  <c r="C307"/>
  <c r="AG307" s="1"/>
  <c r="C312"/>
  <c r="AG312" s="1"/>
  <c r="C313"/>
  <c r="AG313" s="1"/>
  <c r="C328"/>
  <c r="AG328" s="1"/>
  <c r="C329"/>
  <c r="AG329" s="1"/>
  <c r="C333"/>
  <c r="AG333" s="1"/>
  <c r="C334"/>
  <c r="AG334" s="1"/>
  <c r="C335"/>
  <c r="AG335" s="1"/>
  <c r="C355"/>
  <c r="AG355" s="1"/>
  <c r="C362"/>
  <c r="AG362" s="1"/>
  <c r="C282"/>
  <c r="AG282" s="1"/>
  <c r="C283"/>
  <c r="AG283" s="1"/>
  <c r="C284"/>
  <c r="AG284" s="1"/>
  <c r="C285"/>
  <c r="AG285" s="1"/>
  <c r="C286"/>
  <c r="AG286" s="1"/>
  <c r="C287"/>
  <c r="AG287" s="1"/>
  <c r="C288"/>
  <c r="AG288" s="1"/>
  <c r="C278"/>
  <c r="AG278" s="1"/>
  <c r="B279" l="1"/>
  <c r="M16"/>
  <c r="A279" l="1"/>
  <c r="Q279"/>
  <c r="S279"/>
  <c r="U279"/>
  <c r="Y279"/>
  <c r="AC279"/>
  <c r="R279"/>
  <c r="T279"/>
  <c r="V279"/>
  <c r="X279"/>
  <c r="Z279"/>
  <c r="B249"/>
  <c r="B248"/>
  <c r="B247"/>
  <c r="B246"/>
  <c r="B424"/>
  <c r="B423"/>
  <c r="A248" l="1"/>
  <c r="Q248"/>
  <c r="S248"/>
  <c r="U248"/>
  <c r="Y248"/>
  <c r="AC248"/>
  <c r="R248"/>
  <c r="T248"/>
  <c r="V248"/>
  <c r="X248"/>
  <c r="Z248"/>
  <c r="A423"/>
  <c r="Q423"/>
  <c r="S423"/>
  <c r="U423"/>
  <c r="Y423"/>
  <c r="AC423"/>
  <c r="R423"/>
  <c r="T423"/>
  <c r="V423"/>
  <c r="X423"/>
  <c r="Z423"/>
  <c r="A246"/>
  <c r="Q246"/>
  <c r="S246"/>
  <c r="U246"/>
  <c r="Y246"/>
  <c r="AC246"/>
  <c r="R246"/>
  <c r="T246"/>
  <c r="V246"/>
  <c r="X246"/>
  <c r="Z246"/>
  <c r="A424"/>
  <c r="Q424"/>
  <c r="S424"/>
  <c r="U424"/>
  <c r="Y424"/>
  <c r="AC424"/>
  <c r="R424"/>
  <c r="T424"/>
  <c r="V424"/>
  <c r="X424"/>
  <c r="Z424"/>
  <c r="A247"/>
  <c r="Q247"/>
  <c r="S247"/>
  <c r="U247"/>
  <c r="Y247"/>
  <c r="AC247"/>
  <c r="R247"/>
  <c r="T247"/>
  <c r="V247"/>
  <c r="X247"/>
  <c r="Z247"/>
  <c r="A249"/>
  <c r="Q249"/>
  <c r="S249"/>
  <c r="U249"/>
  <c r="Y249"/>
  <c r="AC249"/>
  <c r="R249"/>
  <c r="T249"/>
  <c r="V249"/>
  <c r="X249"/>
  <c r="Z249"/>
  <c r="C320"/>
  <c r="AG320" s="1"/>
  <c r="C360"/>
  <c r="AG360" s="1"/>
  <c r="C361"/>
  <c r="AG361" s="1"/>
  <c r="C358"/>
  <c r="AG358" s="1"/>
  <c r="C359"/>
  <c r="AG359" s="1"/>
  <c r="C354"/>
  <c r="AG354" s="1"/>
  <c r="C331"/>
  <c r="AG331" s="1"/>
  <c r="C332"/>
  <c r="AG332" s="1"/>
  <c r="C350"/>
  <c r="AG350" s="1"/>
  <c r="C351"/>
  <c r="AG351" s="1"/>
  <c r="C319"/>
  <c r="AG319" s="1"/>
  <c r="C318"/>
  <c r="AG318" s="1"/>
  <c r="M325"/>
  <c r="M324"/>
  <c r="C325"/>
  <c r="AG325" s="1"/>
  <c r="C301"/>
  <c r="AG301" s="1"/>
  <c r="C302"/>
  <c r="AG302" s="1"/>
  <c r="C323"/>
  <c r="AG323" s="1"/>
  <c r="C326"/>
  <c r="AG326" s="1"/>
  <c r="C327"/>
  <c r="AG327" s="1"/>
  <c r="C317"/>
  <c r="AG317" s="1"/>
  <c r="C277"/>
  <c r="AG277" s="1"/>
  <c r="C300"/>
  <c r="AG300" s="1"/>
  <c r="C303"/>
  <c r="AG303" s="1"/>
  <c r="C306"/>
  <c r="AG306" s="1"/>
  <c r="C324"/>
  <c r="AG324" s="1"/>
  <c r="C276"/>
  <c r="AG276" s="1"/>
  <c r="M275"/>
  <c r="M274"/>
  <c r="C275"/>
  <c r="AG275" s="1"/>
  <c r="C274"/>
  <c r="AG274" s="1"/>
  <c r="B275" l="1"/>
  <c r="B274"/>
  <c r="M270"/>
  <c r="M269"/>
  <c r="E264"/>
  <c r="AD264" s="1"/>
  <c r="E265"/>
  <c r="AD265" s="1"/>
  <c r="E272"/>
  <c r="AD272" s="1"/>
  <c r="E268"/>
  <c r="AD268" s="1"/>
  <c r="E273"/>
  <c r="AD273" s="1"/>
  <c r="E269"/>
  <c r="AD269" s="1"/>
  <c r="E270"/>
  <c r="AD270" s="1"/>
  <c r="E271"/>
  <c r="AD271" s="1"/>
  <c r="A275" l="1"/>
  <c r="Q275"/>
  <c r="S275"/>
  <c r="U275"/>
  <c r="Y275"/>
  <c r="AC275"/>
  <c r="R275"/>
  <c r="T275"/>
  <c r="V275"/>
  <c r="X275"/>
  <c r="Z275"/>
  <c r="A274"/>
  <c r="Q274"/>
  <c r="S274"/>
  <c r="U274"/>
  <c r="Y274"/>
  <c r="AC274"/>
  <c r="R274"/>
  <c r="T274"/>
  <c r="V274"/>
  <c r="X274"/>
  <c r="Z274"/>
  <c r="E425"/>
  <c r="AD425" s="1"/>
  <c r="M427" l="1"/>
  <c r="M259"/>
  <c r="E260"/>
  <c r="AD260" s="1"/>
  <c r="E259"/>
  <c r="AD259" s="1"/>
  <c r="B262"/>
  <c r="E262"/>
  <c r="AD262" s="1"/>
  <c r="B263"/>
  <c r="E263"/>
  <c r="AD263" s="1"/>
  <c r="B261"/>
  <c r="E261"/>
  <c r="AD261" s="1"/>
  <c r="B242"/>
  <c r="B243"/>
  <c r="A242" l="1"/>
  <c r="Q242"/>
  <c r="S242"/>
  <c r="U242"/>
  <c r="Y242"/>
  <c r="AC242"/>
  <c r="R242"/>
  <c r="T242"/>
  <c r="V242"/>
  <c r="X242"/>
  <c r="Z242"/>
  <c r="A261"/>
  <c r="Q261"/>
  <c r="S261"/>
  <c r="U261"/>
  <c r="Y261"/>
  <c r="AC261"/>
  <c r="R261"/>
  <c r="T261"/>
  <c r="V261"/>
  <c r="X261"/>
  <c r="Z261"/>
  <c r="A263"/>
  <c r="Q263"/>
  <c r="S263"/>
  <c r="U263"/>
  <c r="Y263"/>
  <c r="AC263"/>
  <c r="R263"/>
  <c r="T263"/>
  <c r="V263"/>
  <c r="X263"/>
  <c r="Z263"/>
  <c r="A262"/>
  <c r="Q262"/>
  <c r="S262"/>
  <c r="U262"/>
  <c r="Y262"/>
  <c r="AC262"/>
  <c r="R262"/>
  <c r="T262"/>
  <c r="V262"/>
  <c r="X262"/>
  <c r="Z262"/>
  <c r="A243"/>
  <c r="Q243"/>
  <c r="S243"/>
  <c r="U243"/>
  <c r="Y243"/>
  <c r="AC243"/>
  <c r="R243"/>
  <c r="T243"/>
  <c r="V243"/>
  <c r="X243"/>
  <c r="Z243"/>
  <c r="B258"/>
  <c r="E258"/>
  <c r="AD258" s="1"/>
  <c r="B241"/>
  <c r="E241"/>
  <c r="AD241" s="1"/>
  <c r="E240"/>
  <c r="AD240" s="1"/>
  <c r="A241" l="1"/>
  <c r="Q241"/>
  <c r="S241"/>
  <c r="U241"/>
  <c r="Y241"/>
  <c r="AC241"/>
  <c r="R241"/>
  <c r="T241"/>
  <c r="V241"/>
  <c r="X241"/>
  <c r="Z241"/>
  <c r="A258"/>
  <c r="Q258"/>
  <c r="S258"/>
  <c r="U258"/>
  <c r="Y258"/>
  <c r="AC258"/>
  <c r="R258"/>
  <c r="T258"/>
  <c r="V258"/>
  <c r="X258"/>
  <c r="Z258"/>
  <c r="E6" i="43"/>
  <c r="E238" i="34" l="1"/>
  <c r="AD238" s="1"/>
  <c r="E239"/>
  <c r="AD239" s="1"/>
  <c r="E235" l="1"/>
  <c r="AD235" s="1"/>
  <c r="E236"/>
  <c r="AD236" s="1"/>
  <c r="E237"/>
  <c r="AD237" s="1"/>
  <c r="E234"/>
  <c r="AD234" s="1"/>
  <c r="E225"/>
  <c r="AD225" s="1"/>
  <c r="B225"/>
  <c r="E233"/>
  <c r="AD233" s="1"/>
  <c r="E228"/>
  <c r="AD228" s="1"/>
  <c r="B228"/>
  <c r="E232"/>
  <c r="AD232" s="1"/>
  <c r="E222"/>
  <c r="AD222" s="1"/>
  <c r="E223"/>
  <c r="AD223" s="1"/>
  <c r="E224"/>
  <c r="AD224" s="1"/>
  <c r="E226"/>
  <c r="AD226" s="1"/>
  <c r="E227"/>
  <c r="AD227" s="1"/>
  <c r="E229"/>
  <c r="AD229" s="1"/>
  <c r="E230"/>
  <c r="AD230" s="1"/>
  <c r="E231"/>
  <c r="AD231" s="1"/>
  <c r="E221"/>
  <c r="AD221" s="1"/>
  <c r="B216"/>
  <c r="E216"/>
  <c r="AD216" s="1"/>
  <c r="E215"/>
  <c r="AD215" s="1"/>
  <c r="B214"/>
  <c r="E214"/>
  <c r="AD214" s="1"/>
  <c r="E213"/>
  <c r="AD213" s="1"/>
  <c r="B212"/>
  <c r="E212"/>
  <c r="AD212" s="1"/>
  <c r="B211"/>
  <c r="E211"/>
  <c r="AD211" s="1"/>
  <c r="B210"/>
  <c r="E210"/>
  <c r="AD210" s="1"/>
  <c r="E209"/>
  <c r="AD209" s="1"/>
  <c r="A214" l="1"/>
  <c r="R214"/>
  <c r="T214"/>
  <c r="V214"/>
  <c r="X214"/>
  <c r="Z214"/>
  <c r="Q214"/>
  <c r="S214"/>
  <c r="U214"/>
  <c r="Y214"/>
  <c r="AC214"/>
  <c r="A228"/>
  <c r="R228"/>
  <c r="T228"/>
  <c r="V228"/>
  <c r="X228"/>
  <c r="Z228"/>
  <c r="S228"/>
  <c r="AC228"/>
  <c r="Q228"/>
  <c r="U228"/>
  <c r="Y228"/>
  <c r="A210"/>
  <c r="R210"/>
  <c r="T210"/>
  <c r="V210"/>
  <c r="X210"/>
  <c r="Z210"/>
  <c r="Q210"/>
  <c r="S210"/>
  <c r="U210"/>
  <c r="Y210"/>
  <c r="AC210"/>
  <c r="A211"/>
  <c r="R211"/>
  <c r="T211"/>
  <c r="V211"/>
  <c r="X211"/>
  <c r="Z211"/>
  <c r="Q211"/>
  <c r="S211"/>
  <c r="U211"/>
  <c r="Y211"/>
  <c r="AC211"/>
  <c r="A212"/>
  <c r="R212"/>
  <c r="T212"/>
  <c r="V212"/>
  <c r="X212"/>
  <c r="Z212"/>
  <c r="Q212"/>
  <c r="S212"/>
  <c r="U212"/>
  <c r="Y212"/>
  <c r="AC212"/>
  <c r="A216"/>
  <c r="R216"/>
  <c r="T216"/>
  <c r="V216"/>
  <c r="X216"/>
  <c r="Z216"/>
  <c r="Q216"/>
  <c r="S216"/>
  <c r="U216"/>
  <c r="Y216"/>
  <c r="AC216"/>
  <c r="A225"/>
  <c r="R225"/>
  <c r="T225"/>
  <c r="V225"/>
  <c r="X225"/>
  <c r="Z225"/>
  <c r="S225"/>
  <c r="AC225"/>
  <c r="Q225"/>
  <c r="U225"/>
  <c r="Y225"/>
  <c r="E194"/>
  <c r="AD194" s="1"/>
  <c r="E195"/>
  <c r="AD195" s="1"/>
  <c r="E196"/>
  <c r="AD196" s="1"/>
  <c r="E197"/>
  <c r="AD197" s="1"/>
  <c r="E198"/>
  <c r="AD198" s="1"/>
  <c r="E199"/>
  <c r="AD199" s="1"/>
  <c r="E200"/>
  <c r="AD200" s="1"/>
  <c r="E201"/>
  <c r="AD201" s="1"/>
  <c r="E202"/>
  <c r="AD202" s="1"/>
  <c r="E203"/>
  <c r="AD203" s="1"/>
  <c r="E204"/>
  <c r="AD204" s="1"/>
  <c r="E205"/>
  <c r="AD205" s="1"/>
  <c r="E206"/>
  <c r="AD206" s="1"/>
  <c r="E207"/>
  <c r="AD207" s="1"/>
  <c r="E208"/>
  <c r="AD208" s="1"/>
  <c r="E193"/>
  <c r="AD193" s="1"/>
  <c r="P3" i="56" l="1"/>
  <c r="A6" i="62"/>
  <c r="A7"/>
  <c r="A8"/>
  <c r="A9"/>
  <c r="A10"/>
  <c r="A11"/>
  <c r="A12"/>
  <c r="A13"/>
  <c r="A14"/>
  <c r="A15"/>
  <c r="A5"/>
  <c r="E190" i="34"/>
  <c r="AD190" s="1"/>
  <c r="E191"/>
  <c r="AD191" s="1"/>
  <c r="E192"/>
  <c r="AD192" s="1"/>
  <c r="E180"/>
  <c r="AD180" s="1"/>
  <c r="E181"/>
  <c r="AD181" s="1"/>
  <c r="E182"/>
  <c r="AD182" s="1"/>
  <c r="E183"/>
  <c r="AD183" s="1"/>
  <c r="E184"/>
  <c r="AD184" s="1"/>
  <c r="E185"/>
  <c r="AD185" s="1"/>
  <c r="E186"/>
  <c r="AD186" s="1"/>
  <c r="E187"/>
  <c r="AD187" s="1"/>
  <c r="E188"/>
  <c r="AD188" s="1"/>
  <c r="E189"/>
  <c r="AD189" s="1"/>
  <c r="E159"/>
  <c r="AD159" s="1"/>
  <c r="E170"/>
  <c r="AD170" s="1"/>
  <c r="E171"/>
  <c r="AD171" s="1"/>
  <c r="E172"/>
  <c r="AD172" s="1"/>
  <c r="E173"/>
  <c r="AD173" s="1"/>
  <c r="E174"/>
  <c r="AD174" s="1"/>
  <c r="E175"/>
  <c r="AD175" s="1"/>
  <c r="E176"/>
  <c r="AD176" s="1"/>
  <c r="E177"/>
  <c r="AD177" s="1"/>
  <c r="E178"/>
  <c r="AD178" s="1"/>
  <c r="E179"/>
  <c r="AD179" s="1"/>
  <c r="E158"/>
  <c r="AD158" s="1"/>
  <c r="W11"/>
  <c r="W12"/>
  <c r="W13"/>
  <c r="W14"/>
  <c r="W15"/>
  <c r="W16"/>
  <c r="W17"/>
  <c r="W10"/>
  <c r="P10"/>
  <c r="AE10"/>
  <c r="A6" i="45"/>
  <c r="A7"/>
  <c r="A8"/>
  <c r="A9"/>
  <c r="A10"/>
  <c r="A11"/>
  <c r="A12"/>
  <c r="A13"/>
  <c r="A14"/>
  <c r="A15"/>
  <c r="A16"/>
  <c r="A17"/>
  <c r="A18"/>
  <c r="A19"/>
  <c r="A20"/>
  <c r="A21"/>
  <c r="A22"/>
  <c r="A5"/>
  <c r="A5" i="12"/>
  <c r="A6"/>
  <c r="A7"/>
  <c r="A8"/>
  <c r="A9"/>
  <c r="A10"/>
  <c r="A11"/>
  <c r="A12"/>
  <c r="A13"/>
  <c r="A14"/>
  <c r="A15"/>
  <c r="A16"/>
  <c r="A17"/>
  <c r="A18"/>
  <c r="A19"/>
  <c r="A20"/>
  <c r="A21"/>
  <c r="A22"/>
  <c r="A23"/>
  <c r="A24"/>
  <c r="A25"/>
  <c r="A26"/>
  <c r="A4"/>
  <c r="G14" i="62" a="1"/>
  <c r="G14" s="1"/>
  <c r="I14" a="1"/>
  <c r="I14" s="1"/>
  <c r="G15" a="1"/>
  <c r="G15" s="1"/>
  <c r="I15" a="1"/>
  <c r="I15" s="1"/>
  <c r="A31" i="63"/>
  <c r="O16"/>
  <c r="N16"/>
  <c r="M16"/>
  <c r="L16"/>
  <c r="F17" i="62"/>
  <c r="E17"/>
  <c r="D17"/>
  <c r="C17"/>
  <c r="I13" a="1"/>
  <c r="I13" s="1"/>
  <c r="G13" a="1"/>
  <c r="G13" s="1"/>
  <c r="I12" a="1"/>
  <c r="I12" s="1"/>
  <c r="G12" a="1"/>
  <c r="G12" s="1"/>
  <c r="I11" a="1"/>
  <c r="I11" s="1"/>
  <c r="G11" a="1"/>
  <c r="G11" s="1"/>
  <c r="I10" a="1"/>
  <c r="I10" s="1"/>
  <c r="G10" a="1"/>
  <c r="G10" s="1"/>
  <c r="I9" a="1"/>
  <c r="I9" s="1"/>
  <c r="G9" a="1"/>
  <c r="G9" s="1"/>
  <c r="I8" a="1"/>
  <c r="I8" s="1"/>
  <c r="G8" a="1"/>
  <c r="G8" s="1"/>
  <c r="I7" a="1"/>
  <c r="I7" s="1"/>
  <c r="G7" a="1"/>
  <c r="G7" s="1"/>
  <c r="I6" a="1"/>
  <c r="I6" s="1"/>
  <c r="G6" a="1"/>
  <c r="G6" s="1"/>
  <c r="I5" a="1"/>
  <c r="I5" s="1"/>
  <c r="G5" a="1"/>
  <c r="G5" s="1"/>
  <c r="K21" i="63" l="1"/>
  <c r="H24"/>
  <c r="E18"/>
  <c r="C20"/>
  <c r="A20" s="1"/>
  <c r="F17"/>
  <c r="D19"/>
  <c r="B21"/>
  <c r="C28"/>
  <c r="A28" s="1"/>
  <c r="E26"/>
  <c r="B17"/>
  <c r="K17"/>
  <c r="J18"/>
  <c r="I19"/>
  <c r="H20"/>
  <c r="F21"/>
  <c r="J22"/>
  <c r="D27"/>
  <c r="N27" s="1"/>
  <c r="I23"/>
  <c r="F25"/>
  <c r="J29"/>
  <c r="D17"/>
  <c r="N17" s="1"/>
  <c r="I17"/>
  <c r="C18"/>
  <c r="A18" s="1"/>
  <c r="H18"/>
  <c r="B19"/>
  <c r="F19"/>
  <c r="K19"/>
  <c r="E20"/>
  <c r="J20"/>
  <c r="D21"/>
  <c r="I21"/>
  <c r="E22"/>
  <c r="D23"/>
  <c r="N23" s="1"/>
  <c r="C24"/>
  <c r="A24" s="1"/>
  <c r="B25"/>
  <c r="K25"/>
  <c r="J26"/>
  <c r="I27"/>
  <c r="D29"/>
  <c r="N29" s="1"/>
  <c r="C22"/>
  <c r="A22" s="1"/>
  <c r="H22"/>
  <c r="B23"/>
  <c r="F23"/>
  <c r="K23"/>
  <c r="E24"/>
  <c r="J24"/>
  <c r="D25"/>
  <c r="N25" s="1"/>
  <c r="I25"/>
  <c r="C26"/>
  <c r="A26" s="1"/>
  <c r="H26"/>
  <c r="B27"/>
  <c r="F27"/>
  <c r="K27"/>
  <c r="E28"/>
  <c r="I28"/>
  <c r="C29"/>
  <c r="A29" s="1"/>
  <c r="C17"/>
  <c r="A17" s="1"/>
  <c r="E17"/>
  <c r="H17"/>
  <c r="J17"/>
  <c r="B18"/>
  <c r="D18"/>
  <c r="F18"/>
  <c r="I18"/>
  <c r="K18"/>
  <c r="C19"/>
  <c r="A19" s="1"/>
  <c r="E19"/>
  <c r="H19"/>
  <c r="J19"/>
  <c r="B20"/>
  <c r="D20"/>
  <c r="F20"/>
  <c r="I20"/>
  <c r="K20"/>
  <c r="C21"/>
  <c r="A21" s="1"/>
  <c r="E21"/>
  <c r="H21"/>
  <c r="J21"/>
  <c r="B22"/>
  <c r="D22"/>
  <c r="L22" s="1"/>
  <c r="F22"/>
  <c r="I22"/>
  <c r="K22"/>
  <c r="C23"/>
  <c r="A23" s="1"/>
  <c r="E23"/>
  <c r="H23"/>
  <c r="J23"/>
  <c r="B24"/>
  <c r="D24"/>
  <c r="L24" s="1"/>
  <c r="F24"/>
  <c r="I24"/>
  <c r="K24"/>
  <c r="C25"/>
  <c r="A25" s="1"/>
  <c r="E25"/>
  <c r="H25"/>
  <c r="J25"/>
  <c r="B26"/>
  <c r="D26"/>
  <c r="L26" s="1"/>
  <c r="F26"/>
  <c r="I26"/>
  <c r="K26"/>
  <c r="C27"/>
  <c r="A27" s="1"/>
  <c r="E27"/>
  <c r="H27"/>
  <c r="J27"/>
  <c r="B28"/>
  <c r="D28"/>
  <c r="L28" s="1"/>
  <c r="F28"/>
  <c r="J28"/>
  <c r="I29"/>
  <c r="F30"/>
  <c r="J30"/>
  <c r="K28"/>
  <c r="E29"/>
  <c r="D30"/>
  <c r="L30" s="1"/>
  <c r="B30"/>
  <c r="H28"/>
  <c r="B29"/>
  <c r="H29"/>
  <c r="I30"/>
  <c r="C30"/>
  <c r="A30" s="1"/>
  <c r="H30"/>
  <c r="K29"/>
  <c r="E30"/>
  <c r="F29"/>
  <c r="K30"/>
  <c r="K6" i="62"/>
  <c r="M12"/>
  <c r="K10"/>
  <c r="K8"/>
  <c r="M11"/>
  <c r="M9"/>
  <c r="M15"/>
  <c r="M7"/>
  <c r="M13"/>
  <c r="K12"/>
  <c r="M6"/>
  <c r="M8"/>
  <c r="M10"/>
  <c r="K15"/>
  <c r="K14"/>
  <c r="K7"/>
  <c r="K9"/>
  <c r="K11"/>
  <c r="K13"/>
  <c r="M14"/>
  <c r="G17"/>
  <c r="K5"/>
  <c r="M5"/>
  <c r="I17"/>
  <c r="L23" i="63"/>
  <c r="M22" l="1"/>
  <c r="M23"/>
  <c r="O25"/>
  <c r="M27"/>
  <c r="L27"/>
  <c r="O17"/>
  <c r="O23"/>
  <c r="O24"/>
  <c r="M17"/>
  <c r="N24"/>
  <c r="L17"/>
  <c r="O27"/>
  <c r="M24"/>
  <c r="M25"/>
  <c r="L29"/>
  <c r="M29"/>
  <c r="L25"/>
  <c r="O29"/>
  <c r="O28"/>
  <c r="M18"/>
  <c r="L18"/>
  <c r="M26"/>
  <c r="I32"/>
  <c r="O26"/>
  <c r="O22"/>
  <c r="N26"/>
  <c r="N22"/>
  <c r="N28"/>
  <c r="M28"/>
  <c r="J32"/>
  <c r="O30"/>
  <c r="N30"/>
  <c r="M30"/>
  <c r="H32"/>
  <c r="K32"/>
  <c r="M17" i="62"/>
  <c r="O18" i="63"/>
  <c r="O19" s="1"/>
  <c r="N18"/>
  <c r="N19" s="1"/>
  <c r="K17" i="62"/>
  <c r="M33" i="63" l="1"/>
  <c r="L33"/>
  <c r="N33"/>
  <c r="O33"/>
  <c r="L19"/>
  <c r="L20" s="1"/>
  <c r="M19"/>
  <c r="M20" s="1"/>
  <c r="N20"/>
  <c r="N21" s="1"/>
  <c r="O20" l="1"/>
  <c r="O21" s="1"/>
  <c r="L21"/>
  <c r="M21" l="1"/>
  <c r="B165" i="34" l="1"/>
  <c r="B161"/>
  <c r="B160"/>
  <c r="B152"/>
  <c r="B153"/>
  <c r="A153" l="1"/>
  <c r="R153"/>
  <c r="T153"/>
  <c r="V153"/>
  <c r="X153"/>
  <c r="Z153"/>
  <c r="Q153"/>
  <c r="S153"/>
  <c r="U153"/>
  <c r="Y153"/>
  <c r="AC153"/>
  <c r="A160"/>
  <c r="R160"/>
  <c r="T160"/>
  <c r="V160"/>
  <c r="X160"/>
  <c r="Z160"/>
  <c r="Q160"/>
  <c r="S160"/>
  <c r="U160"/>
  <c r="Y160"/>
  <c r="AC160"/>
  <c r="A165"/>
  <c r="R165"/>
  <c r="T165"/>
  <c r="V165"/>
  <c r="X165"/>
  <c r="Z165"/>
  <c r="Q165"/>
  <c r="S165"/>
  <c r="U165"/>
  <c r="Y165"/>
  <c r="AC165"/>
  <c r="A152"/>
  <c r="R152"/>
  <c r="T152"/>
  <c r="V152"/>
  <c r="X152"/>
  <c r="Z152"/>
  <c r="Q152"/>
  <c r="S152"/>
  <c r="U152"/>
  <c r="Y152"/>
  <c r="AC152"/>
  <c r="A161"/>
  <c r="R161"/>
  <c r="T161"/>
  <c r="V161"/>
  <c r="X161"/>
  <c r="Z161"/>
  <c r="Q161"/>
  <c r="S161"/>
  <c r="U161"/>
  <c r="Y161"/>
  <c r="AC161"/>
  <c r="E35" i="55"/>
  <c r="F35"/>
  <c r="E16" i="61" l="1"/>
  <c r="B11"/>
  <c r="D5"/>
  <c r="V283" i="60"/>
  <c r="V282"/>
  <c r="V281"/>
  <c r="V280"/>
  <c r="V279"/>
  <c r="V278"/>
  <c r="V277"/>
  <c r="W276"/>
  <c r="V274"/>
  <c r="V273"/>
  <c r="V272"/>
  <c r="O272"/>
  <c r="L272"/>
  <c r="E272"/>
  <c r="V271"/>
  <c r="A271"/>
  <c r="V270"/>
  <c r="M270"/>
  <c r="C270"/>
  <c r="D270" s="1"/>
  <c r="G270" s="1"/>
  <c r="A270"/>
  <c r="V269"/>
  <c r="C269"/>
  <c r="D269" s="1"/>
  <c r="G269" s="1"/>
  <c r="A269"/>
  <c r="V268"/>
  <c r="M268"/>
  <c r="C268"/>
  <c r="D268" s="1"/>
  <c r="G268" s="1"/>
  <c r="A268"/>
  <c r="V267"/>
  <c r="C267"/>
  <c r="D267" s="1"/>
  <c r="G267" s="1"/>
  <c r="A267"/>
  <c r="V266"/>
  <c r="C266"/>
  <c r="D266" s="1"/>
  <c r="G266" s="1"/>
  <c r="A266"/>
  <c r="V265"/>
  <c r="M265"/>
  <c r="M272" s="1"/>
  <c r="C265"/>
  <c r="D265" s="1"/>
  <c r="A265"/>
  <c r="V257"/>
  <c r="L245" s="1"/>
  <c r="V256"/>
  <c r="L244" s="1"/>
  <c r="V255"/>
  <c r="L243" s="1"/>
  <c r="V254"/>
  <c r="V253"/>
  <c r="L241" s="1"/>
  <c r="V252"/>
  <c r="L240" s="1"/>
  <c r="W251"/>
  <c r="V249"/>
  <c r="V248"/>
  <c r="V247"/>
  <c r="O247"/>
  <c r="N247"/>
  <c r="E247"/>
  <c r="V246"/>
  <c r="A246"/>
  <c r="V245"/>
  <c r="P245"/>
  <c r="M245"/>
  <c r="D245"/>
  <c r="G245" s="1"/>
  <c r="A245"/>
  <c r="V244"/>
  <c r="P244"/>
  <c r="C244"/>
  <c r="D244" s="1"/>
  <c r="G244" s="1"/>
  <c r="A244"/>
  <c r="V243"/>
  <c r="P243"/>
  <c r="M243"/>
  <c r="C243"/>
  <c r="D243" s="1"/>
  <c r="G243" s="1"/>
  <c r="A243"/>
  <c r="V242"/>
  <c r="P242"/>
  <c r="L242"/>
  <c r="C242"/>
  <c r="D242" s="1"/>
  <c r="G242" s="1"/>
  <c r="A242"/>
  <c r="V241"/>
  <c r="P241"/>
  <c r="C241"/>
  <c r="D241" s="1"/>
  <c r="G241" s="1"/>
  <c r="A241"/>
  <c r="V240"/>
  <c r="P240"/>
  <c r="M240"/>
  <c r="M247" s="1"/>
  <c r="C240"/>
  <c r="D240" s="1"/>
  <c r="G240" s="1"/>
  <c r="A240"/>
  <c r="V233"/>
  <c r="V232"/>
  <c r="V231"/>
  <c r="V230"/>
  <c r="V229"/>
  <c r="V228"/>
  <c r="V227"/>
  <c r="V226"/>
  <c r="W225"/>
  <c r="V223"/>
  <c r="V222"/>
  <c r="V221"/>
  <c r="O221"/>
  <c r="L221"/>
  <c r="E221"/>
  <c r="V220"/>
  <c r="A220"/>
  <c r="V219"/>
  <c r="C219"/>
  <c r="D219" s="1"/>
  <c r="G219" s="1"/>
  <c r="A219"/>
  <c r="V218"/>
  <c r="C218"/>
  <c r="D218" s="1"/>
  <c r="G218" s="1"/>
  <c r="A218"/>
  <c r="V217"/>
  <c r="C217"/>
  <c r="D217" s="1"/>
  <c r="G217" s="1"/>
  <c r="A217"/>
  <c r="V216"/>
  <c r="C216"/>
  <c r="D216" s="1"/>
  <c r="G216" s="1"/>
  <c r="A216"/>
  <c r="V215"/>
  <c r="M215"/>
  <c r="M221" s="1"/>
  <c r="C215"/>
  <c r="D215" s="1"/>
  <c r="G215" s="1"/>
  <c r="A215"/>
  <c r="V214"/>
  <c r="C214"/>
  <c r="D214" s="1"/>
  <c r="A214"/>
  <c r="V206"/>
  <c r="V205"/>
  <c r="V204"/>
  <c r="V203"/>
  <c r="V202"/>
  <c r="V201"/>
  <c r="V200"/>
  <c r="V199"/>
  <c r="W198"/>
  <c r="V196"/>
  <c r="V195"/>
  <c r="V194"/>
  <c r="V193"/>
  <c r="O193"/>
  <c r="L193"/>
  <c r="E193"/>
  <c r="H191" s="1"/>
  <c r="V192"/>
  <c r="A192"/>
  <c r="V191"/>
  <c r="C191"/>
  <c r="D191" s="1"/>
  <c r="G191" s="1"/>
  <c r="A191"/>
  <c r="V190"/>
  <c r="C190"/>
  <c r="D190" s="1"/>
  <c r="G190" s="1"/>
  <c r="A190"/>
  <c r="V189"/>
  <c r="C189"/>
  <c r="D189" s="1"/>
  <c r="G189" s="1"/>
  <c r="A189"/>
  <c r="V188"/>
  <c r="C188"/>
  <c r="D188" s="1"/>
  <c r="G188" s="1"/>
  <c r="A188"/>
  <c r="V187"/>
  <c r="M187"/>
  <c r="M193" s="1"/>
  <c r="C187"/>
  <c r="D187" s="1"/>
  <c r="A187"/>
  <c r="V180"/>
  <c r="V179"/>
  <c r="V178"/>
  <c r="V177"/>
  <c r="V176"/>
  <c r="V175"/>
  <c r="V174"/>
  <c r="V173"/>
  <c r="W172"/>
  <c r="V170"/>
  <c r="V169"/>
  <c r="V168"/>
  <c r="V167"/>
  <c r="V166"/>
  <c r="V165"/>
  <c r="O165"/>
  <c r="L165"/>
  <c r="E165"/>
  <c r="V164"/>
  <c r="C164"/>
  <c r="A164"/>
  <c r="V163"/>
  <c r="M163"/>
  <c r="C163"/>
  <c r="D163" s="1"/>
  <c r="G163" s="1"/>
  <c r="A163"/>
  <c r="V162"/>
  <c r="M162"/>
  <c r="C162"/>
  <c r="D162" s="1"/>
  <c r="G162" s="1"/>
  <c r="A162"/>
  <c r="V161"/>
  <c r="C161"/>
  <c r="D161" s="1"/>
  <c r="G161" s="1"/>
  <c r="A161"/>
  <c r="V160"/>
  <c r="M160"/>
  <c r="M165" s="1"/>
  <c r="C160"/>
  <c r="D160" s="1"/>
  <c r="G160" s="1"/>
  <c r="A160"/>
  <c r="V154"/>
  <c r="V153"/>
  <c r="V152"/>
  <c r="V151"/>
  <c r="V150"/>
  <c r="V149"/>
  <c r="W148"/>
  <c r="V146"/>
  <c r="V145"/>
  <c r="V144"/>
  <c r="V143"/>
  <c r="V142"/>
  <c r="V141"/>
  <c r="O141"/>
  <c r="L141"/>
  <c r="V140"/>
  <c r="M140"/>
  <c r="D140"/>
  <c r="G140" s="1"/>
  <c r="A140"/>
  <c r="V139"/>
  <c r="C139"/>
  <c r="D139" s="1"/>
  <c r="G139" s="1"/>
  <c r="A139"/>
  <c r="V138"/>
  <c r="C138"/>
  <c r="D138" s="1"/>
  <c r="G138" s="1"/>
  <c r="A138"/>
  <c r="V137"/>
  <c r="M137"/>
  <c r="M141" s="1"/>
  <c r="C137"/>
  <c r="D137" s="1"/>
  <c r="G137" s="1"/>
  <c r="A137"/>
  <c r="V130"/>
  <c r="V129"/>
  <c r="V128"/>
  <c r="V127"/>
  <c r="V126"/>
  <c r="V125"/>
  <c r="V124"/>
  <c r="W123"/>
  <c r="V121"/>
  <c r="V120"/>
  <c r="V119"/>
  <c r="V118"/>
  <c r="V117"/>
  <c r="V116"/>
  <c r="V115"/>
  <c r="V114"/>
  <c r="O114"/>
  <c r="L114"/>
  <c r="V113"/>
  <c r="A113"/>
  <c r="V112"/>
  <c r="M112"/>
  <c r="C112"/>
  <c r="D112" s="1"/>
  <c r="G112" s="1"/>
  <c r="A112"/>
  <c r="V111"/>
  <c r="C111"/>
  <c r="D111" s="1"/>
  <c r="G111" s="1"/>
  <c r="A111"/>
  <c r="V110"/>
  <c r="C110"/>
  <c r="D110" s="1"/>
  <c r="A110"/>
  <c r="V109"/>
  <c r="M109"/>
  <c r="M114" s="1"/>
  <c r="C109"/>
  <c r="D109" s="1"/>
  <c r="G109" s="1"/>
  <c r="A109"/>
  <c r="V102"/>
  <c r="V101"/>
  <c r="V100"/>
  <c r="V99"/>
  <c r="V98"/>
  <c r="W97"/>
  <c r="V95"/>
  <c r="V94"/>
  <c r="V93"/>
  <c r="V92"/>
  <c r="O92"/>
  <c r="L92"/>
  <c r="E92"/>
  <c r="V91"/>
  <c r="A91"/>
  <c r="V90"/>
  <c r="C90"/>
  <c r="D90" s="1"/>
  <c r="G90" s="1"/>
  <c r="A90"/>
  <c r="V89"/>
  <c r="M89"/>
  <c r="M92" s="1"/>
  <c r="C89"/>
  <c r="D89" s="1"/>
  <c r="G89" s="1"/>
  <c r="A89"/>
  <c r="V83"/>
  <c r="V82"/>
  <c r="V81"/>
  <c r="V80"/>
  <c r="W79"/>
  <c r="V77"/>
  <c r="V76"/>
  <c r="V75"/>
  <c r="V74"/>
  <c r="V73"/>
  <c r="V72"/>
  <c r="V71"/>
  <c r="V70"/>
  <c r="O70"/>
  <c r="L70"/>
  <c r="V69"/>
  <c r="A69"/>
  <c r="V68"/>
  <c r="C68"/>
  <c r="D68" s="1"/>
  <c r="G68" s="1"/>
  <c r="A68"/>
  <c r="V67"/>
  <c r="M67"/>
  <c r="M70" s="1"/>
  <c r="C67"/>
  <c r="D67" s="1"/>
  <c r="A67"/>
  <c r="V61"/>
  <c r="V60"/>
  <c r="V59"/>
  <c r="V58"/>
  <c r="V57"/>
  <c r="V56"/>
  <c r="W55"/>
  <c r="V53"/>
  <c r="V52"/>
  <c r="V51"/>
  <c r="V50"/>
  <c r="O50"/>
  <c r="M50"/>
  <c r="L50"/>
  <c r="E50"/>
  <c r="V49"/>
  <c r="A49"/>
  <c r="V48"/>
  <c r="P48"/>
  <c r="C48"/>
  <c r="D48" s="1"/>
  <c r="G48" s="1"/>
  <c r="A48"/>
  <c r="V47"/>
  <c r="P47"/>
  <c r="C47"/>
  <c r="D47" s="1"/>
  <c r="G47" s="1"/>
  <c r="A47"/>
  <c r="V46"/>
  <c r="D46"/>
  <c r="G46" s="1"/>
  <c r="A46"/>
  <c r="V40"/>
  <c r="V39"/>
  <c r="V38"/>
  <c r="L28" s="1"/>
  <c r="L31" s="1"/>
  <c r="W37"/>
  <c r="V35"/>
  <c r="V34"/>
  <c r="V33"/>
  <c r="V32"/>
  <c r="V31"/>
  <c r="O31"/>
  <c r="M31"/>
  <c r="E31"/>
  <c r="V30"/>
  <c r="A30"/>
  <c r="V29"/>
  <c r="P29"/>
  <c r="C29"/>
  <c r="D29" s="1"/>
  <c r="G29" s="1"/>
  <c r="A29"/>
  <c r="V28"/>
  <c r="D28"/>
  <c r="G28" s="1"/>
  <c r="A28"/>
  <c r="V22"/>
  <c r="V21"/>
  <c r="V20"/>
  <c r="L8" s="1"/>
  <c r="V19"/>
  <c r="V18"/>
  <c r="W17"/>
  <c r="V15"/>
  <c r="V14"/>
  <c r="V13"/>
  <c r="V12"/>
  <c r="V11"/>
  <c r="O11"/>
  <c r="M11"/>
  <c r="V10"/>
  <c r="P10"/>
  <c r="A10"/>
  <c r="V9"/>
  <c r="P9"/>
  <c r="D9"/>
  <c r="G9" s="1"/>
  <c r="A9"/>
  <c r="V8"/>
  <c r="P8"/>
  <c r="D8"/>
  <c r="A8"/>
  <c r="V7"/>
  <c r="P7"/>
  <c r="D7"/>
  <c r="G7" s="1"/>
  <c r="A7"/>
  <c r="J42" i="59"/>
  <c r="A4"/>
  <c r="A31" i="58"/>
  <c r="I13"/>
  <c r="C8"/>
  <c r="A31" i="57"/>
  <c r="L13"/>
  <c r="K13"/>
  <c r="I7"/>
  <c r="A12" i="56"/>
  <c r="D7"/>
  <c r="C7"/>
  <c r="D5"/>
  <c r="A55" i="55"/>
  <c r="F54"/>
  <c r="E54"/>
  <c r="A54"/>
  <c r="B53"/>
  <c r="A53" s="1"/>
  <c r="I52" a="1"/>
  <c r="I52" s="1"/>
  <c r="G52" a="1"/>
  <c r="G52" s="1"/>
  <c r="B52"/>
  <c r="A52" s="1"/>
  <c r="I51" a="1"/>
  <c r="I51" s="1"/>
  <c r="G51" a="1"/>
  <c r="G51" s="1"/>
  <c r="B51"/>
  <c r="A51" s="1"/>
  <c r="I50" a="1"/>
  <c r="I50" s="1"/>
  <c r="G50" a="1"/>
  <c r="G50" s="1"/>
  <c r="B50"/>
  <c r="A50" s="1"/>
  <c r="I49" a="1"/>
  <c r="I49" s="1"/>
  <c r="G49" a="1"/>
  <c r="G49" s="1"/>
  <c r="B49"/>
  <c r="A49" s="1"/>
  <c r="I48" a="1"/>
  <c r="I48" s="1"/>
  <c r="G48" a="1"/>
  <c r="G48" s="1"/>
  <c r="B48"/>
  <c r="A48" s="1"/>
  <c r="I47" a="1"/>
  <c r="I47" s="1"/>
  <c r="G47" a="1"/>
  <c r="G47" s="1"/>
  <c r="B47"/>
  <c r="A47" s="1"/>
  <c r="I46" a="1"/>
  <c r="I46" s="1"/>
  <c r="G46" a="1"/>
  <c r="G46" s="1"/>
  <c r="B46"/>
  <c r="A46" s="1"/>
  <c r="I45" a="1"/>
  <c r="I45" s="1"/>
  <c r="G45" a="1"/>
  <c r="G45" s="1"/>
  <c r="B45"/>
  <c r="A45" s="1"/>
  <c r="A44"/>
  <c r="F43"/>
  <c r="E43"/>
  <c r="A43"/>
  <c r="B42"/>
  <c r="A42" s="1"/>
  <c r="I41" a="1"/>
  <c r="I41" s="1"/>
  <c r="G41" a="1"/>
  <c r="G41" s="1"/>
  <c r="B41"/>
  <c r="A41" s="1"/>
  <c r="I40" a="1"/>
  <c r="I40" s="1"/>
  <c r="G40" a="1"/>
  <c r="G40" s="1"/>
  <c r="B40"/>
  <c r="A40" s="1"/>
  <c r="I39" a="1"/>
  <c r="I39" s="1"/>
  <c r="G39" a="1"/>
  <c r="G39" s="1"/>
  <c r="B39"/>
  <c r="A39" s="1"/>
  <c r="I38" a="1"/>
  <c r="I38" s="1"/>
  <c r="G38" a="1"/>
  <c r="G38" s="1"/>
  <c r="B38"/>
  <c r="A38" s="1"/>
  <c r="I37" a="1"/>
  <c r="I37" s="1"/>
  <c r="G37" a="1"/>
  <c r="G37" s="1"/>
  <c r="B37"/>
  <c r="A37" s="1"/>
  <c r="A36"/>
  <c r="B34"/>
  <c r="A34" s="1"/>
  <c r="I33" a="1"/>
  <c r="I33" s="1"/>
  <c r="G33" a="1"/>
  <c r="G33" s="1"/>
  <c r="B33"/>
  <c r="A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23" a="1"/>
  <c r="I23" s="1"/>
  <c r="G23" a="1"/>
  <c r="G23" s="1"/>
  <c r="I22" a="1"/>
  <c r="I22" s="1"/>
  <c r="G22" a="1"/>
  <c r="G22" s="1"/>
  <c r="I21" a="1"/>
  <c r="I21" s="1"/>
  <c r="G21" a="1"/>
  <c r="G21" s="1"/>
  <c r="I20" a="1"/>
  <c r="I20" s="1"/>
  <c r="G20" a="1"/>
  <c r="G20"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B12"/>
  <c r="B13" s="1"/>
  <c r="L13" i="54"/>
  <c r="L23" s="1"/>
  <c r="A25" i="52"/>
  <c r="N16"/>
  <c r="M16"/>
  <c r="L16"/>
  <c r="K16"/>
  <c r="J9"/>
  <c r="A8"/>
  <c r="H23" i="45"/>
  <c r="F23"/>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D27" i="12"/>
  <c r="C27"/>
  <c r="E67" i="44"/>
  <c r="J9"/>
  <c r="D72" s="1"/>
  <c r="I9"/>
  <c r="A6"/>
  <c r="N9" i="43"/>
  <c r="G126" s="1"/>
  <c r="M9"/>
  <c r="I6"/>
  <c r="O11" i="42"/>
  <c r="I107" s="1"/>
  <c r="N11"/>
  <c r="A6"/>
  <c r="M24" i="39"/>
  <c r="H24"/>
  <c r="M17"/>
  <c r="H17"/>
  <c r="C11"/>
  <c r="M7"/>
  <c r="L7"/>
  <c r="L6"/>
  <c r="H4"/>
  <c r="L3"/>
  <c r="L2"/>
  <c r="L1"/>
  <c r="I14" i="47"/>
  <c r="H14"/>
  <c r="E8"/>
  <c r="AZ363" i="51"/>
  <c r="BA355"/>
  <c r="AZ355"/>
  <c r="AY355"/>
  <c r="AX355"/>
  <c r="AW355"/>
  <c r="AV355"/>
  <c r="AU355"/>
  <c r="AT355"/>
  <c r="AS355"/>
  <c r="AR355"/>
  <c r="AQ355"/>
  <c r="AP355"/>
  <c r="AO355"/>
  <c r="AN355"/>
  <c r="AM355"/>
  <c r="AL355"/>
  <c r="AK355"/>
  <c r="AJ355"/>
  <c r="AI355"/>
  <c r="AH355"/>
  <c r="AG355"/>
  <c r="AF355"/>
  <c r="AE355"/>
  <c r="AD355"/>
  <c r="AC355"/>
  <c r="AB355"/>
  <c r="AA355"/>
  <c r="Z355"/>
  <c r="Y355"/>
  <c r="X355"/>
  <c r="W355"/>
  <c r="V355"/>
  <c r="U355"/>
  <c r="T355"/>
  <c r="S355"/>
  <c r="R355"/>
  <c r="Q355"/>
  <c r="P355"/>
  <c r="O355"/>
  <c r="N355"/>
  <c r="M355"/>
  <c r="L355"/>
  <c r="K355"/>
  <c r="J355"/>
  <c r="A355" a="1"/>
  <c r="A355" s="1"/>
  <c r="I355" s="1"/>
  <c r="BA354"/>
  <c r="AY354"/>
  <c r="AX354"/>
  <c r="AV354"/>
  <c r="AU354"/>
  <c r="AT354"/>
  <c r="AS354"/>
  <c r="AR354"/>
  <c r="AQ354"/>
  <c r="AP354"/>
  <c r="AO354"/>
  <c r="AN354"/>
  <c r="AM354"/>
  <c r="AL354"/>
  <c r="AK354"/>
  <c r="AJ354"/>
  <c r="AI354"/>
  <c r="AH354"/>
  <c r="AG354"/>
  <c r="AF354"/>
  <c r="AE354"/>
  <c r="AD354"/>
  <c r="AC354"/>
  <c r="AB354"/>
  <c r="AA354"/>
  <c r="Z354"/>
  <c r="Y354"/>
  <c r="X354"/>
  <c r="W354"/>
  <c r="V354"/>
  <c r="U354"/>
  <c r="T354"/>
  <c r="S354"/>
  <c r="R354"/>
  <c r="Q354"/>
  <c r="P354"/>
  <c r="O354"/>
  <c r="N354"/>
  <c r="M354"/>
  <c r="L354"/>
  <c r="K354"/>
  <c r="J354"/>
  <c r="D354"/>
  <c r="AZ353"/>
  <c r="AY353"/>
  <c r="AX353"/>
  <c r="AW353"/>
  <c r="AV353"/>
  <c r="AU353"/>
  <c r="AS353"/>
  <c r="AR353"/>
  <c r="AQ353"/>
  <c r="AP353"/>
  <c r="AO353"/>
  <c r="AN353"/>
  <c r="AM353"/>
  <c r="AL353"/>
  <c r="AK353"/>
  <c r="AJ353"/>
  <c r="AI353"/>
  <c r="AH353"/>
  <c r="AG353"/>
  <c r="AF353"/>
  <c r="AE353"/>
  <c r="AD353"/>
  <c r="AC353"/>
  <c r="AB353"/>
  <c r="AA353"/>
  <c r="Z353"/>
  <c r="Y353"/>
  <c r="X353"/>
  <c r="W353"/>
  <c r="V353"/>
  <c r="U353"/>
  <c r="T353"/>
  <c r="S353"/>
  <c r="R353"/>
  <c r="Q353"/>
  <c r="P353"/>
  <c r="O353"/>
  <c r="N353"/>
  <c r="M353"/>
  <c r="L353"/>
  <c r="K353"/>
  <c r="J353"/>
  <c r="D353"/>
  <c r="AZ352"/>
  <c r="AY352"/>
  <c r="AX352"/>
  <c r="AW352"/>
  <c r="AV352"/>
  <c r="AU352"/>
  <c r="AT352"/>
  <c r="AS352"/>
  <c r="AR352"/>
  <c r="AQ352"/>
  <c r="AP352"/>
  <c r="AO352"/>
  <c r="AM352"/>
  <c r="AL352"/>
  <c r="AK352"/>
  <c r="AJ352"/>
  <c r="AI352"/>
  <c r="AH352"/>
  <c r="AG352"/>
  <c r="AF352"/>
  <c r="AE352"/>
  <c r="AD352"/>
  <c r="AC352"/>
  <c r="AB352"/>
  <c r="AA352"/>
  <c r="Z352"/>
  <c r="Y352"/>
  <c r="X352"/>
  <c r="W352"/>
  <c r="V352"/>
  <c r="U352"/>
  <c r="T352"/>
  <c r="S352"/>
  <c r="R352"/>
  <c r="Q352"/>
  <c r="P352"/>
  <c r="O352"/>
  <c r="N352"/>
  <c r="M352"/>
  <c r="L352"/>
  <c r="K352"/>
  <c r="J352"/>
  <c r="D352"/>
  <c r="BA351"/>
  <c r="AZ351"/>
  <c r="AY351"/>
  <c r="AX351"/>
  <c r="AW351"/>
  <c r="AV351"/>
  <c r="AU351"/>
  <c r="AT351"/>
  <c r="AS351"/>
  <c r="AR351"/>
  <c r="AQ351"/>
  <c r="AP351"/>
  <c r="AO351"/>
  <c r="AN351"/>
  <c r="AM351"/>
  <c r="AL351"/>
  <c r="AK351"/>
  <c r="AJ351"/>
  <c r="AI351"/>
  <c r="AH351"/>
  <c r="AG351"/>
  <c r="AF351"/>
  <c r="AE351"/>
  <c r="AD351"/>
  <c r="AC351"/>
  <c r="AB351"/>
  <c r="AA351"/>
  <c r="Z351"/>
  <c r="Y351"/>
  <c r="X351"/>
  <c r="W351"/>
  <c r="V351"/>
  <c r="U351"/>
  <c r="T351"/>
  <c r="S351"/>
  <c r="R351"/>
  <c r="Q351"/>
  <c r="P351"/>
  <c r="O351"/>
  <c r="N351"/>
  <c r="M351"/>
  <c r="L351"/>
  <c r="K351"/>
  <c r="J351"/>
  <c r="D351"/>
  <c r="BA350"/>
  <c r="AY350"/>
  <c r="AX350"/>
  <c r="AW350"/>
  <c r="AV350"/>
  <c r="AU350"/>
  <c r="AT350"/>
  <c r="AR350"/>
  <c r="AQ350"/>
  <c r="AP350"/>
  <c r="AO350"/>
  <c r="AN350"/>
  <c r="AM350"/>
  <c r="AL350"/>
  <c r="AK350"/>
  <c r="AJ350"/>
  <c r="AI350"/>
  <c r="AH350"/>
  <c r="AG350"/>
  <c r="AF350"/>
  <c r="AE350"/>
  <c r="AD350"/>
  <c r="AC350"/>
  <c r="AB350"/>
  <c r="AA350"/>
  <c r="Z350"/>
  <c r="Y350"/>
  <c r="X350"/>
  <c r="W350"/>
  <c r="V350"/>
  <c r="U350"/>
  <c r="T350"/>
  <c r="S350"/>
  <c r="R350"/>
  <c r="Q350"/>
  <c r="P350"/>
  <c r="O350"/>
  <c r="N350"/>
  <c r="M350"/>
  <c r="L350"/>
  <c r="K350"/>
  <c r="J350"/>
  <c r="D350"/>
  <c r="BA349"/>
  <c r="AZ349"/>
  <c r="AY349"/>
  <c r="AX349"/>
  <c r="AW349"/>
  <c r="AV349"/>
  <c r="AU349"/>
  <c r="AT349"/>
  <c r="AS349"/>
  <c r="AR349"/>
  <c r="AP349"/>
  <c r="AO349"/>
  <c r="AN349"/>
  <c r="AM349"/>
  <c r="AL349"/>
  <c r="AK349"/>
  <c r="AJ349"/>
  <c r="AI349"/>
  <c r="AH349"/>
  <c r="AG349"/>
  <c r="AF349"/>
  <c r="AE349"/>
  <c r="AD349"/>
  <c r="AC349"/>
  <c r="AB349"/>
  <c r="AA349"/>
  <c r="Z349"/>
  <c r="Y349"/>
  <c r="X349"/>
  <c r="W349"/>
  <c r="V349"/>
  <c r="U349"/>
  <c r="S349"/>
  <c r="R349"/>
  <c r="Q349"/>
  <c r="P349"/>
  <c r="O349"/>
  <c r="N349"/>
  <c r="M349"/>
  <c r="L349"/>
  <c r="K349"/>
  <c r="J349"/>
  <c r="D349"/>
  <c r="BA348"/>
  <c r="AZ348"/>
  <c r="AY348"/>
  <c r="AX348"/>
  <c r="AW348"/>
  <c r="AV348"/>
  <c r="AU348"/>
  <c r="AT348"/>
  <c r="AS348"/>
  <c r="AR348"/>
  <c r="AQ348"/>
  <c r="AP348"/>
  <c r="AO348"/>
  <c r="AN348"/>
  <c r="AM348"/>
  <c r="AL348"/>
  <c r="AK348"/>
  <c r="AJ348"/>
  <c r="AI348"/>
  <c r="AH348"/>
  <c r="AG348"/>
  <c r="AF348"/>
  <c r="AE348"/>
  <c r="AD348"/>
  <c r="AC348"/>
  <c r="AB348"/>
  <c r="AA348"/>
  <c r="Z348"/>
  <c r="Y348"/>
  <c r="X348"/>
  <c r="W348"/>
  <c r="V348"/>
  <c r="U348"/>
  <c r="T348"/>
  <c r="S348"/>
  <c r="R348"/>
  <c r="Q348"/>
  <c r="P348"/>
  <c r="O348"/>
  <c r="N348"/>
  <c r="M348"/>
  <c r="L348"/>
  <c r="K348"/>
  <c r="J348"/>
  <c r="A348" a="1"/>
  <c r="A348" s="1"/>
  <c r="I348" s="1"/>
  <c r="BA347"/>
  <c r="AZ347"/>
  <c r="AY347"/>
  <c r="AX347"/>
  <c r="AW347"/>
  <c r="AV347"/>
  <c r="AU347"/>
  <c r="AT347"/>
  <c r="AS347"/>
  <c r="AR347"/>
  <c r="AQ347"/>
  <c r="AP347"/>
  <c r="AO347"/>
  <c r="AN347"/>
  <c r="AM347"/>
  <c r="AL347"/>
  <c r="AK347"/>
  <c r="AJ347"/>
  <c r="AI347"/>
  <c r="AH347"/>
  <c r="AG347"/>
  <c r="AF347"/>
  <c r="AE347"/>
  <c r="AD347"/>
  <c r="AC347"/>
  <c r="AB347"/>
  <c r="AA347"/>
  <c r="Z347"/>
  <c r="Y347"/>
  <c r="X347"/>
  <c r="W347"/>
  <c r="V347"/>
  <c r="U347"/>
  <c r="T347"/>
  <c r="S347"/>
  <c r="R347"/>
  <c r="Q347"/>
  <c r="P347"/>
  <c r="O347"/>
  <c r="N347"/>
  <c r="M347"/>
  <c r="L347"/>
  <c r="K347"/>
  <c r="J347"/>
  <c r="A347" a="1"/>
  <c r="A347" s="1"/>
  <c r="I347" s="1"/>
  <c r="BA346"/>
  <c r="AZ346"/>
  <c r="AY346"/>
  <c r="AX346"/>
  <c r="AW346"/>
  <c r="AV346"/>
  <c r="AU346"/>
  <c r="AT346"/>
  <c r="AS346"/>
  <c r="AR346"/>
  <c r="AQ346"/>
  <c r="AP346"/>
  <c r="AO346"/>
  <c r="AN346"/>
  <c r="AM346"/>
  <c r="AL346"/>
  <c r="AK346"/>
  <c r="AJ346"/>
  <c r="AI346"/>
  <c r="AH346"/>
  <c r="AG346"/>
  <c r="AF346"/>
  <c r="AE346"/>
  <c r="AD346"/>
  <c r="AC346"/>
  <c r="AB346"/>
  <c r="AA346"/>
  <c r="Z346"/>
  <c r="Y346"/>
  <c r="X346"/>
  <c r="W346"/>
  <c r="V346"/>
  <c r="U346"/>
  <c r="T346"/>
  <c r="S346"/>
  <c r="R346"/>
  <c r="Q346"/>
  <c r="P346"/>
  <c r="O346"/>
  <c r="N346"/>
  <c r="M346"/>
  <c r="L346"/>
  <c r="K346"/>
  <c r="J346"/>
  <c r="A346" a="1"/>
  <c r="A346" s="1"/>
  <c r="I346" s="1"/>
  <c r="BA345"/>
  <c r="AZ345"/>
  <c r="AY345"/>
  <c r="AX345"/>
  <c r="AW345"/>
  <c r="AV345"/>
  <c r="AU345"/>
  <c r="AT345"/>
  <c r="AS345"/>
  <c r="AR345"/>
  <c r="AQ345"/>
  <c r="AP345"/>
  <c r="AO345"/>
  <c r="AN345"/>
  <c r="AM345"/>
  <c r="AL345"/>
  <c r="AK345"/>
  <c r="AJ345"/>
  <c r="AI345"/>
  <c r="AH345"/>
  <c r="AG345"/>
  <c r="AF345"/>
  <c r="AE345"/>
  <c r="AD345"/>
  <c r="AC345"/>
  <c r="AB345"/>
  <c r="AA345"/>
  <c r="Z345"/>
  <c r="Y345"/>
  <c r="X345"/>
  <c r="W345"/>
  <c r="V345"/>
  <c r="U345"/>
  <c r="T345"/>
  <c r="S345"/>
  <c r="R345"/>
  <c r="Q345"/>
  <c r="P345"/>
  <c r="O345"/>
  <c r="N345"/>
  <c r="M345"/>
  <c r="L345"/>
  <c r="K345"/>
  <c r="J345"/>
  <c r="A345" a="1"/>
  <c r="A345" s="1"/>
  <c r="I345" s="1"/>
  <c r="BA344"/>
  <c r="AZ344"/>
  <c r="AY344"/>
  <c r="AX344"/>
  <c r="AW344"/>
  <c r="AV344"/>
  <c r="AU344"/>
  <c r="AT344"/>
  <c r="AS344"/>
  <c r="AR344"/>
  <c r="AQ344"/>
  <c r="AP344"/>
  <c r="AO344"/>
  <c r="AN344"/>
  <c r="AM344"/>
  <c r="AL344"/>
  <c r="AK344"/>
  <c r="AJ344"/>
  <c r="AI344"/>
  <c r="AH344"/>
  <c r="AG344"/>
  <c r="AF344"/>
  <c r="AE344"/>
  <c r="AD344"/>
  <c r="AC344"/>
  <c r="AB344"/>
  <c r="AA344"/>
  <c r="Z344"/>
  <c r="Y344"/>
  <c r="X344"/>
  <c r="W344"/>
  <c r="V344"/>
  <c r="U344"/>
  <c r="T344"/>
  <c r="S344"/>
  <c r="R344"/>
  <c r="Q344"/>
  <c r="P344"/>
  <c r="O344"/>
  <c r="N344"/>
  <c r="M344"/>
  <c r="L344"/>
  <c r="K344"/>
  <c r="J344"/>
  <c r="A344" a="1"/>
  <c r="A344" s="1"/>
  <c r="I344" s="1"/>
  <c r="BA343"/>
  <c r="AZ343"/>
  <c r="AY343"/>
  <c r="AX343"/>
  <c r="AW343"/>
  <c r="AV343"/>
  <c r="AU343"/>
  <c r="AT343"/>
  <c r="AS343"/>
  <c r="AR343"/>
  <c r="AQ343"/>
  <c r="AP343"/>
  <c r="AO343"/>
  <c r="AN343"/>
  <c r="AM343"/>
  <c r="AL343"/>
  <c r="AK343"/>
  <c r="AJ343"/>
  <c r="AI343"/>
  <c r="AH343"/>
  <c r="AG343"/>
  <c r="AF343"/>
  <c r="AE343"/>
  <c r="AD343"/>
  <c r="AC343"/>
  <c r="AB343"/>
  <c r="AA343"/>
  <c r="Z343"/>
  <c r="Y343"/>
  <c r="X343"/>
  <c r="W343"/>
  <c r="V343"/>
  <c r="U343"/>
  <c r="T343"/>
  <c r="S343"/>
  <c r="R343"/>
  <c r="Q343"/>
  <c r="P343"/>
  <c r="O343"/>
  <c r="N343"/>
  <c r="M343"/>
  <c r="L343"/>
  <c r="K343"/>
  <c r="J343"/>
  <c r="A343" a="1"/>
  <c r="A343" s="1"/>
  <c r="I343" s="1"/>
  <c r="BA342"/>
  <c r="AZ342"/>
  <c r="AY342"/>
  <c r="AX342"/>
  <c r="AW342"/>
  <c r="AV342"/>
  <c r="AU342"/>
  <c r="AT342"/>
  <c r="AS342"/>
  <c r="AR342"/>
  <c r="AQ342"/>
  <c r="AP342"/>
  <c r="AO342"/>
  <c r="AN342"/>
  <c r="AM342"/>
  <c r="AL342"/>
  <c r="AK342"/>
  <c r="AJ342"/>
  <c r="AI342"/>
  <c r="AH342"/>
  <c r="AG342"/>
  <c r="AF342"/>
  <c r="AE342"/>
  <c r="AD342"/>
  <c r="AC342"/>
  <c r="AB342"/>
  <c r="AA342"/>
  <c r="Z342"/>
  <c r="Y342"/>
  <c r="X342"/>
  <c r="W342"/>
  <c r="V342"/>
  <c r="U342"/>
  <c r="T342"/>
  <c r="S342"/>
  <c r="R342"/>
  <c r="Q342"/>
  <c r="P342"/>
  <c r="O342"/>
  <c r="N342"/>
  <c r="M342"/>
  <c r="L342"/>
  <c r="K342"/>
  <c r="J342"/>
  <c r="A342" a="1"/>
  <c r="A342" s="1"/>
  <c r="I342" s="1"/>
  <c r="BA341"/>
  <c r="AZ341"/>
  <c r="AY341"/>
  <c r="AX341"/>
  <c r="AW341"/>
  <c r="AV341"/>
  <c r="AU341"/>
  <c r="AT341"/>
  <c r="AS341"/>
  <c r="AR341"/>
  <c r="AQ341"/>
  <c r="AP341"/>
  <c r="AO341"/>
  <c r="AN341"/>
  <c r="AM341"/>
  <c r="AL341"/>
  <c r="AK341"/>
  <c r="AJ341"/>
  <c r="AI341"/>
  <c r="AH341"/>
  <c r="AG341"/>
  <c r="AF341"/>
  <c r="AE341"/>
  <c r="AD341"/>
  <c r="AC341"/>
  <c r="AB341"/>
  <c r="AA341"/>
  <c r="Z341"/>
  <c r="Y341"/>
  <c r="X341"/>
  <c r="W341"/>
  <c r="V341"/>
  <c r="U341"/>
  <c r="T341"/>
  <c r="S341"/>
  <c r="R341"/>
  <c r="Q341"/>
  <c r="P341"/>
  <c r="O341"/>
  <c r="N341"/>
  <c r="M341"/>
  <c r="L341"/>
  <c r="K341"/>
  <c r="J341"/>
  <c r="A341" a="1"/>
  <c r="A341" s="1"/>
  <c r="I341" s="1"/>
  <c r="BA340"/>
  <c r="AZ340"/>
  <c r="AY340"/>
  <c r="AX340"/>
  <c r="AW340"/>
  <c r="AV340"/>
  <c r="AU340"/>
  <c r="AT340"/>
  <c r="AS340"/>
  <c r="AR340"/>
  <c r="AQ340"/>
  <c r="AP340"/>
  <c r="AO340"/>
  <c r="AN340"/>
  <c r="AM340"/>
  <c r="AL340"/>
  <c r="AK340"/>
  <c r="AJ340"/>
  <c r="AI340"/>
  <c r="AH340"/>
  <c r="AG340"/>
  <c r="AF340"/>
  <c r="AE340"/>
  <c r="AD340"/>
  <c r="AC340"/>
  <c r="AB340"/>
  <c r="AA340"/>
  <c r="Z340"/>
  <c r="Y340"/>
  <c r="X340"/>
  <c r="W340"/>
  <c r="V340"/>
  <c r="U340"/>
  <c r="T340"/>
  <c r="S340"/>
  <c r="R340"/>
  <c r="Q340"/>
  <c r="P340"/>
  <c r="O340"/>
  <c r="N340"/>
  <c r="M340"/>
  <c r="L340"/>
  <c r="K340"/>
  <c r="J340"/>
  <c r="A340" a="1"/>
  <c r="A340" s="1"/>
  <c r="I340" s="1"/>
  <c r="BA339"/>
  <c r="AZ339"/>
  <c r="AY339"/>
  <c r="AX339"/>
  <c r="AW339"/>
  <c r="AV339"/>
  <c r="AU339"/>
  <c r="AT339"/>
  <c r="AS339"/>
  <c r="AR339"/>
  <c r="AQ339"/>
  <c r="AP339"/>
  <c r="AO339"/>
  <c r="AN339"/>
  <c r="AM339"/>
  <c r="AL339"/>
  <c r="AK339"/>
  <c r="AJ339"/>
  <c r="AI339"/>
  <c r="AH339"/>
  <c r="AG339"/>
  <c r="AF339"/>
  <c r="AE339"/>
  <c r="AD339"/>
  <c r="AC339"/>
  <c r="AB339"/>
  <c r="AA339"/>
  <c r="Z339"/>
  <c r="Y339"/>
  <c r="X339"/>
  <c r="W339"/>
  <c r="V339"/>
  <c r="U339"/>
  <c r="T339"/>
  <c r="S339"/>
  <c r="R339"/>
  <c r="Q339"/>
  <c r="P339"/>
  <c r="O339"/>
  <c r="N339"/>
  <c r="M339"/>
  <c r="L339"/>
  <c r="K339"/>
  <c r="J339"/>
  <c r="A339" a="1"/>
  <c r="A339" s="1"/>
  <c r="I339" s="1"/>
  <c r="BA338"/>
  <c r="AZ338"/>
  <c r="AY338"/>
  <c r="AX338"/>
  <c r="AW338"/>
  <c r="AV338"/>
  <c r="AU338"/>
  <c r="AT338"/>
  <c r="AS338"/>
  <c r="AR338"/>
  <c r="AQ338"/>
  <c r="AP338"/>
  <c r="AO338"/>
  <c r="AN338"/>
  <c r="AM338"/>
  <c r="AL338"/>
  <c r="AK338"/>
  <c r="AJ338"/>
  <c r="AI338"/>
  <c r="AH338"/>
  <c r="AG338"/>
  <c r="AF338"/>
  <c r="AE338"/>
  <c r="AD338"/>
  <c r="AC338"/>
  <c r="AB338"/>
  <c r="AA338"/>
  <c r="Z338"/>
  <c r="Y338"/>
  <c r="X338"/>
  <c r="W338"/>
  <c r="V338"/>
  <c r="U338"/>
  <c r="T338"/>
  <c r="S338"/>
  <c r="R338"/>
  <c r="Q338"/>
  <c r="P338"/>
  <c r="O338"/>
  <c r="N338"/>
  <c r="M338"/>
  <c r="L338"/>
  <c r="K338"/>
  <c r="J338"/>
  <c r="A338" a="1"/>
  <c r="A338" s="1"/>
  <c r="I338" s="1"/>
  <c r="BA337"/>
  <c r="AZ337"/>
  <c r="AY337"/>
  <c r="AX337"/>
  <c r="AW337"/>
  <c r="AV337"/>
  <c r="AU337"/>
  <c r="AT337"/>
  <c r="AS337"/>
  <c r="AR337"/>
  <c r="AQ337"/>
  <c r="AP337"/>
  <c r="AO337"/>
  <c r="AN337"/>
  <c r="AM337"/>
  <c r="AL337"/>
  <c r="AK337"/>
  <c r="AJ337"/>
  <c r="AI337"/>
  <c r="AH337"/>
  <c r="AG337"/>
  <c r="AF337"/>
  <c r="AE337"/>
  <c r="AD337"/>
  <c r="AC337"/>
  <c r="AB337"/>
  <c r="AA337"/>
  <c r="Z337"/>
  <c r="Y337"/>
  <c r="X337"/>
  <c r="W337"/>
  <c r="V337"/>
  <c r="U337"/>
  <c r="T337"/>
  <c r="S337"/>
  <c r="R337"/>
  <c r="Q337"/>
  <c r="P337"/>
  <c r="O337"/>
  <c r="N337"/>
  <c r="M337"/>
  <c r="L337"/>
  <c r="K337"/>
  <c r="J337"/>
  <c r="A337" a="1"/>
  <c r="A337" s="1"/>
  <c r="I337" s="1"/>
  <c r="BA336"/>
  <c r="AZ336"/>
  <c r="AY336"/>
  <c r="AX336"/>
  <c r="AW336"/>
  <c r="AV336"/>
  <c r="AU336"/>
  <c r="AT336"/>
  <c r="AS336"/>
  <c r="AR336"/>
  <c r="AQ336"/>
  <c r="AP336"/>
  <c r="AO336"/>
  <c r="AN336"/>
  <c r="AM336"/>
  <c r="AL336"/>
  <c r="AK336"/>
  <c r="AJ336"/>
  <c r="AI336"/>
  <c r="AH336"/>
  <c r="AG336"/>
  <c r="AF336"/>
  <c r="AE336"/>
  <c r="AD336"/>
  <c r="AC336"/>
  <c r="AB336"/>
  <c r="AA336"/>
  <c r="Z336"/>
  <c r="Y336"/>
  <c r="X336"/>
  <c r="W336"/>
  <c r="V336"/>
  <c r="U336"/>
  <c r="T336"/>
  <c r="S336"/>
  <c r="R336"/>
  <c r="Q336"/>
  <c r="P336"/>
  <c r="O336"/>
  <c r="N336"/>
  <c r="M336"/>
  <c r="L336"/>
  <c r="K336"/>
  <c r="J336"/>
  <c r="A336" a="1"/>
  <c r="A336" s="1"/>
  <c r="I336" s="1"/>
  <c r="BA335"/>
  <c r="AZ335"/>
  <c r="AY335"/>
  <c r="AX335"/>
  <c r="AW335"/>
  <c r="AV335"/>
  <c r="AU335"/>
  <c r="AT335"/>
  <c r="AS335"/>
  <c r="AR335"/>
  <c r="AQ335"/>
  <c r="AP335"/>
  <c r="AO335"/>
  <c r="AN335"/>
  <c r="AM335"/>
  <c r="AL335"/>
  <c r="AK335"/>
  <c r="AJ335"/>
  <c r="AI335"/>
  <c r="AH335"/>
  <c r="AG335"/>
  <c r="AF335"/>
  <c r="AE335"/>
  <c r="AD335"/>
  <c r="AC335"/>
  <c r="AB335"/>
  <c r="AA335"/>
  <c r="Z335"/>
  <c r="Y335"/>
  <c r="X335"/>
  <c r="W335"/>
  <c r="V335"/>
  <c r="U335"/>
  <c r="T335"/>
  <c r="S335"/>
  <c r="R335"/>
  <c r="Q335"/>
  <c r="P335"/>
  <c r="O335"/>
  <c r="N335"/>
  <c r="M335"/>
  <c r="L335"/>
  <c r="K335"/>
  <c r="J335"/>
  <c r="A335" a="1"/>
  <c r="A335" s="1"/>
  <c r="I335" s="1"/>
  <c r="BA334"/>
  <c r="AZ334"/>
  <c r="AY334"/>
  <c r="AX334"/>
  <c r="AW334"/>
  <c r="AV334"/>
  <c r="AU334"/>
  <c r="AT334"/>
  <c r="AS334"/>
  <c r="AR334"/>
  <c r="AQ334"/>
  <c r="AP334"/>
  <c r="AO334"/>
  <c r="AN334"/>
  <c r="AM334"/>
  <c r="AL334"/>
  <c r="AK334"/>
  <c r="AJ334"/>
  <c r="AI334"/>
  <c r="AH334"/>
  <c r="AG334"/>
  <c r="AF334"/>
  <c r="AE334"/>
  <c r="AD334"/>
  <c r="AC334"/>
  <c r="AB334"/>
  <c r="AA334"/>
  <c r="Z334"/>
  <c r="Y334"/>
  <c r="X334"/>
  <c r="W334"/>
  <c r="V334"/>
  <c r="U334"/>
  <c r="T334"/>
  <c r="S334"/>
  <c r="R334"/>
  <c r="Q334"/>
  <c r="P334"/>
  <c r="O334"/>
  <c r="N334"/>
  <c r="M334"/>
  <c r="L334"/>
  <c r="K334"/>
  <c r="J334"/>
  <c r="A334" a="1"/>
  <c r="A334" s="1"/>
  <c r="I334" s="1"/>
  <c r="BA333"/>
  <c r="AZ333"/>
  <c r="AY333"/>
  <c r="AX333"/>
  <c r="AW333"/>
  <c r="AV333"/>
  <c r="AU333"/>
  <c r="AT333"/>
  <c r="AS333"/>
  <c r="AR333"/>
  <c r="AQ333"/>
  <c r="AP333"/>
  <c r="AO333"/>
  <c r="AN333"/>
  <c r="AM333"/>
  <c r="AL333"/>
  <c r="AK333"/>
  <c r="AJ333"/>
  <c r="AI333"/>
  <c r="AH333"/>
  <c r="AG333"/>
  <c r="AF333"/>
  <c r="AE333"/>
  <c r="AD333"/>
  <c r="AC333"/>
  <c r="AB333"/>
  <c r="AA333"/>
  <c r="Z333"/>
  <c r="Y333"/>
  <c r="X333"/>
  <c r="W333"/>
  <c r="V333"/>
  <c r="U333"/>
  <c r="T333"/>
  <c r="S333"/>
  <c r="R333"/>
  <c r="Q333"/>
  <c r="P333"/>
  <c r="O333"/>
  <c r="N333"/>
  <c r="M333"/>
  <c r="L333"/>
  <c r="K333"/>
  <c r="J333"/>
  <c r="A333" a="1"/>
  <c r="A333" s="1"/>
  <c r="I333" s="1"/>
  <c r="BA332"/>
  <c r="AZ332"/>
  <c r="AY332"/>
  <c r="AX332"/>
  <c r="AW332"/>
  <c r="AV332"/>
  <c r="AU332"/>
  <c r="AT332"/>
  <c r="AS332"/>
  <c r="AR332"/>
  <c r="AQ332"/>
  <c r="AP332"/>
  <c r="AO332"/>
  <c r="AN332"/>
  <c r="AM332"/>
  <c r="AL332"/>
  <c r="AK332"/>
  <c r="AJ332"/>
  <c r="AI332"/>
  <c r="AH332"/>
  <c r="AG332"/>
  <c r="AF332"/>
  <c r="AE332"/>
  <c r="AD332"/>
  <c r="AC332"/>
  <c r="AB332"/>
  <c r="AA332"/>
  <c r="Z332"/>
  <c r="Y332"/>
  <c r="X332"/>
  <c r="W332"/>
  <c r="V332"/>
  <c r="U332"/>
  <c r="T332"/>
  <c r="S332"/>
  <c r="R332"/>
  <c r="Q332"/>
  <c r="P332"/>
  <c r="O332"/>
  <c r="N332"/>
  <c r="M332"/>
  <c r="L332"/>
  <c r="K332"/>
  <c r="J332"/>
  <c r="A332" a="1"/>
  <c r="A332" s="1"/>
  <c r="I332" s="1"/>
  <c r="BA331"/>
  <c r="AZ331"/>
  <c r="AY331"/>
  <c r="AX331"/>
  <c r="AW331"/>
  <c r="AV331"/>
  <c r="AU331"/>
  <c r="AT331"/>
  <c r="AS331"/>
  <c r="AR331"/>
  <c r="AQ331"/>
  <c r="AP331"/>
  <c r="AO331"/>
  <c r="AN331"/>
  <c r="AM331"/>
  <c r="AL331"/>
  <c r="AK331"/>
  <c r="AJ331"/>
  <c r="AI331"/>
  <c r="AH331"/>
  <c r="AG331"/>
  <c r="AF331"/>
  <c r="AE331"/>
  <c r="AD331"/>
  <c r="AC331"/>
  <c r="AB331"/>
  <c r="AA331"/>
  <c r="Z331"/>
  <c r="Y331"/>
  <c r="X331"/>
  <c r="W331"/>
  <c r="V331"/>
  <c r="U331"/>
  <c r="T331"/>
  <c r="S331"/>
  <c r="R331"/>
  <c r="Q331"/>
  <c r="P331"/>
  <c r="O331"/>
  <c r="N331"/>
  <c r="M331"/>
  <c r="L331"/>
  <c r="K331"/>
  <c r="J331"/>
  <c r="A331" a="1"/>
  <c r="A331" s="1"/>
  <c r="I331" s="1"/>
  <c r="BA330"/>
  <c r="AZ330"/>
  <c r="AY330"/>
  <c r="AX330"/>
  <c r="AW330"/>
  <c r="AV330"/>
  <c r="AU330"/>
  <c r="AT330"/>
  <c r="AS330"/>
  <c r="AR330"/>
  <c r="AQ330"/>
  <c r="AP330"/>
  <c r="AO330"/>
  <c r="AN330"/>
  <c r="AM330"/>
  <c r="AL330"/>
  <c r="AK330"/>
  <c r="AJ330"/>
  <c r="AI330"/>
  <c r="AH330"/>
  <c r="AG330"/>
  <c r="AF330"/>
  <c r="AE330"/>
  <c r="AD330"/>
  <c r="AC330"/>
  <c r="AB330"/>
  <c r="AA330"/>
  <c r="Z330"/>
  <c r="Y330"/>
  <c r="X330"/>
  <c r="W330"/>
  <c r="V330"/>
  <c r="U330"/>
  <c r="T330"/>
  <c r="S330"/>
  <c r="R330"/>
  <c r="Q330"/>
  <c r="P330"/>
  <c r="O330"/>
  <c r="N330"/>
  <c r="M330"/>
  <c r="L330"/>
  <c r="K330"/>
  <c r="J330"/>
  <c r="A330" a="1"/>
  <c r="A330" s="1"/>
  <c r="I330" s="1"/>
  <c r="BA329"/>
  <c r="AZ329"/>
  <c r="AY329"/>
  <c r="AX329"/>
  <c r="AW329"/>
  <c r="AV329"/>
  <c r="AU329"/>
  <c r="AT329"/>
  <c r="AS329"/>
  <c r="AR329"/>
  <c r="AQ329"/>
  <c r="AP329"/>
  <c r="AO329"/>
  <c r="AN329"/>
  <c r="AM329"/>
  <c r="AL329"/>
  <c r="AK329"/>
  <c r="AJ329"/>
  <c r="AI329"/>
  <c r="AH329"/>
  <c r="AG329"/>
  <c r="AF329"/>
  <c r="AE329"/>
  <c r="AD329"/>
  <c r="AC329"/>
  <c r="AB329"/>
  <c r="AA329"/>
  <c r="Z329"/>
  <c r="Y329"/>
  <c r="X329"/>
  <c r="W329"/>
  <c r="V329"/>
  <c r="U329"/>
  <c r="T329"/>
  <c r="S329"/>
  <c r="R329"/>
  <c r="Q329"/>
  <c r="P329"/>
  <c r="O329"/>
  <c r="N329"/>
  <c r="M329"/>
  <c r="L329"/>
  <c r="K329"/>
  <c r="J329"/>
  <c r="A329" a="1"/>
  <c r="A329" s="1"/>
  <c r="I329" s="1"/>
  <c r="BA328"/>
  <c r="AZ328"/>
  <c r="AY328"/>
  <c r="AX328"/>
  <c r="AW328"/>
  <c r="AV328"/>
  <c r="AU328"/>
  <c r="AT328"/>
  <c r="AS328"/>
  <c r="AR328"/>
  <c r="AQ328"/>
  <c r="AP328"/>
  <c r="AO328"/>
  <c r="AN328"/>
  <c r="AM328"/>
  <c r="AL328"/>
  <c r="AK328"/>
  <c r="AJ328"/>
  <c r="AI328"/>
  <c r="AH328"/>
  <c r="AG328"/>
  <c r="AF328"/>
  <c r="AE328"/>
  <c r="AD328"/>
  <c r="AC328"/>
  <c r="AB328"/>
  <c r="AA328"/>
  <c r="Z328"/>
  <c r="Y328"/>
  <c r="X328"/>
  <c r="W328"/>
  <c r="V328"/>
  <c r="U328"/>
  <c r="T328"/>
  <c r="S328"/>
  <c r="R328"/>
  <c r="Q328"/>
  <c r="P328"/>
  <c r="O328"/>
  <c r="N328"/>
  <c r="M328"/>
  <c r="L328"/>
  <c r="K328"/>
  <c r="J328"/>
  <c r="A328" a="1"/>
  <c r="A328" s="1"/>
  <c r="I328" s="1"/>
  <c r="BA327"/>
  <c r="AZ327"/>
  <c r="AY327"/>
  <c r="AX327"/>
  <c r="AW327"/>
  <c r="AV327"/>
  <c r="AU327"/>
  <c r="AT327"/>
  <c r="AS327"/>
  <c r="AR327"/>
  <c r="AQ327"/>
  <c r="AP327"/>
  <c r="AO327"/>
  <c r="AN327"/>
  <c r="AM327"/>
  <c r="AL327"/>
  <c r="AK327"/>
  <c r="AJ327"/>
  <c r="AI327"/>
  <c r="AH327"/>
  <c r="AG327"/>
  <c r="AF327"/>
  <c r="AE327"/>
  <c r="AD327"/>
  <c r="AC327"/>
  <c r="AB327"/>
  <c r="AA327"/>
  <c r="Z327"/>
  <c r="Y327"/>
  <c r="X327"/>
  <c r="W327"/>
  <c r="V327"/>
  <c r="U327"/>
  <c r="T327"/>
  <c r="S327"/>
  <c r="R327"/>
  <c r="Q327"/>
  <c r="P327"/>
  <c r="O327"/>
  <c r="N327"/>
  <c r="M327"/>
  <c r="L327"/>
  <c r="K327"/>
  <c r="J327"/>
  <c r="A327" a="1"/>
  <c r="A327" s="1"/>
  <c r="I327" s="1"/>
  <c r="BA326"/>
  <c r="AZ326"/>
  <c r="AY326"/>
  <c r="AX326"/>
  <c r="AW326"/>
  <c r="AV326"/>
  <c r="AU326"/>
  <c r="AT326"/>
  <c r="AS326"/>
  <c r="AR326"/>
  <c r="AQ326"/>
  <c r="AP326"/>
  <c r="AO326"/>
  <c r="AN326"/>
  <c r="AM326"/>
  <c r="AL326"/>
  <c r="AK326"/>
  <c r="AJ326"/>
  <c r="AI326"/>
  <c r="AH326"/>
  <c r="AG326"/>
  <c r="AF326"/>
  <c r="AE326"/>
  <c r="AD326"/>
  <c r="AC326"/>
  <c r="AB326"/>
  <c r="AA326"/>
  <c r="Z326"/>
  <c r="Y326"/>
  <c r="X326"/>
  <c r="W326"/>
  <c r="V326"/>
  <c r="U326"/>
  <c r="T326"/>
  <c r="S326"/>
  <c r="R326"/>
  <c r="Q326"/>
  <c r="P326"/>
  <c r="O326"/>
  <c r="N326"/>
  <c r="M326"/>
  <c r="L326"/>
  <c r="K326"/>
  <c r="J326"/>
  <c r="A326" a="1"/>
  <c r="A326" s="1"/>
  <c r="I326" s="1"/>
  <c r="BA325"/>
  <c r="AZ325"/>
  <c r="AY325"/>
  <c r="AX325"/>
  <c r="AW325"/>
  <c r="AV325"/>
  <c r="AU325"/>
  <c r="AT325"/>
  <c r="AS325"/>
  <c r="AR325"/>
  <c r="AQ325"/>
  <c r="AP325"/>
  <c r="AO325"/>
  <c r="AN325"/>
  <c r="AM325"/>
  <c r="AL325"/>
  <c r="AK325"/>
  <c r="AJ325"/>
  <c r="AI325"/>
  <c r="AH325"/>
  <c r="AG325"/>
  <c r="AF325"/>
  <c r="AE325"/>
  <c r="AD325"/>
  <c r="AC325"/>
  <c r="AB325"/>
  <c r="AA325"/>
  <c r="Z325"/>
  <c r="Y325"/>
  <c r="X325"/>
  <c r="W325"/>
  <c r="V325"/>
  <c r="U325"/>
  <c r="T325"/>
  <c r="S325"/>
  <c r="R325"/>
  <c r="Q325"/>
  <c r="P325"/>
  <c r="O325"/>
  <c r="N325"/>
  <c r="M325"/>
  <c r="L325"/>
  <c r="K325"/>
  <c r="J325"/>
  <c r="A325" a="1"/>
  <c r="A325" s="1"/>
  <c r="I325" s="1"/>
  <c r="BA324"/>
  <c r="AZ324"/>
  <c r="AY324"/>
  <c r="AX324"/>
  <c r="AW324"/>
  <c r="AV324"/>
  <c r="AU324"/>
  <c r="AT324"/>
  <c r="AS324"/>
  <c r="AR324"/>
  <c r="AQ324"/>
  <c r="AP324"/>
  <c r="AO324"/>
  <c r="AN324"/>
  <c r="AM324"/>
  <c r="AL324"/>
  <c r="AK324"/>
  <c r="AJ324"/>
  <c r="AI324"/>
  <c r="AH324"/>
  <c r="AG324"/>
  <c r="AF324"/>
  <c r="AE324"/>
  <c r="AD324"/>
  <c r="AC324"/>
  <c r="AB324"/>
  <c r="AA324"/>
  <c r="Z324"/>
  <c r="Y324"/>
  <c r="X324"/>
  <c r="W324"/>
  <c r="V324"/>
  <c r="U324"/>
  <c r="T324"/>
  <c r="S324"/>
  <c r="R324"/>
  <c r="Q324"/>
  <c r="P324"/>
  <c r="O324"/>
  <c r="N324"/>
  <c r="M324"/>
  <c r="L324"/>
  <c r="K324"/>
  <c r="J324"/>
  <c r="A324" a="1"/>
  <c r="A324" s="1"/>
  <c r="I324" s="1"/>
  <c r="BA323"/>
  <c r="AZ323"/>
  <c r="AY323"/>
  <c r="AX323"/>
  <c r="AW323"/>
  <c r="AV323"/>
  <c r="AU323"/>
  <c r="AT323"/>
  <c r="AS323"/>
  <c r="AR323"/>
  <c r="AQ323"/>
  <c r="AP323"/>
  <c r="AO323"/>
  <c r="AN323"/>
  <c r="AM323"/>
  <c r="AL323"/>
  <c r="AK323"/>
  <c r="AJ323"/>
  <c r="AI323"/>
  <c r="AH323"/>
  <c r="AG323"/>
  <c r="AF323"/>
  <c r="AE323"/>
  <c r="AD323"/>
  <c r="AC323"/>
  <c r="AB323"/>
  <c r="AA323"/>
  <c r="Z323"/>
  <c r="Y323"/>
  <c r="X323"/>
  <c r="W323"/>
  <c r="V323"/>
  <c r="U323"/>
  <c r="T323"/>
  <c r="S323"/>
  <c r="R323"/>
  <c r="Q323"/>
  <c r="P323"/>
  <c r="O323"/>
  <c r="N323"/>
  <c r="M323"/>
  <c r="L323"/>
  <c r="K323"/>
  <c r="J323"/>
  <c r="A323" a="1"/>
  <c r="A323" s="1"/>
  <c r="I323" s="1"/>
  <c r="BA322"/>
  <c r="AZ322"/>
  <c r="AY322"/>
  <c r="AX322"/>
  <c r="AW322"/>
  <c r="AV322"/>
  <c r="AU322"/>
  <c r="AT322"/>
  <c r="AS322"/>
  <c r="AR322"/>
  <c r="AQ322"/>
  <c r="AP322"/>
  <c r="AO322"/>
  <c r="AN322"/>
  <c r="AM322"/>
  <c r="AL322"/>
  <c r="AK322"/>
  <c r="AJ322"/>
  <c r="AI322"/>
  <c r="AH322"/>
  <c r="AG322"/>
  <c r="AF322"/>
  <c r="AE322"/>
  <c r="AD322"/>
  <c r="AC322"/>
  <c r="AB322"/>
  <c r="AA322"/>
  <c r="Z322"/>
  <c r="Y322"/>
  <c r="X322"/>
  <c r="W322"/>
  <c r="V322"/>
  <c r="U322"/>
  <c r="T322"/>
  <c r="S322"/>
  <c r="R322"/>
  <c r="Q322"/>
  <c r="P322"/>
  <c r="O322"/>
  <c r="N322"/>
  <c r="M322"/>
  <c r="L322"/>
  <c r="K322"/>
  <c r="J322"/>
  <c r="A322" a="1"/>
  <c r="A322" s="1"/>
  <c r="I322" s="1"/>
  <c r="BA321"/>
  <c r="AZ321"/>
  <c r="AY321"/>
  <c r="AX321"/>
  <c r="AW321"/>
  <c r="AV321"/>
  <c r="AU321"/>
  <c r="AT321"/>
  <c r="AS321"/>
  <c r="AR321"/>
  <c r="AQ321"/>
  <c r="AP321"/>
  <c r="AO321"/>
  <c r="AN321"/>
  <c r="AM321"/>
  <c r="AL321"/>
  <c r="AK321"/>
  <c r="AJ321"/>
  <c r="AI321"/>
  <c r="AH321"/>
  <c r="AG321"/>
  <c r="AF321"/>
  <c r="AE321"/>
  <c r="AD321"/>
  <c r="AC321"/>
  <c r="AB321"/>
  <c r="AA321"/>
  <c r="Z321"/>
  <c r="Y321"/>
  <c r="X321"/>
  <c r="W321"/>
  <c r="V321"/>
  <c r="U321"/>
  <c r="T321"/>
  <c r="S321"/>
  <c r="R321"/>
  <c r="Q321"/>
  <c r="P321"/>
  <c r="O321"/>
  <c r="N321"/>
  <c r="M321"/>
  <c r="L321"/>
  <c r="K321"/>
  <c r="J321"/>
  <c r="A321" a="1"/>
  <c r="A321" s="1"/>
  <c r="I321" s="1"/>
  <c r="BA320"/>
  <c r="AZ320"/>
  <c r="AY320"/>
  <c r="AX320"/>
  <c r="AW320"/>
  <c r="AV320"/>
  <c r="AU320"/>
  <c r="AT320"/>
  <c r="AS320"/>
  <c r="AR320"/>
  <c r="AQ320"/>
  <c r="AP320"/>
  <c r="AO320"/>
  <c r="AN320"/>
  <c r="AM320"/>
  <c r="AL320"/>
  <c r="AK320"/>
  <c r="AJ320"/>
  <c r="AI320"/>
  <c r="AH320"/>
  <c r="AG320"/>
  <c r="AF320"/>
  <c r="AE320"/>
  <c r="AD320"/>
  <c r="AC320"/>
  <c r="AB320"/>
  <c r="AA320"/>
  <c r="Z320"/>
  <c r="Y320"/>
  <c r="X320"/>
  <c r="W320"/>
  <c r="V320"/>
  <c r="U320"/>
  <c r="T320"/>
  <c r="S320"/>
  <c r="R320"/>
  <c r="Q320"/>
  <c r="P320"/>
  <c r="O320"/>
  <c r="N320"/>
  <c r="M320"/>
  <c r="L320"/>
  <c r="K320"/>
  <c r="J320"/>
  <c r="A320" a="1"/>
  <c r="A320" s="1"/>
  <c r="I320" s="1"/>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L319"/>
  <c r="K319"/>
  <c r="J319"/>
  <c r="A319" a="1"/>
  <c r="A319" s="1"/>
  <c r="I319" s="1"/>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L318"/>
  <c r="K318"/>
  <c r="J318"/>
  <c r="A318" a="1"/>
  <c r="A318" s="1"/>
  <c r="I318" s="1"/>
  <c r="BA317"/>
  <c r="AZ317"/>
  <c r="AY317"/>
  <c r="AX317"/>
  <c r="AW317"/>
  <c r="AV317"/>
  <c r="AU317"/>
  <c r="AT317"/>
  <c r="AS317"/>
  <c r="AR317"/>
  <c r="AQ317"/>
  <c r="AP317"/>
  <c r="AO317"/>
  <c r="AN317"/>
  <c r="AM317"/>
  <c r="AL317"/>
  <c r="AK317"/>
  <c r="AJ317"/>
  <c r="AI317"/>
  <c r="AH317"/>
  <c r="AG317"/>
  <c r="AF317"/>
  <c r="AE317"/>
  <c r="AD317"/>
  <c r="AC317"/>
  <c r="AB317"/>
  <c r="AA317"/>
  <c r="Z317"/>
  <c r="Y317"/>
  <c r="X317"/>
  <c r="W317"/>
  <c r="V317"/>
  <c r="U317"/>
  <c r="T317"/>
  <c r="S317"/>
  <c r="R317"/>
  <c r="Q317"/>
  <c r="P317"/>
  <c r="O317"/>
  <c r="N317"/>
  <c r="M317"/>
  <c r="L317"/>
  <c r="K317"/>
  <c r="J317"/>
  <c r="A317" a="1"/>
  <c r="A317" s="1"/>
  <c r="I317" s="1"/>
  <c r="BA316"/>
  <c r="AZ316"/>
  <c r="AY316"/>
  <c r="AX316"/>
  <c r="AW316"/>
  <c r="AV316"/>
  <c r="AU316"/>
  <c r="AT316"/>
  <c r="AS316"/>
  <c r="AR316"/>
  <c r="AQ316"/>
  <c r="AP316"/>
  <c r="AO316"/>
  <c r="AN316"/>
  <c r="AM316"/>
  <c r="AL316"/>
  <c r="AK316"/>
  <c r="AJ316"/>
  <c r="AI316"/>
  <c r="AH316"/>
  <c r="AG316"/>
  <c r="AF316"/>
  <c r="AE316"/>
  <c r="AD316"/>
  <c r="AC316"/>
  <c r="AB316"/>
  <c r="AA316"/>
  <c r="Z316"/>
  <c r="Y316"/>
  <c r="X316"/>
  <c r="W316"/>
  <c r="V316"/>
  <c r="U316"/>
  <c r="T316"/>
  <c r="S316"/>
  <c r="R316"/>
  <c r="Q316"/>
  <c r="P316"/>
  <c r="O316"/>
  <c r="N316"/>
  <c r="M316"/>
  <c r="L316"/>
  <c r="K316"/>
  <c r="J316"/>
  <c r="A316" a="1"/>
  <c r="A316" s="1"/>
  <c r="I316" s="1"/>
  <c r="BA315"/>
  <c r="AZ315"/>
  <c r="AY315"/>
  <c r="AX315"/>
  <c r="AW315"/>
  <c r="AV315"/>
  <c r="AU315"/>
  <c r="AT315"/>
  <c r="AS315"/>
  <c r="AR315"/>
  <c r="AQ315"/>
  <c r="AP315"/>
  <c r="AO315"/>
  <c r="AN315"/>
  <c r="AM315"/>
  <c r="AL315"/>
  <c r="AK315"/>
  <c r="AJ315"/>
  <c r="AI315"/>
  <c r="AH315"/>
  <c r="AG315"/>
  <c r="AF315"/>
  <c r="AE315"/>
  <c r="AD315"/>
  <c r="AC315"/>
  <c r="AB315"/>
  <c r="AA315"/>
  <c r="Z315"/>
  <c r="Y315"/>
  <c r="X315"/>
  <c r="W315"/>
  <c r="V315"/>
  <c r="U315"/>
  <c r="T315"/>
  <c r="S315"/>
  <c r="R315"/>
  <c r="Q315"/>
  <c r="P315"/>
  <c r="O315"/>
  <c r="N315"/>
  <c r="M315"/>
  <c r="L315"/>
  <c r="K315"/>
  <c r="J315"/>
  <c r="A315" a="1"/>
  <c r="A315" s="1"/>
  <c r="I315" s="1"/>
  <c r="BA314"/>
  <c r="AZ314"/>
  <c r="AY314"/>
  <c r="AX314"/>
  <c r="AW314"/>
  <c r="AV314"/>
  <c r="AU314"/>
  <c r="AT314"/>
  <c r="AS314"/>
  <c r="AR314"/>
  <c r="AQ314"/>
  <c r="AP314"/>
  <c r="AO314"/>
  <c r="AN314"/>
  <c r="AM314"/>
  <c r="AL314"/>
  <c r="AK314"/>
  <c r="AJ314"/>
  <c r="AI314"/>
  <c r="AH314"/>
  <c r="AG314"/>
  <c r="AF314"/>
  <c r="AE314"/>
  <c r="AD314"/>
  <c r="AC314"/>
  <c r="AB314"/>
  <c r="AA314"/>
  <c r="Z314"/>
  <c r="Y314"/>
  <c r="X314"/>
  <c r="W314"/>
  <c r="V314"/>
  <c r="U314"/>
  <c r="T314"/>
  <c r="S314"/>
  <c r="R314"/>
  <c r="Q314"/>
  <c r="P314"/>
  <c r="O314"/>
  <c r="N314"/>
  <c r="M314"/>
  <c r="L314"/>
  <c r="K314"/>
  <c r="J314"/>
  <c r="A314" a="1"/>
  <c r="A314" s="1"/>
  <c r="I314" s="1"/>
  <c r="BA313"/>
  <c r="AZ313"/>
  <c r="AY313"/>
  <c r="AX313"/>
  <c r="AW313"/>
  <c r="AV313"/>
  <c r="AU313"/>
  <c r="AT313"/>
  <c r="AS313"/>
  <c r="AR313"/>
  <c r="AQ313"/>
  <c r="AP313"/>
  <c r="AO313"/>
  <c r="AN313"/>
  <c r="AM313"/>
  <c r="AL313"/>
  <c r="AK313"/>
  <c r="AJ313"/>
  <c r="AI313"/>
  <c r="AH313"/>
  <c r="AG313"/>
  <c r="AF313"/>
  <c r="AE313"/>
  <c r="AD313"/>
  <c r="AC313"/>
  <c r="AB313"/>
  <c r="AA313"/>
  <c r="Z313"/>
  <c r="Y313"/>
  <c r="X313"/>
  <c r="W313"/>
  <c r="V313"/>
  <c r="U313"/>
  <c r="T313"/>
  <c r="S313"/>
  <c r="R313"/>
  <c r="Q313"/>
  <c r="P313"/>
  <c r="O313"/>
  <c r="N313"/>
  <c r="M313"/>
  <c r="L313"/>
  <c r="K313"/>
  <c r="J313"/>
  <c r="A313" a="1"/>
  <c r="A313" s="1"/>
  <c r="I313" s="1"/>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L312"/>
  <c r="K312"/>
  <c r="J312"/>
  <c r="A312" a="1"/>
  <c r="A312" s="1"/>
  <c r="I312" s="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L311"/>
  <c r="K311"/>
  <c r="J311"/>
  <c r="A311" a="1"/>
  <c r="A311" s="1"/>
  <c r="I311" s="1"/>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L310"/>
  <c r="K310"/>
  <c r="J310"/>
  <c r="A310" a="1"/>
  <c r="A310" s="1"/>
  <c r="I310" s="1"/>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L309"/>
  <c r="K309"/>
  <c r="J309"/>
  <c r="A309" a="1"/>
  <c r="A309" s="1"/>
  <c r="I309" s="1"/>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L308"/>
  <c r="K308"/>
  <c r="J308"/>
  <c r="A308" a="1"/>
  <c r="A308" s="1"/>
  <c r="I308" s="1"/>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L307"/>
  <c r="K307"/>
  <c r="J307"/>
  <c r="A307" a="1"/>
  <c r="A307" s="1"/>
  <c r="I307" s="1"/>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L306"/>
  <c r="K306"/>
  <c r="J306"/>
  <c r="A306" a="1"/>
  <c r="A306" s="1"/>
  <c r="I306" s="1"/>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L305"/>
  <c r="K305"/>
  <c r="J305"/>
  <c r="A305" a="1"/>
  <c r="A305" s="1"/>
  <c r="I305" s="1"/>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L304"/>
  <c r="K304"/>
  <c r="J304"/>
  <c r="A304" a="1"/>
  <c r="A304" s="1"/>
  <c r="I304" s="1"/>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L303"/>
  <c r="K303"/>
  <c r="J303"/>
  <c r="A303" a="1"/>
  <c r="A303" s="1"/>
  <c r="I303" s="1"/>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L302"/>
  <c r="K302"/>
  <c r="J302"/>
  <c r="A302" a="1"/>
  <c r="A302" s="1"/>
  <c r="I302" s="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L301"/>
  <c r="K301"/>
  <c r="J301"/>
  <c r="A301" a="1"/>
  <c r="A301" s="1"/>
  <c r="I301" s="1"/>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L300"/>
  <c r="K300"/>
  <c r="J300"/>
  <c r="A300" a="1"/>
  <c r="A300" s="1"/>
  <c r="I300" s="1"/>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L299"/>
  <c r="K299"/>
  <c r="J299"/>
  <c r="A299" a="1"/>
  <c r="A299" s="1"/>
  <c r="I299" s="1"/>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L298"/>
  <c r="K298"/>
  <c r="J298"/>
  <c r="A298" a="1"/>
  <c r="A298" s="1"/>
  <c r="I298" s="1"/>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L297"/>
  <c r="K297"/>
  <c r="J297"/>
  <c r="A297" a="1"/>
  <c r="A297" s="1"/>
  <c r="I297" s="1"/>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L296"/>
  <c r="K296"/>
  <c r="J296"/>
  <c r="A296" a="1"/>
  <c r="A296" s="1"/>
  <c r="I296" s="1"/>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L295"/>
  <c r="K295"/>
  <c r="J295"/>
  <c r="A295" a="1"/>
  <c r="A295" s="1"/>
  <c r="I295" s="1"/>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L294"/>
  <c r="K294"/>
  <c r="J294"/>
  <c r="A294" a="1"/>
  <c r="A294" s="1"/>
  <c r="I294" s="1"/>
  <c r="BA293"/>
  <c r="AZ293"/>
  <c r="AY293"/>
  <c r="AX293"/>
  <c r="AW293"/>
  <c r="AV293"/>
  <c r="AU293"/>
  <c r="AT293"/>
  <c r="AS293"/>
  <c r="AR293"/>
  <c r="AQ293"/>
  <c r="AP293"/>
  <c r="AO293"/>
  <c r="AN293"/>
  <c r="AM293"/>
  <c r="AL293"/>
  <c r="AK293"/>
  <c r="AJ293"/>
  <c r="AI293"/>
  <c r="AH293"/>
  <c r="AG293"/>
  <c r="AF293"/>
  <c r="AE293"/>
  <c r="AD293"/>
  <c r="AC293"/>
  <c r="AB293"/>
  <c r="AA293"/>
  <c r="Z293"/>
  <c r="Y293"/>
  <c r="X293"/>
  <c r="W293"/>
  <c r="V293"/>
  <c r="U293"/>
  <c r="T293"/>
  <c r="S293"/>
  <c r="R293"/>
  <c r="Q293"/>
  <c r="P293"/>
  <c r="O293"/>
  <c r="N293"/>
  <c r="M293"/>
  <c r="L293"/>
  <c r="K293"/>
  <c r="J293"/>
  <c r="A293" a="1"/>
  <c r="A293" s="1"/>
  <c r="I293" s="1"/>
  <c r="BA292"/>
  <c r="AZ292"/>
  <c r="AY292"/>
  <c r="AX292"/>
  <c r="AW292"/>
  <c r="AV292"/>
  <c r="AU292"/>
  <c r="AT292"/>
  <c r="AS292"/>
  <c r="AR292"/>
  <c r="AQ292"/>
  <c r="AP292"/>
  <c r="AO292"/>
  <c r="AN292"/>
  <c r="AM292"/>
  <c r="AL292"/>
  <c r="AK292"/>
  <c r="AJ292"/>
  <c r="AI292"/>
  <c r="AH292"/>
  <c r="AG292"/>
  <c r="AF292"/>
  <c r="AE292"/>
  <c r="AD292"/>
  <c r="AC292"/>
  <c r="AB292"/>
  <c r="AA292"/>
  <c r="Z292"/>
  <c r="Y292"/>
  <c r="X292"/>
  <c r="W292"/>
  <c r="V292"/>
  <c r="U292"/>
  <c r="T292"/>
  <c r="S292"/>
  <c r="R292"/>
  <c r="Q292"/>
  <c r="P292"/>
  <c r="O292"/>
  <c r="N292"/>
  <c r="M292"/>
  <c r="L292"/>
  <c r="K292"/>
  <c r="J292"/>
  <c r="A292" a="1"/>
  <c r="A292" s="1"/>
  <c r="I292" s="1"/>
  <c r="BA291"/>
  <c r="AZ291"/>
  <c r="AY291"/>
  <c r="AX291"/>
  <c r="AW291"/>
  <c r="AV291"/>
  <c r="AU291"/>
  <c r="AT291"/>
  <c r="AS291"/>
  <c r="AR291"/>
  <c r="AQ291"/>
  <c r="AP291"/>
  <c r="AO291"/>
  <c r="AN291"/>
  <c r="AM291"/>
  <c r="AL291"/>
  <c r="AK291"/>
  <c r="AJ291"/>
  <c r="AI291"/>
  <c r="AH291"/>
  <c r="AG291"/>
  <c r="AF291"/>
  <c r="AE291"/>
  <c r="AD291"/>
  <c r="AC291"/>
  <c r="AB291"/>
  <c r="AA291"/>
  <c r="Z291"/>
  <c r="Y291"/>
  <c r="X291"/>
  <c r="W291"/>
  <c r="V291"/>
  <c r="U291"/>
  <c r="T291"/>
  <c r="S291"/>
  <c r="R291"/>
  <c r="Q291"/>
  <c r="P291"/>
  <c r="O291"/>
  <c r="N291"/>
  <c r="M291"/>
  <c r="L291"/>
  <c r="K291"/>
  <c r="J291"/>
  <c r="A291" a="1"/>
  <c r="A291" s="1"/>
  <c r="I291" s="1"/>
  <c r="BA290"/>
  <c r="AZ290"/>
  <c r="AY290"/>
  <c r="AX290"/>
  <c r="AW290"/>
  <c r="AV290"/>
  <c r="AU290"/>
  <c r="AT290"/>
  <c r="AS290"/>
  <c r="AR290"/>
  <c r="AQ290"/>
  <c r="AP290"/>
  <c r="AO290"/>
  <c r="AN290"/>
  <c r="AM290"/>
  <c r="AL290"/>
  <c r="AK290"/>
  <c r="AJ290"/>
  <c r="AI290"/>
  <c r="AH290"/>
  <c r="AG290"/>
  <c r="AF290"/>
  <c r="AE290"/>
  <c r="AD290"/>
  <c r="AC290"/>
  <c r="AB290"/>
  <c r="AA290"/>
  <c r="Z290"/>
  <c r="Y290"/>
  <c r="X290"/>
  <c r="W290"/>
  <c r="V290"/>
  <c r="U290"/>
  <c r="T290"/>
  <c r="S290"/>
  <c r="R290"/>
  <c r="Q290"/>
  <c r="P290"/>
  <c r="O290"/>
  <c r="N290"/>
  <c r="M290"/>
  <c r="L290"/>
  <c r="K290"/>
  <c r="J290"/>
  <c r="A290" a="1"/>
  <c r="A290" s="1"/>
  <c r="I290" s="1"/>
  <c r="BA289"/>
  <c r="AZ289"/>
  <c r="AY289"/>
  <c r="AX289"/>
  <c r="AW289"/>
  <c r="AV289"/>
  <c r="AU289"/>
  <c r="AT289"/>
  <c r="AS289"/>
  <c r="AR289"/>
  <c r="AQ289"/>
  <c r="AP289"/>
  <c r="AO289"/>
  <c r="AN289"/>
  <c r="AM289"/>
  <c r="AL289"/>
  <c r="AK289"/>
  <c r="AJ289"/>
  <c r="AI289"/>
  <c r="AH289"/>
  <c r="AG289"/>
  <c r="AF289"/>
  <c r="AE289"/>
  <c r="AD289"/>
  <c r="AC289"/>
  <c r="AB289"/>
  <c r="AA289"/>
  <c r="Z289"/>
  <c r="Y289"/>
  <c r="X289"/>
  <c r="W289"/>
  <c r="V289"/>
  <c r="U289"/>
  <c r="T289"/>
  <c r="S289"/>
  <c r="R289"/>
  <c r="Q289"/>
  <c r="P289"/>
  <c r="O289"/>
  <c r="N289"/>
  <c r="M289"/>
  <c r="L289"/>
  <c r="K289"/>
  <c r="J289"/>
  <c r="A289" a="1"/>
  <c r="A289" s="1"/>
  <c r="I289" s="1"/>
  <c r="BA288"/>
  <c r="AZ288"/>
  <c r="AY288"/>
  <c r="AX288"/>
  <c r="AW288"/>
  <c r="AV288"/>
  <c r="AU288"/>
  <c r="AT288"/>
  <c r="AS288"/>
  <c r="AR288"/>
  <c r="AQ288"/>
  <c r="AP288"/>
  <c r="AO288"/>
  <c r="AN288"/>
  <c r="AM288"/>
  <c r="AL288"/>
  <c r="AK288"/>
  <c r="AJ288"/>
  <c r="AI288"/>
  <c r="AH288"/>
  <c r="AG288"/>
  <c r="AF288"/>
  <c r="AE288"/>
  <c r="AD288"/>
  <c r="AC288"/>
  <c r="AB288"/>
  <c r="AA288"/>
  <c r="Z288"/>
  <c r="Y288"/>
  <c r="X288"/>
  <c r="W288"/>
  <c r="V288"/>
  <c r="U288"/>
  <c r="T288"/>
  <c r="S288"/>
  <c r="R288"/>
  <c r="Q288"/>
  <c r="P288"/>
  <c r="O288"/>
  <c r="N288"/>
  <c r="M288"/>
  <c r="L288"/>
  <c r="K288"/>
  <c r="J288"/>
  <c r="A288" a="1"/>
  <c r="A288" s="1"/>
  <c r="I288" s="1"/>
  <c r="BA287"/>
  <c r="AZ287"/>
  <c r="AY287"/>
  <c r="AX287"/>
  <c r="AW287"/>
  <c r="AV287"/>
  <c r="AU287"/>
  <c r="AT287"/>
  <c r="AS287"/>
  <c r="AR287"/>
  <c r="AQ287"/>
  <c r="AP287"/>
  <c r="AO287"/>
  <c r="AN287"/>
  <c r="AM287"/>
  <c r="AL287"/>
  <c r="AK287"/>
  <c r="AJ287"/>
  <c r="AI287"/>
  <c r="AH287"/>
  <c r="AG287"/>
  <c r="AF287"/>
  <c r="AE287"/>
  <c r="AD287"/>
  <c r="AC287"/>
  <c r="AB287"/>
  <c r="AA287"/>
  <c r="Z287"/>
  <c r="Y287"/>
  <c r="X287"/>
  <c r="W287"/>
  <c r="V287"/>
  <c r="U287"/>
  <c r="T287"/>
  <c r="S287"/>
  <c r="R287"/>
  <c r="Q287"/>
  <c r="P287"/>
  <c r="O287"/>
  <c r="N287"/>
  <c r="M287"/>
  <c r="L287"/>
  <c r="K287"/>
  <c r="J287"/>
  <c r="A287" a="1"/>
  <c r="A287" s="1"/>
  <c r="I287" s="1"/>
  <c r="BA286"/>
  <c r="AZ286"/>
  <c r="AY286"/>
  <c r="AX286"/>
  <c r="AW286"/>
  <c r="AV286"/>
  <c r="AU286"/>
  <c r="AT286"/>
  <c r="AS286"/>
  <c r="AR286"/>
  <c r="AQ286"/>
  <c r="AP286"/>
  <c r="AO286"/>
  <c r="AN286"/>
  <c r="AM286"/>
  <c r="AL286"/>
  <c r="AK286"/>
  <c r="AJ286"/>
  <c r="AI286"/>
  <c r="AH286"/>
  <c r="AG286"/>
  <c r="AF286"/>
  <c r="AE286"/>
  <c r="AD286"/>
  <c r="AC286"/>
  <c r="AB286"/>
  <c r="AA286"/>
  <c r="Z286"/>
  <c r="Y286"/>
  <c r="X286"/>
  <c r="W286"/>
  <c r="V286"/>
  <c r="U286"/>
  <c r="T286"/>
  <c r="S286"/>
  <c r="R286"/>
  <c r="Q286"/>
  <c r="P286"/>
  <c r="O286"/>
  <c r="N286"/>
  <c r="M286"/>
  <c r="L286"/>
  <c r="K286"/>
  <c r="J286"/>
  <c r="A286" a="1"/>
  <c r="A286" s="1"/>
  <c r="I286" s="1"/>
  <c r="BA285"/>
  <c r="AZ285"/>
  <c r="AY285"/>
  <c r="AX285"/>
  <c r="AW285"/>
  <c r="AV285"/>
  <c r="AU285"/>
  <c r="AT285"/>
  <c r="AS285"/>
  <c r="AR285"/>
  <c r="AQ285"/>
  <c r="AP285"/>
  <c r="AO285"/>
  <c r="AN285"/>
  <c r="AM285"/>
  <c r="AL285"/>
  <c r="AK285"/>
  <c r="AJ285"/>
  <c r="AI285"/>
  <c r="AH285"/>
  <c r="AG285"/>
  <c r="AF285"/>
  <c r="AE285"/>
  <c r="AD285"/>
  <c r="AC285"/>
  <c r="AB285"/>
  <c r="AA285"/>
  <c r="Z285"/>
  <c r="Y285"/>
  <c r="X285"/>
  <c r="W285"/>
  <c r="V285"/>
  <c r="U285"/>
  <c r="T285"/>
  <c r="S285"/>
  <c r="R285"/>
  <c r="Q285"/>
  <c r="P285"/>
  <c r="O285"/>
  <c r="N285"/>
  <c r="M285"/>
  <c r="L285"/>
  <c r="K285"/>
  <c r="J285"/>
  <c r="A285" a="1"/>
  <c r="A285" s="1"/>
  <c r="I285" s="1"/>
  <c r="BA284"/>
  <c r="AZ284"/>
  <c r="AY284"/>
  <c r="AX284"/>
  <c r="AW284"/>
  <c r="AV284"/>
  <c r="AU284"/>
  <c r="AT284"/>
  <c r="AS284"/>
  <c r="AR284"/>
  <c r="AQ284"/>
  <c r="AP284"/>
  <c r="AO284"/>
  <c r="AN284"/>
  <c r="AM284"/>
  <c r="AL284"/>
  <c r="AK284"/>
  <c r="AJ284"/>
  <c r="AI284"/>
  <c r="AH284"/>
  <c r="AG284"/>
  <c r="AF284"/>
  <c r="AE284"/>
  <c r="AD284"/>
  <c r="AC284"/>
  <c r="AB284"/>
  <c r="AA284"/>
  <c r="Z284"/>
  <c r="Y284"/>
  <c r="X284"/>
  <c r="W284"/>
  <c r="V284"/>
  <c r="U284"/>
  <c r="T284"/>
  <c r="S284"/>
  <c r="R284"/>
  <c r="Q284"/>
  <c r="P284"/>
  <c r="O284"/>
  <c r="N284"/>
  <c r="M284"/>
  <c r="L284"/>
  <c r="K284"/>
  <c r="J284"/>
  <c r="A284" a="1"/>
  <c r="A284" s="1"/>
  <c r="I284" s="1"/>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L283"/>
  <c r="K283"/>
  <c r="J283"/>
  <c r="A283" a="1"/>
  <c r="A283" s="1"/>
  <c r="I283" s="1"/>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L282"/>
  <c r="K282"/>
  <c r="J282"/>
  <c r="A282" a="1"/>
  <c r="A282" s="1"/>
  <c r="I282" s="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L281"/>
  <c r="K281"/>
  <c r="J281"/>
  <c r="A281" a="1"/>
  <c r="A281" s="1"/>
  <c r="I281" s="1"/>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L280"/>
  <c r="K280"/>
  <c r="J280"/>
  <c r="A280" a="1"/>
  <c r="A280" s="1"/>
  <c r="I280" s="1"/>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279"/>
  <c r="K279"/>
  <c r="J279"/>
  <c r="A279" a="1"/>
  <c r="A279" s="1"/>
  <c r="I279" s="1"/>
  <c r="BA278"/>
  <c r="AZ278"/>
  <c r="AY278"/>
  <c r="AX278"/>
  <c r="AW278"/>
  <c r="AV278"/>
  <c r="AU278"/>
  <c r="AT278"/>
  <c r="AS278"/>
  <c r="AR278"/>
  <c r="AQ278"/>
  <c r="AP278"/>
  <c r="AO278"/>
  <c r="AN278"/>
  <c r="AM278"/>
  <c r="AL278"/>
  <c r="AK278"/>
  <c r="AJ278"/>
  <c r="AI278"/>
  <c r="AH278"/>
  <c r="AG278"/>
  <c r="AF278"/>
  <c r="AE278"/>
  <c r="AD278"/>
  <c r="AC278"/>
  <c r="AB278"/>
  <c r="AA278"/>
  <c r="Z278"/>
  <c r="Y278"/>
  <c r="X278"/>
  <c r="W278"/>
  <c r="V278"/>
  <c r="U278"/>
  <c r="T278"/>
  <c r="S278"/>
  <c r="R278"/>
  <c r="Q278"/>
  <c r="P278"/>
  <c r="O278"/>
  <c r="N278"/>
  <c r="M278"/>
  <c r="L278"/>
  <c r="K278"/>
  <c r="J278"/>
  <c r="A278" a="1"/>
  <c r="A278" s="1"/>
  <c r="I278" s="1"/>
  <c r="BA277"/>
  <c r="AZ277"/>
  <c r="AY277"/>
  <c r="AX277"/>
  <c r="AW277"/>
  <c r="AV277"/>
  <c r="AU277"/>
  <c r="AT277"/>
  <c r="AS277"/>
  <c r="AR277"/>
  <c r="AQ277"/>
  <c r="AP277"/>
  <c r="AO277"/>
  <c r="AN277"/>
  <c r="AM277"/>
  <c r="AL277"/>
  <c r="AK277"/>
  <c r="AJ277"/>
  <c r="AI277"/>
  <c r="AH277"/>
  <c r="AG277"/>
  <c r="AF277"/>
  <c r="AE277"/>
  <c r="AD277"/>
  <c r="AC277"/>
  <c r="AB277"/>
  <c r="AA277"/>
  <c r="Z277"/>
  <c r="Y277"/>
  <c r="X277"/>
  <c r="W277"/>
  <c r="V277"/>
  <c r="U277"/>
  <c r="T277"/>
  <c r="S277"/>
  <c r="R277"/>
  <c r="Q277"/>
  <c r="P277"/>
  <c r="O277"/>
  <c r="N277"/>
  <c r="M277"/>
  <c r="L277"/>
  <c r="K277"/>
  <c r="J277"/>
  <c r="A277" a="1"/>
  <c r="A277" s="1"/>
  <c r="I277" s="1"/>
  <c r="BA276"/>
  <c r="AZ276"/>
  <c r="AY276"/>
  <c r="AX276"/>
  <c r="AW276"/>
  <c r="AV276"/>
  <c r="AU276"/>
  <c r="AT276"/>
  <c r="AS276"/>
  <c r="AR276"/>
  <c r="AQ276"/>
  <c r="AP276"/>
  <c r="AO276"/>
  <c r="AN276"/>
  <c r="AM276"/>
  <c r="AL276"/>
  <c r="AK276"/>
  <c r="AJ276"/>
  <c r="AI276"/>
  <c r="AH276"/>
  <c r="AG276"/>
  <c r="AF276"/>
  <c r="AE276"/>
  <c r="AD276"/>
  <c r="AC276"/>
  <c r="AB276"/>
  <c r="AA276"/>
  <c r="Z276"/>
  <c r="Y276"/>
  <c r="X276"/>
  <c r="W276"/>
  <c r="V276"/>
  <c r="U276"/>
  <c r="T276"/>
  <c r="S276"/>
  <c r="R276"/>
  <c r="Q276"/>
  <c r="P276"/>
  <c r="O276"/>
  <c r="N276"/>
  <c r="M276"/>
  <c r="L276"/>
  <c r="K276"/>
  <c r="J276"/>
  <c r="A276" a="1"/>
  <c r="A276" s="1"/>
  <c r="I276" s="1"/>
  <c r="BA275"/>
  <c r="AZ275"/>
  <c r="AY275"/>
  <c r="AX275"/>
  <c r="AW275"/>
  <c r="AV275"/>
  <c r="AU275"/>
  <c r="AT275"/>
  <c r="AS275"/>
  <c r="AR275"/>
  <c r="AQ275"/>
  <c r="AP275"/>
  <c r="AO275"/>
  <c r="AN275"/>
  <c r="AM275"/>
  <c r="AL275"/>
  <c r="AK275"/>
  <c r="AJ275"/>
  <c r="AI275"/>
  <c r="AH275"/>
  <c r="AG275"/>
  <c r="AF275"/>
  <c r="AE275"/>
  <c r="AD275"/>
  <c r="AC275"/>
  <c r="AB275"/>
  <c r="AA275"/>
  <c r="Z275"/>
  <c r="Y275"/>
  <c r="X275"/>
  <c r="W275"/>
  <c r="V275"/>
  <c r="U275"/>
  <c r="T275"/>
  <c r="S275"/>
  <c r="R275"/>
  <c r="Q275"/>
  <c r="P275"/>
  <c r="O275"/>
  <c r="N275"/>
  <c r="M275"/>
  <c r="L275"/>
  <c r="K275"/>
  <c r="J275"/>
  <c r="A275" a="1"/>
  <c r="A275" s="1"/>
  <c r="I275" s="1"/>
  <c r="BA274"/>
  <c r="AZ274"/>
  <c r="AY274"/>
  <c r="AX274"/>
  <c r="AW274"/>
  <c r="AV274"/>
  <c r="AU274"/>
  <c r="AT274"/>
  <c r="AS274"/>
  <c r="AR274"/>
  <c r="AQ274"/>
  <c r="AP274"/>
  <c r="AO274"/>
  <c r="AN274"/>
  <c r="AM274"/>
  <c r="AL274"/>
  <c r="AK274"/>
  <c r="AJ274"/>
  <c r="AI274"/>
  <c r="AH274"/>
  <c r="AG274"/>
  <c r="AF274"/>
  <c r="AE274"/>
  <c r="AD274"/>
  <c r="AC274"/>
  <c r="AB274"/>
  <c r="AA274"/>
  <c r="Z274"/>
  <c r="Y274"/>
  <c r="X274"/>
  <c r="W274"/>
  <c r="V274"/>
  <c r="U274"/>
  <c r="T274"/>
  <c r="S274"/>
  <c r="R274"/>
  <c r="Q274"/>
  <c r="P274"/>
  <c r="O274"/>
  <c r="N274"/>
  <c r="M274"/>
  <c r="L274"/>
  <c r="K274"/>
  <c r="J274"/>
  <c r="A274" a="1"/>
  <c r="A274" s="1"/>
  <c r="I274" s="1"/>
  <c r="BA273"/>
  <c r="AZ273"/>
  <c r="AY273"/>
  <c r="AX273"/>
  <c r="AW273"/>
  <c r="AV273"/>
  <c r="AU273"/>
  <c r="AT273"/>
  <c r="AS273"/>
  <c r="AR273"/>
  <c r="AQ273"/>
  <c r="AP273"/>
  <c r="AO273"/>
  <c r="AN273"/>
  <c r="AM273"/>
  <c r="AL273"/>
  <c r="AK273"/>
  <c r="AJ273"/>
  <c r="AI273"/>
  <c r="AH273"/>
  <c r="AG273"/>
  <c r="AF273"/>
  <c r="AE273"/>
  <c r="AD273"/>
  <c r="AC273"/>
  <c r="AB273"/>
  <c r="AA273"/>
  <c r="Z273"/>
  <c r="Y273"/>
  <c r="X273"/>
  <c r="W273"/>
  <c r="V273"/>
  <c r="U273"/>
  <c r="T273"/>
  <c r="S273"/>
  <c r="R273"/>
  <c r="Q273"/>
  <c r="P273"/>
  <c r="O273"/>
  <c r="N273"/>
  <c r="M273"/>
  <c r="L273"/>
  <c r="K273"/>
  <c r="J273"/>
  <c r="A273" a="1"/>
  <c r="A273" s="1"/>
  <c r="I273" s="1"/>
  <c r="BA272"/>
  <c r="AZ272"/>
  <c r="AY272"/>
  <c r="AX272"/>
  <c r="AW272"/>
  <c r="AV272"/>
  <c r="AU272"/>
  <c r="AT272"/>
  <c r="AS272"/>
  <c r="AR272"/>
  <c r="AQ272"/>
  <c r="AP272"/>
  <c r="AO272"/>
  <c r="AN272"/>
  <c r="AM272"/>
  <c r="AL272"/>
  <c r="AK272"/>
  <c r="AJ272"/>
  <c r="AI272"/>
  <c r="AH272"/>
  <c r="AG272"/>
  <c r="AF272"/>
  <c r="AE272"/>
  <c r="AD272"/>
  <c r="AC272"/>
  <c r="AB272"/>
  <c r="AA272"/>
  <c r="Z272"/>
  <c r="Y272"/>
  <c r="X272"/>
  <c r="W272"/>
  <c r="V272"/>
  <c r="U272"/>
  <c r="T272"/>
  <c r="S272"/>
  <c r="R272"/>
  <c r="Q272"/>
  <c r="P272"/>
  <c r="O272"/>
  <c r="N272"/>
  <c r="M272"/>
  <c r="L272"/>
  <c r="K272"/>
  <c r="J272"/>
  <c r="A272" a="1"/>
  <c r="A272" s="1"/>
  <c r="I272" s="1"/>
  <c r="BA271"/>
  <c r="AZ271"/>
  <c r="AY271"/>
  <c r="AX271"/>
  <c r="AW271"/>
  <c r="AV271"/>
  <c r="AU271"/>
  <c r="AT271"/>
  <c r="AS271"/>
  <c r="AR271"/>
  <c r="AQ271"/>
  <c r="AP271"/>
  <c r="AO271"/>
  <c r="AN271"/>
  <c r="AM271"/>
  <c r="AL271"/>
  <c r="AK271"/>
  <c r="AJ271"/>
  <c r="AI271"/>
  <c r="AH271"/>
  <c r="AG271"/>
  <c r="AF271"/>
  <c r="AE271"/>
  <c r="AD271"/>
  <c r="AC271"/>
  <c r="AB271"/>
  <c r="AA271"/>
  <c r="Z271"/>
  <c r="Y271"/>
  <c r="X271"/>
  <c r="W271"/>
  <c r="V271"/>
  <c r="U271"/>
  <c r="T271"/>
  <c r="S271"/>
  <c r="R271"/>
  <c r="Q271"/>
  <c r="P271"/>
  <c r="O271"/>
  <c r="N271"/>
  <c r="M271"/>
  <c r="L271"/>
  <c r="K271"/>
  <c r="J271"/>
  <c r="A271" a="1"/>
  <c r="A271" s="1"/>
  <c r="I271" s="1"/>
  <c r="BA270"/>
  <c r="AZ270"/>
  <c r="AY270"/>
  <c r="AX270"/>
  <c r="AW270"/>
  <c r="AV270"/>
  <c r="AU270"/>
  <c r="AT270"/>
  <c r="AS270"/>
  <c r="AR270"/>
  <c r="AQ270"/>
  <c r="AP270"/>
  <c r="AO270"/>
  <c r="AN270"/>
  <c r="AM270"/>
  <c r="AL270"/>
  <c r="AK270"/>
  <c r="AJ270"/>
  <c r="AI270"/>
  <c r="AH270"/>
  <c r="AG270"/>
  <c r="AF270"/>
  <c r="AE270"/>
  <c r="AD270"/>
  <c r="AC270"/>
  <c r="AB270"/>
  <c r="AA270"/>
  <c r="Z270"/>
  <c r="Y270"/>
  <c r="X270"/>
  <c r="W270"/>
  <c r="V270"/>
  <c r="U270"/>
  <c r="T270"/>
  <c r="S270"/>
  <c r="R270"/>
  <c r="Q270"/>
  <c r="P270"/>
  <c r="O270"/>
  <c r="N270"/>
  <c r="M270"/>
  <c r="L270"/>
  <c r="K270"/>
  <c r="J270"/>
  <c r="A270" a="1"/>
  <c r="A270" s="1"/>
  <c r="I270" s="1"/>
  <c r="BA269"/>
  <c r="AZ269"/>
  <c r="AY269"/>
  <c r="AX269"/>
  <c r="AW269"/>
  <c r="AV269"/>
  <c r="AU269"/>
  <c r="AT269"/>
  <c r="AS269"/>
  <c r="AR269"/>
  <c r="AQ269"/>
  <c r="AP269"/>
  <c r="AO269"/>
  <c r="AN269"/>
  <c r="AM269"/>
  <c r="AL269"/>
  <c r="AK269"/>
  <c r="AJ269"/>
  <c r="AI269"/>
  <c r="AH269"/>
  <c r="AG269"/>
  <c r="AF269"/>
  <c r="AE269"/>
  <c r="AD269"/>
  <c r="AC269"/>
  <c r="AB269"/>
  <c r="AA269"/>
  <c r="Z269"/>
  <c r="Y269"/>
  <c r="X269"/>
  <c r="W269"/>
  <c r="V269"/>
  <c r="U269"/>
  <c r="T269"/>
  <c r="S269"/>
  <c r="R269"/>
  <c r="Q269"/>
  <c r="P269"/>
  <c r="O269"/>
  <c r="N269"/>
  <c r="M269"/>
  <c r="L269"/>
  <c r="K269"/>
  <c r="J269"/>
  <c r="A269" a="1"/>
  <c r="A269" s="1"/>
  <c r="I269" s="1"/>
  <c r="BA268"/>
  <c r="AZ268"/>
  <c r="AY268"/>
  <c r="AX268"/>
  <c r="AW268"/>
  <c r="AV268"/>
  <c r="AU268"/>
  <c r="AT268"/>
  <c r="AS268"/>
  <c r="AR268"/>
  <c r="AQ268"/>
  <c r="AP268"/>
  <c r="AO268"/>
  <c r="AN268"/>
  <c r="AM268"/>
  <c r="AL268"/>
  <c r="AK268"/>
  <c r="AJ268"/>
  <c r="AI268"/>
  <c r="AH268"/>
  <c r="AG268"/>
  <c r="AF268"/>
  <c r="AE268"/>
  <c r="AD268"/>
  <c r="AC268"/>
  <c r="AB268"/>
  <c r="AA268"/>
  <c r="Z268"/>
  <c r="Y268"/>
  <c r="X268"/>
  <c r="W268"/>
  <c r="V268"/>
  <c r="U268"/>
  <c r="T268"/>
  <c r="S268"/>
  <c r="R268"/>
  <c r="Q268"/>
  <c r="P268"/>
  <c r="O268"/>
  <c r="N268"/>
  <c r="M268"/>
  <c r="L268"/>
  <c r="K268"/>
  <c r="J268"/>
  <c r="A268" a="1"/>
  <c r="A268" s="1"/>
  <c r="I268" s="1"/>
  <c r="BA267"/>
  <c r="AZ267"/>
  <c r="AY267"/>
  <c r="AX267"/>
  <c r="AW267"/>
  <c r="AV267"/>
  <c r="AU267"/>
  <c r="AT267"/>
  <c r="AS267"/>
  <c r="AR267"/>
  <c r="AQ267"/>
  <c r="AP267"/>
  <c r="AO267"/>
  <c r="AN267"/>
  <c r="AM267"/>
  <c r="AL267"/>
  <c r="AK267"/>
  <c r="AJ267"/>
  <c r="AI267"/>
  <c r="AH267"/>
  <c r="AG267"/>
  <c r="AF267"/>
  <c r="AE267"/>
  <c r="AD267"/>
  <c r="AC267"/>
  <c r="AB267"/>
  <c r="AA267"/>
  <c r="Z267"/>
  <c r="Y267"/>
  <c r="X267"/>
  <c r="W267"/>
  <c r="V267"/>
  <c r="U267"/>
  <c r="T267"/>
  <c r="S267"/>
  <c r="R267"/>
  <c r="Q267"/>
  <c r="P267"/>
  <c r="O267"/>
  <c r="N267"/>
  <c r="M267"/>
  <c r="L267"/>
  <c r="K267"/>
  <c r="J267"/>
  <c r="A267" a="1"/>
  <c r="A267" s="1"/>
  <c r="I267" s="1"/>
  <c r="BA266"/>
  <c r="AZ266"/>
  <c r="AY266"/>
  <c r="AX266"/>
  <c r="AW266"/>
  <c r="AV266"/>
  <c r="AU266"/>
  <c r="AT266"/>
  <c r="AS266"/>
  <c r="AR266"/>
  <c r="AQ266"/>
  <c r="AP266"/>
  <c r="AO266"/>
  <c r="AN266"/>
  <c r="AM266"/>
  <c r="AL266"/>
  <c r="AK266"/>
  <c r="AJ266"/>
  <c r="AI266"/>
  <c r="AH266"/>
  <c r="AG266"/>
  <c r="AF266"/>
  <c r="AE266"/>
  <c r="AD266"/>
  <c r="AC266"/>
  <c r="AB266"/>
  <c r="AA266"/>
  <c r="Z266"/>
  <c r="Y266"/>
  <c r="X266"/>
  <c r="W266"/>
  <c r="V266"/>
  <c r="U266"/>
  <c r="T266"/>
  <c r="S266"/>
  <c r="R266"/>
  <c r="Q266"/>
  <c r="P266"/>
  <c r="O266"/>
  <c r="N266"/>
  <c r="M266"/>
  <c r="L266"/>
  <c r="K266"/>
  <c r="J266"/>
  <c r="A266" a="1"/>
  <c r="A266" s="1"/>
  <c r="I266" s="1"/>
  <c r="BA265"/>
  <c r="AZ265"/>
  <c r="AY265"/>
  <c r="AX265"/>
  <c r="AW265"/>
  <c r="AV265"/>
  <c r="AU265"/>
  <c r="AT265"/>
  <c r="AS265"/>
  <c r="AR265"/>
  <c r="AQ265"/>
  <c r="AP265"/>
  <c r="AO265"/>
  <c r="AN265"/>
  <c r="AM265"/>
  <c r="AL265"/>
  <c r="AK265"/>
  <c r="AJ265"/>
  <c r="AI265"/>
  <c r="AH265"/>
  <c r="AG265"/>
  <c r="AF265"/>
  <c r="AE265"/>
  <c r="AD265"/>
  <c r="AC265"/>
  <c r="AB265"/>
  <c r="AA265"/>
  <c r="Z265"/>
  <c r="Y265"/>
  <c r="X265"/>
  <c r="W265"/>
  <c r="V265"/>
  <c r="U265"/>
  <c r="T265"/>
  <c r="S265"/>
  <c r="R265"/>
  <c r="Q265"/>
  <c r="P265"/>
  <c r="O265"/>
  <c r="N265"/>
  <c r="M265"/>
  <c r="L265"/>
  <c r="K265"/>
  <c r="J265"/>
  <c r="A265" a="1"/>
  <c r="A265" s="1"/>
  <c r="I265" s="1"/>
  <c r="BA264"/>
  <c r="AZ264"/>
  <c r="AY264"/>
  <c r="AX264"/>
  <c r="AW264"/>
  <c r="AV264"/>
  <c r="AU264"/>
  <c r="AT264"/>
  <c r="AS264"/>
  <c r="AR264"/>
  <c r="AQ264"/>
  <c r="AP264"/>
  <c r="AO264"/>
  <c r="AN264"/>
  <c r="AM264"/>
  <c r="AL264"/>
  <c r="AK264"/>
  <c r="AJ264"/>
  <c r="AI264"/>
  <c r="AH264"/>
  <c r="AG264"/>
  <c r="AF264"/>
  <c r="AE264"/>
  <c r="AD264"/>
  <c r="AC264"/>
  <c r="AB264"/>
  <c r="AA264"/>
  <c r="Z264"/>
  <c r="Y264"/>
  <c r="X264"/>
  <c r="W264"/>
  <c r="V264"/>
  <c r="U264"/>
  <c r="T264"/>
  <c r="S264"/>
  <c r="R264"/>
  <c r="Q264"/>
  <c r="P264"/>
  <c r="O264"/>
  <c r="N264"/>
  <c r="M264"/>
  <c r="L264"/>
  <c r="K264"/>
  <c r="J264"/>
  <c r="A264" a="1"/>
  <c r="A264" s="1"/>
  <c r="I264" s="1"/>
  <c r="BA263"/>
  <c r="AZ263"/>
  <c r="AY263"/>
  <c r="AX263"/>
  <c r="AW263"/>
  <c r="AV263"/>
  <c r="AU263"/>
  <c r="AT263"/>
  <c r="AS263"/>
  <c r="AR263"/>
  <c r="AQ263"/>
  <c r="AP263"/>
  <c r="AO263"/>
  <c r="AN263"/>
  <c r="AM263"/>
  <c r="AL263"/>
  <c r="AK263"/>
  <c r="AJ263"/>
  <c r="AI263"/>
  <c r="AH263"/>
  <c r="AG263"/>
  <c r="AF263"/>
  <c r="AE263"/>
  <c r="AD263"/>
  <c r="AC263"/>
  <c r="AB263"/>
  <c r="AA263"/>
  <c r="Z263"/>
  <c r="Y263"/>
  <c r="X263"/>
  <c r="W263"/>
  <c r="V263"/>
  <c r="U263"/>
  <c r="T263"/>
  <c r="S263"/>
  <c r="R263"/>
  <c r="Q263"/>
  <c r="P263"/>
  <c r="O263"/>
  <c r="N263"/>
  <c r="M263"/>
  <c r="L263"/>
  <c r="K263"/>
  <c r="J263"/>
  <c r="A263" a="1"/>
  <c r="A263" s="1"/>
  <c r="I263" s="1"/>
  <c r="BA262"/>
  <c r="AZ262"/>
  <c r="AY262"/>
  <c r="AX262"/>
  <c r="AW262"/>
  <c r="AV262"/>
  <c r="AU262"/>
  <c r="AT262"/>
  <c r="AS262"/>
  <c r="AR262"/>
  <c r="AQ262"/>
  <c r="AP262"/>
  <c r="AO262"/>
  <c r="AN262"/>
  <c r="AM262"/>
  <c r="AL262"/>
  <c r="AK262"/>
  <c r="AJ262"/>
  <c r="AI262"/>
  <c r="AH262"/>
  <c r="AG262"/>
  <c r="AF262"/>
  <c r="AE262"/>
  <c r="AD262"/>
  <c r="AC262"/>
  <c r="AB262"/>
  <c r="AA262"/>
  <c r="Z262"/>
  <c r="Y262"/>
  <c r="X262"/>
  <c r="W262"/>
  <c r="V262"/>
  <c r="U262"/>
  <c r="T262"/>
  <c r="S262"/>
  <c r="R262"/>
  <c r="Q262"/>
  <c r="P262"/>
  <c r="O262"/>
  <c r="N262"/>
  <c r="M262"/>
  <c r="L262"/>
  <c r="K262"/>
  <c r="J262"/>
  <c r="A262" a="1"/>
  <c r="A262" s="1"/>
  <c r="I262" s="1"/>
  <c r="BA261"/>
  <c r="AZ261"/>
  <c r="AY261"/>
  <c r="AX261"/>
  <c r="AW261"/>
  <c r="AV261"/>
  <c r="AU261"/>
  <c r="AT261"/>
  <c r="AS261"/>
  <c r="AR261"/>
  <c r="AQ261"/>
  <c r="AP261"/>
  <c r="AO261"/>
  <c r="AN261"/>
  <c r="AM261"/>
  <c r="AL261"/>
  <c r="AK261"/>
  <c r="AJ261"/>
  <c r="AI261"/>
  <c r="AH261"/>
  <c r="AG261"/>
  <c r="AF261"/>
  <c r="AE261"/>
  <c r="AD261"/>
  <c r="AC261"/>
  <c r="AB261"/>
  <c r="AA261"/>
  <c r="Z261"/>
  <c r="Y261"/>
  <c r="X261"/>
  <c r="W261"/>
  <c r="V261"/>
  <c r="U261"/>
  <c r="T261"/>
  <c r="S261"/>
  <c r="R261"/>
  <c r="Q261"/>
  <c r="P261"/>
  <c r="O261"/>
  <c r="N261"/>
  <c r="M261"/>
  <c r="L261"/>
  <c r="K261"/>
  <c r="J261"/>
  <c r="A261" a="1"/>
  <c r="A261" s="1"/>
  <c r="I261" s="1"/>
  <c r="BA260"/>
  <c r="AZ260"/>
  <c r="AY260"/>
  <c r="AX260"/>
  <c r="AW260"/>
  <c r="AV260"/>
  <c r="AU260"/>
  <c r="AT260"/>
  <c r="AS260"/>
  <c r="AR260"/>
  <c r="AQ260"/>
  <c r="AP260"/>
  <c r="AO260"/>
  <c r="AN260"/>
  <c r="AM260"/>
  <c r="AL260"/>
  <c r="AK260"/>
  <c r="AJ260"/>
  <c r="AI260"/>
  <c r="AH260"/>
  <c r="AG260"/>
  <c r="AF260"/>
  <c r="AE260"/>
  <c r="AD260"/>
  <c r="AC260"/>
  <c r="AB260"/>
  <c r="AA260"/>
  <c r="Z260"/>
  <c r="Y260"/>
  <c r="X260"/>
  <c r="W260"/>
  <c r="V260"/>
  <c r="U260"/>
  <c r="T260"/>
  <c r="S260"/>
  <c r="R260"/>
  <c r="Q260"/>
  <c r="P260"/>
  <c r="O260"/>
  <c r="N260"/>
  <c r="M260"/>
  <c r="L260"/>
  <c r="K260"/>
  <c r="J260"/>
  <c r="A260" a="1"/>
  <c r="A260" s="1"/>
  <c r="I260" s="1"/>
  <c r="BA259"/>
  <c r="AZ259"/>
  <c r="AY259"/>
  <c r="AX259"/>
  <c r="AW259"/>
  <c r="AV259"/>
  <c r="AU259"/>
  <c r="AT259"/>
  <c r="AS259"/>
  <c r="AR259"/>
  <c r="AQ259"/>
  <c r="AP259"/>
  <c r="AO259"/>
  <c r="AN259"/>
  <c r="AM259"/>
  <c r="AL259"/>
  <c r="AK259"/>
  <c r="AJ259"/>
  <c r="AI259"/>
  <c r="AH259"/>
  <c r="AG259"/>
  <c r="AF259"/>
  <c r="AE259"/>
  <c r="AD259"/>
  <c r="AC259"/>
  <c r="AB259"/>
  <c r="AA259"/>
  <c r="Z259"/>
  <c r="Y259"/>
  <c r="X259"/>
  <c r="W259"/>
  <c r="V259"/>
  <c r="U259"/>
  <c r="T259"/>
  <c r="S259"/>
  <c r="R259"/>
  <c r="Q259"/>
  <c r="P259"/>
  <c r="O259"/>
  <c r="N259"/>
  <c r="M259"/>
  <c r="L259"/>
  <c r="K259"/>
  <c r="J259"/>
  <c r="A259" a="1"/>
  <c r="A259" s="1"/>
  <c r="I259" s="1"/>
  <c r="BA258"/>
  <c r="AZ258"/>
  <c r="AY258"/>
  <c r="AX258"/>
  <c r="AW258"/>
  <c r="AV258"/>
  <c r="AU258"/>
  <c r="AT258"/>
  <c r="AS258"/>
  <c r="AR258"/>
  <c r="AQ258"/>
  <c r="AP258"/>
  <c r="AO258"/>
  <c r="AN258"/>
  <c r="AM258"/>
  <c r="AL258"/>
  <c r="AK258"/>
  <c r="AJ258"/>
  <c r="AI258"/>
  <c r="AH258"/>
  <c r="AG258"/>
  <c r="AF258"/>
  <c r="AE258"/>
  <c r="AD258"/>
  <c r="AC258"/>
  <c r="AB258"/>
  <c r="AA258"/>
  <c r="Z258"/>
  <c r="Y258"/>
  <c r="X258"/>
  <c r="W258"/>
  <c r="V258"/>
  <c r="U258"/>
  <c r="T258"/>
  <c r="S258"/>
  <c r="R258"/>
  <c r="Q258"/>
  <c r="P258"/>
  <c r="O258"/>
  <c r="N258"/>
  <c r="M258"/>
  <c r="L258"/>
  <c r="K258"/>
  <c r="J258"/>
  <c r="A258" a="1"/>
  <c r="A258" s="1"/>
  <c r="I258" s="1"/>
  <c r="BA257"/>
  <c r="AZ257"/>
  <c r="AY257"/>
  <c r="AX257"/>
  <c r="AW257"/>
  <c r="AV257"/>
  <c r="AU257"/>
  <c r="AT257"/>
  <c r="AS257"/>
  <c r="AR257"/>
  <c r="AQ257"/>
  <c r="AP257"/>
  <c r="AO257"/>
  <c r="AN257"/>
  <c r="AM257"/>
  <c r="AL257"/>
  <c r="AK257"/>
  <c r="AJ257"/>
  <c r="AI257"/>
  <c r="AH257"/>
  <c r="AG257"/>
  <c r="AF257"/>
  <c r="AE257"/>
  <c r="AD257"/>
  <c r="AC257"/>
  <c r="AB257"/>
  <c r="AA257"/>
  <c r="Z257"/>
  <c r="Y257"/>
  <c r="X257"/>
  <c r="W257"/>
  <c r="V257"/>
  <c r="U257"/>
  <c r="T257"/>
  <c r="S257"/>
  <c r="R257"/>
  <c r="Q257"/>
  <c r="P257"/>
  <c r="O257"/>
  <c r="N257"/>
  <c r="M257"/>
  <c r="L257"/>
  <c r="K257"/>
  <c r="J257"/>
  <c r="A257" a="1"/>
  <c r="A257" s="1"/>
  <c r="I257" s="1"/>
  <c r="BA256"/>
  <c r="AZ256"/>
  <c r="AY256"/>
  <c r="AX256"/>
  <c r="AW256"/>
  <c r="AV256"/>
  <c r="AU256"/>
  <c r="AT256"/>
  <c r="AS256"/>
  <c r="AR256"/>
  <c r="AQ256"/>
  <c r="AP256"/>
  <c r="AO256"/>
  <c r="AN256"/>
  <c r="AM256"/>
  <c r="AL256"/>
  <c r="AK256"/>
  <c r="AJ256"/>
  <c r="AI256"/>
  <c r="AH256"/>
  <c r="AG256"/>
  <c r="AF256"/>
  <c r="AE256"/>
  <c r="AD256"/>
  <c r="AC256"/>
  <c r="AB256"/>
  <c r="AA256"/>
  <c r="Z256"/>
  <c r="Y256"/>
  <c r="X256"/>
  <c r="W256"/>
  <c r="V256"/>
  <c r="U256"/>
  <c r="T256"/>
  <c r="S256"/>
  <c r="R256"/>
  <c r="Q256"/>
  <c r="P256"/>
  <c r="O256"/>
  <c r="N256"/>
  <c r="M256"/>
  <c r="L256"/>
  <c r="K256"/>
  <c r="J256"/>
  <c r="A256" a="1"/>
  <c r="A256" s="1"/>
  <c r="I256" s="1"/>
  <c r="BA255"/>
  <c r="AZ255"/>
  <c r="AY255"/>
  <c r="AX255"/>
  <c r="AW255"/>
  <c r="AV255"/>
  <c r="AU255"/>
  <c r="AT255"/>
  <c r="AS255"/>
  <c r="AR255"/>
  <c r="AQ255"/>
  <c r="AP255"/>
  <c r="AO255"/>
  <c r="AN255"/>
  <c r="AM255"/>
  <c r="AL255"/>
  <c r="AK255"/>
  <c r="AJ255"/>
  <c r="AI255"/>
  <c r="AH255"/>
  <c r="AG255"/>
  <c r="AF255"/>
  <c r="AE255"/>
  <c r="AD255"/>
  <c r="AC255"/>
  <c r="AB255"/>
  <c r="AA255"/>
  <c r="Z255"/>
  <c r="Y255"/>
  <c r="X255"/>
  <c r="W255"/>
  <c r="V255"/>
  <c r="U255"/>
  <c r="T255"/>
  <c r="S255"/>
  <c r="R255"/>
  <c r="Q255"/>
  <c r="P255"/>
  <c r="O255"/>
  <c r="N255"/>
  <c r="M255"/>
  <c r="L255"/>
  <c r="K255"/>
  <c r="J255"/>
  <c r="A255" a="1"/>
  <c r="A255" s="1"/>
  <c r="I255" s="1"/>
  <c r="BA254"/>
  <c r="AZ254"/>
  <c r="AY254"/>
  <c r="AX254"/>
  <c r="AW254"/>
  <c r="AV254"/>
  <c r="AU254"/>
  <c r="AT254"/>
  <c r="AS254"/>
  <c r="AR254"/>
  <c r="AQ254"/>
  <c r="AP254"/>
  <c r="AO254"/>
  <c r="AN254"/>
  <c r="AM254"/>
  <c r="AL254"/>
  <c r="AK254"/>
  <c r="AJ254"/>
  <c r="AI254"/>
  <c r="AH254"/>
  <c r="AG254"/>
  <c r="AF254"/>
  <c r="AE254"/>
  <c r="AD254"/>
  <c r="AC254"/>
  <c r="AB254"/>
  <c r="AA254"/>
  <c r="Z254"/>
  <c r="Y254"/>
  <c r="X254"/>
  <c r="W254"/>
  <c r="V254"/>
  <c r="U254"/>
  <c r="T254"/>
  <c r="S254"/>
  <c r="R254"/>
  <c r="Q254"/>
  <c r="P254"/>
  <c r="O254"/>
  <c r="N254"/>
  <c r="M254"/>
  <c r="L254"/>
  <c r="K254"/>
  <c r="J254"/>
  <c r="A254" a="1"/>
  <c r="A254" s="1"/>
  <c r="I254" s="1"/>
  <c r="BA253"/>
  <c r="AZ253"/>
  <c r="AY253"/>
  <c r="AX253"/>
  <c r="AW253"/>
  <c r="AV253"/>
  <c r="AU253"/>
  <c r="AT253"/>
  <c r="AS253"/>
  <c r="AR253"/>
  <c r="AQ253"/>
  <c r="AP253"/>
  <c r="AO253"/>
  <c r="AN253"/>
  <c r="AM253"/>
  <c r="AL253"/>
  <c r="AK253"/>
  <c r="AJ253"/>
  <c r="AI253"/>
  <c r="AH253"/>
  <c r="AG253"/>
  <c r="AF253"/>
  <c r="AE253"/>
  <c r="AD253"/>
  <c r="AC253"/>
  <c r="AB253"/>
  <c r="AA253"/>
  <c r="Z253"/>
  <c r="Y253"/>
  <c r="X253"/>
  <c r="W253"/>
  <c r="V253"/>
  <c r="U253"/>
  <c r="T253"/>
  <c r="S253"/>
  <c r="R253"/>
  <c r="Q253"/>
  <c r="P253"/>
  <c r="O253"/>
  <c r="N253"/>
  <c r="M253"/>
  <c r="L253"/>
  <c r="K253"/>
  <c r="J253"/>
  <c r="A253" a="1"/>
  <c r="A253" s="1"/>
  <c r="I253" s="1"/>
  <c r="BA252"/>
  <c r="AZ252"/>
  <c r="AY252"/>
  <c r="AX252"/>
  <c r="AW252"/>
  <c r="AV252"/>
  <c r="AU252"/>
  <c r="AT252"/>
  <c r="AS252"/>
  <c r="AR252"/>
  <c r="AQ252"/>
  <c r="AP252"/>
  <c r="AO252"/>
  <c r="AN252"/>
  <c r="AM252"/>
  <c r="AL252"/>
  <c r="AK252"/>
  <c r="AJ252"/>
  <c r="AI252"/>
  <c r="AH252"/>
  <c r="AG252"/>
  <c r="AF252"/>
  <c r="AE252"/>
  <c r="AD252"/>
  <c r="AC252"/>
  <c r="AB252"/>
  <c r="AA252"/>
  <c r="Z252"/>
  <c r="Y252"/>
  <c r="X252"/>
  <c r="W252"/>
  <c r="V252"/>
  <c r="U252"/>
  <c r="T252"/>
  <c r="S252"/>
  <c r="R252"/>
  <c r="Q252"/>
  <c r="P252"/>
  <c r="O252"/>
  <c r="N252"/>
  <c r="M252"/>
  <c r="L252"/>
  <c r="K252"/>
  <c r="J252"/>
  <c r="A252" a="1"/>
  <c r="A252" s="1"/>
  <c r="I252" s="1"/>
  <c r="BA251"/>
  <c r="AZ251"/>
  <c r="AY251"/>
  <c r="AX251"/>
  <c r="AW251"/>
  <c r="AV251"/>
  <c r="AU251"/>
  <c r="AT251"/>
  <c r="AS251"/>
  <c r="AR251"/>
  <c r="AQ251"/>
  <c r="AP251"/>
  <c r="AO251"/>
  <c r="AN251"/>
  <c r="AM251"/>
  <c r="AL251"/>
  <c r="AK251"/>
  <c r="AJ251"/>
  <c r="AI251"/>
  <c r="AH251"/>
  <c r="AG251"/>
  <c r="AF251"/>
  <c r="AE251"/>
  <c r="AD251"/>
  <c r="AC251"/>
  <c r="AB251"/>
  <c r="AA251"/>
  <c r="Z251"/>
  <c r="Y251"/>
  <c r="X251"/>
  <c r="W251"/>
  <c r="V251"/>
  <c r="U251"/>
  <c r="T251"/>
  <c r="S251"/>
  <c r="R251"/>
  <c r="Q251"/>
  <c r="P251"/>
  <c r="O251"/>
  <c r="N251"/>
  <c r="M251"/>
  <c r="L251"/>
  <c r="K251"/>
  <c r="J251"/>
  <c r="A251" a="1"/>
  <c r="A251" s="1"/>
  <c r="I251" s="1"/>
  <c r="BA250"/>
  <c r="AZ250"/>
  <c r="AY250"/>
  <c r="AX250"/>
  <c r="AW250"/>
  <c r="AV250"/>
  <c r="AU250"/>
  <c r="AT250"/>
  <c r="AS250"/>
  <c r="AR250"/>
  <c r="AQ250"/>
  <c r="AP250"/>
  <c r="AO250"/>
  <c r="AN250"/>
  <c r="AM250"/>
  <c r="AL250"/>
  <c r="AK250"/>
  <c r="AJ250"/>
  <c r="AI250"/>
  <c r="AH250"/>
  <c r="AG250"/>
  <c r="AF250"/>
  <c r="AE250"/>
  <c r="AD250"/>
  <c r="AC250"/>
  <c r="AB250"/>
  <c r="AA250"/>
  <c r="Z250"/>
  <c r="Y250"/>
  <c r="X250"/>
  <c r="W250"/>
  <c r="V250"/>
  <c r="U250"/>
  <c r="T250"/>
  <c r="S250"/>
  <c r="R250"/>
  <c r="Q250"/>
  <c r="P250"/>
  <c r="O250"/>
  <c r="N250"/>
  <c r="M250"/>
  <c r="L250"/>
  <c r="K250"/>
  <c r="J250"/>
  <c r="A250" a="1"/>
  <c r="A250" s="1"/>
  <c r="I250" s="1"/>
  <c r="BA249"/>
  <c r="AZ249"/>
  <c r="AY249"/>
  <c r="AX249"/>
  <c r="AW249"/>
  <c r="AV249"/>
  <c r="AU249"/>
  <c r="AT249"/>
  <c r="AS249"/>
  <c r="AR249"/>
  <c r="AQ249"/>
  <c r="AP249"/>
  <c r="AO249"/>
  <c r="AN249"/>
  <c r="AM249"/>
  <c r="AL249"/>
  <c r="AK249"/>
  <c r="AJ249"/>
  <c r="AI249"/>
  <c r="AH249"/>
  <c r="AG249"/>
  <c r="AF249"/>
  <c r="AE249"/>
  <c r="AD249"/>
  <c r="AC249"/>
  <c r="AB249"/>
  <c r="AA249"/>
  <c r="Z249"/>
  <c r="Y249"/>
  <c r="X249"/>
  <c r="W249"/>
  <c r="V249"/>
  <c r="U249"/>
  <c r="T249"/>
  <c r="S249"/>
  <c r="R249"/>
  <c r="Q249"/>
  <c r="P249"/>
  <c r="O249"/>
  <c r="N249"/>
  <c r="M249"/>
  <c r="L249"/>
  <c r="K249"/>
  <c r="J249"/>
  <c r="A249" a="1"/>
  <c r="A249" s="1"/>
  <c r="I249" s="1"/>
  <c r="BA248"/>
  <c r="AZ248"/>
  <c r="AY248"/>
  <c r="AX248"/>
  <c r="AW248"/>
  <c r="AV248"/>
  <c r="AU248"/>
  <c r="AT248"/>
  <c r="AS248"/>
  <c r="AR248"/>
  <c r="AQ248"/>
  <c r="AP248"/>
  <c r="AO248"/>
  <c r="AN248"/>
  <c r="AM248"/>
  <c r="AL248"/>
  <c r="AK248"/>
  <c r="AJ248"/>
  <c r="AI248"/>
  <c r="AH248"/>
  <c r="AG248"/>
  <c r="AF248"/>
  <c r="AE248"/>
  <c r="AD248"/>
  <c r="AC248"/>
  <c r="AB248"/>
  <c r="AA248"/>
  <c r="Z248"/>
  <c r="Y248"/>
  <c r="X248"/>
  <c r="W248"/>
  <c r="V248"/>
  <c r="U248"/>
  <c r="T248"/>
  <c r="S248"/>
  <c r="R248"/>
  <c r="Q248"/>
  <c r="P248"/>
  <c r="O248"/>
  <c r="N248"/>
  <c r="M248"/>
  <c r="L248"/>
  <c r="K248"/>
  <c r="J248"/>
  <c r="A248" a="1"/>
  <c r="A248" s="1"/>
  <c r="I248" s="1"/>
  <c r="BA247"/>
  <c r="AZ247"/>
  <c r="AY247"/>
  <c r="AX247"/>
  <c r="AW247"/>
  <c r="AV247"/>
  <c r="AU247"/>
  <c r="AT247"/>
  <c r="AS247"/>
  <c r="AR247"/>
  <c r="AQ247"/>
  <c r="AP247"/>
  <c r="AO247"/>
  <c r="AN247"/>
  <c r="AM247"/>
  <c r="AL247"/>
  <c r="AK247"/>
  <c r="AJ247"/>
  <c r="AI247"/>
  <c r="AH247"/>
  <c r="AG247"/>
  <c r="AF247"/>
  <c r="AE247"/>
  <c r="AD247"/>
  <c r="AC247"/>
  <c r="AB247"/>
  <c r="AA247"/>
  <c r="Z247"/>
  <c r="Y247"/>
  <c r="X247"/>
  <c r="W247"/>
  <c r="V247"/>
  <c r="U247"/>
  <c r="T247"/>
  <c r="S247"/>
  <c r="R247"/>
  <c r="Q247"/>
  <c r="P247"/>
  <c r="O247"/>
  <c r="N247"/>
  <c r="M247"/>
  <c r="L247"/>
  <c r="K247"/>
  <c r="J247"/>
  <c r="A247" a="1"/>
  <c r="A247" s="1"/>
  <c r="I247" s="1"/>
  <c r="BA246"/>
  <c r="AZ246"/>
  <c r="AY246"/>
  <c r="AX246"/>
  <c r="AW246"/>
  <c r="AV246"/>
  <c r="AU246"/>
  <c r="AT246"/>
  <c r="AS246"/>
  <c r="AR246"/>
  <c r="AQ246"/>
  <c r="AP246"/>
  <c r="AO246"/>
  <c r="AN246"/>
  <c r="AM246"/>
  <c r="AL246"/>
  <c r="AK246"/>
  <c r="AJ246"/>
  <c r="AI246"/>
  <c r="AH246"/>
  <c r="AG246"/>
  <c r="AF246"/>
  <c r="AE246"/>
  <c r="AD246"/>
  <c r="AC246"/>
  <c r="AB246"/>
  <c r="AA246"/>
  <c r="Z246"/>
  <c r="Y246"/>
  <c r="X246"/>
  <c r="W246"/>
  <c r="V246"/>
  <c r="U246"/>
  <c r="T246"/>
  <c r="S246"/>
  <c r="R246"/>
  <c r="Q246"/>
  <c r="P246"/>
  <c r="O246"/>
  <c r="N246"/>
  <c r="M246"/>
  <c r="L246"/>
  <c r="K246"/>
  <c r="J246"/>
  <c r="A246" a="1"/>
  <c r="A246" s="1"/>
  <c r="I246" s="1"/>
  <c r="BA245"/>
  <c r="AZ245"/>
  <c r="AY245"/>
  <c r="AX245"/>
  <c r="AW245"/>
  <c r="AV245"/>
  <c r="AU245"/>
  <c r="AT245"/>
  <c r="AS245"/>
  <c r="AR245"/>
  <c r="AQ245"/>
  <c r="AP245"/>
  <c r="AO245"/>
  <c r="AN245"/>
  <c r="AM245"/>
  <c r="AL245"/>
  <c r="AK245"/>
  <c r="AJ245"/>
  <c r="AI245"/>
  <c r="AH245"/>
  <c r="AG245"/>
  <c r="AF245"/>
  <c r="AE245"/>
  <c r="AD245"/>
  <c r="AC245"/>
  <c r="AB245"/>
  <c r="AA245"/>
  <c r="Z245"/>
  <c r="Y245"/>
  <c r="X245"/>
  <c r="W245"/>
  <c r="V245"/>
  <c r="U245"/>
  <c r="T245"/>
  <c r="S245"/>
  <c r="R245"/>
  <c r="Q245"/>
  <c r="P245"/>
  <c r="O245"/>
  <c r="N245"/>
  <c r="M245"/>
  <c r="L245"/>
  <c r="K245"/>
  <c r="J245"/>
  <c r="A245" a="1"/>
  <c r="A245" s="1"/>
  <c r="I245" s="1"/>
  <c r="BA244"/>
  <c r="AZ244"/>
  <c r="AY244"/>
  <c r="AX244"/>
  <c r="AW244"/>
  <c r="AV244"/>
  <c r="AU244"/>
  <c r="AT244"/>
  <c r="AS244"/>
  <c r="AR244"/>
  <c r="AQ244"/>
  <c r="AP244"/>
  <c r="AO244"/>
  <c r="AN244"/>
  <c r="AM244"/>
  <c r="AL244"/>
  <c r="AK244"/>
  <c r="AJ244"/>
  <c r="AI244"/>
  <c r="AH244"/>
  <c r="AG244"/>
  <c r="AF244"/>
  <c r="AE244"/>
  <c r="AD244"/>
  <c r="AC244"/>
  <c r="AB244"/>
  <c r="AA244"/>
  <c r="Z244"/>
  <c r="Y244"/>
  <c r="X244"/>
  <c r="W244"/>
  <c r="V244"/>
  <c r="U244"/>
  <c r="T244"/>
  <c r="S244"/>
  <c r="R244"/>
  <c r="Q244"/>
  <c r="P244"/>
  <c r="O244"/>
  <c r="N244"/>
  <c r="M244"/>
  <c r="L244"/>
  <c r="K244"/>
  <c r="J244"/>
  <c r="A244" a="1"/>
  <c r="A244" s="1"/>
  <c r="I244" s="1"/>
  <c r="BA243"/>
  <c r="AZ243"/>
  <c r="AY243"/>
  <c r="AX243"/>
  <c r="AW243"/>
  <c r="AV243"/>
  <c r="AU243"/>
  <c r="AT243"/>
  <c r="AS243"/>
  <c r="AR243"/>
  <c r="AQ243"/>
  <c r="AP243"/>
  <c r="AO243"/>
  <c r="AN243"/>
  <c r="AM243"/>
  <c r="AL243"/>
  <c r="AK243"/>
  <c r="AJ243"/>
  <c r="AI243"/>
  <c r="AH243"/>
  <c r="AG243"/>
  <c r="AF243"/>
  <c r="AE243"/>
  <c r="AD243"/>
  <c r="AC243"/>
  <c r="AB243"/>
  <c r="AA243"/>
  <c r="Z243"/>
  <c r="Y243"/>
  <c r="X243"/>
  <c r="W243"/>
  <c r="V243"/>
  <c r="U243"/>
  <c r="T243"/>
  <c r="S243"/>
  <c r="R243"/>
  <c r="Q243"/>
  <c r="P243"/>
  <c r="O243"/>
  <c r="N243"/>
  <c r="M243"/>
  <c r="L243"/>
  <c r="K243"/>
  <c r="J243"/>
  <c r="A243" a="1"/>
  <c r="A243" s="1"/>
  <c r="I243" s="1"/>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Z241"/>
  <c r="AY241"/>
  <c r="AX241"/>
  <c r="AW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A241" a="1"/>
  <c r="A241" s="1"/>
  <c r="I241" s="1"/>
  <c r="BA240"/>
  <c r="AZ240"/>
  <c r="AY240"/>
  <c r="AX240"/>
  <c r="AW240"/>
  <c r="AV240"/>
  <c r="AU240"/>
  <c r="AT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A240" a="1"/>
  <c r="A240" s="1"/>
  <c r="I240" s="1"/>
  <c r="BA239"/>
  <c r="AZ239"/>
  <c r="AY239"/>
  <c r="AX239"/>
  <c r="AW239"/>
  <c r="AV239"/>
  <c r="AU239"/>
  <c r="AT239"/>
  <c r="AS239"/>
  <c r="AR239"/>
  <c r="AQ239"/>
  <c r="AP239"/>
  <c r="AO239"/>
  <c r="AN239"/>
  <c r="AM239"/>
  <c r="AL239"/>
  <c r="AK239"/>
  <c r="AJ239"/>
  <c r="AI239"/>
  <c r="AH239"/>
  <c r="AG239"/>
  <c r="AF239"/>
  <c r="AE239"/>
  <c r="AD239"/>
  <c r="AC239"/>
  <c r="AB239"/>
  <c r="AA239"/>
  <c r="Z239"/>
  <c r="Y239"/>
  <c r="X239"/>
  <c r="W239"/>
  <c r="V239"/>
  <c r="U239"/>
  <c r="T239"/>
  <c r="S239"/>
  <c r="R239"/>
  <c r="Q239"/>
  <c r="P239"/>
  <c r="O239"/>
  <c r="N239"/>
  <c r="M239"/>
  <c r="L239"/>
  <c r="K239"/>
  <c r="J239"/>
  <c r="A239" a="1"/>
  <c r="A239" s="1"/>
  <c r="I239" s="1"/>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A238" a="1"/>
  <c r="A238" s="1"/>
  <c r="I238" s="1"/>
  <c r="BA237"/>
  <c r="AZ237"/>
  <c r="AY237"/>
  <c r="AX237"/>
  <c r="AW237"/>
  <c r="AV237"/>
  <c r="AU237"/>
  <c r="AT237"/>
  <c r="AS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A237" a="1"/>
  <c r="A237" s="1"/>
  <c r="I237" s="1"/>
  <c r="BA236"/>
  <c r="AZ236"/>
  <c r="AY236"/>
  <c r="AX236"/>
  <c r="AW236"/>
  <c r="AV236"/>
  <c r="AU236"/>
  <c r="AT236"/>
  <c r="AS236"/>
  <c r="AR236"/>
  <c r="AQ236"/>
  <c r="AP236"/>
  <c r="AO236"/>
  <c r="AN236"/>
  <c r="AM236"/>
  <c r="AL236"/>
  <c r="AK236"/>
  <c r="AJ236"/>
  <c r="AI236"/>
  <c r="AH236"/>
  <c r="AG236"/>
  <c r="AF236"/>
  <c r="AE236"/>
  <c r="AD236"/>
  <c r="AC236"/>
  <c r="AB236"/>
  <c r="AA236"/>
  <c r="Z236"/>
  <c r="Y236"/>
  <c r="X236"/>
  <c r="W236"/>
  <c r="V236"/>
  <c r="U236"/>
  <c r="T236"/>
  <c r="S236"/>
  <c r="R236"/>
  <c r="Q236"/>
  <c r="P236"/>
  <c r="O236"/>
  <c r="N236"/>
  <c r="M236"/>
  <c r="L236"/>
  <c r="K236"/>
  <c r="J236"/>
  <c r="A236" a="1"/>
  <c r="A236" s="1"/>
  <c r="I236" s="1"/>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250" i="50"/>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Y241"/>
  <c r="AX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D241"/>
  <c r="AZ240"/>
  <c r="AY240"/>
  <c r="AX240"/>
  <c r="AW240"/>
  <c r="AV240"/>
  <c r="AU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D240"/>
  <c r="AZ239"/>
  <c r="AY239"/>
  <c r="AX239"/>
  <c r="AW239"/>
  <c r="AV239"/>
  <c r="AU239"/>
  <c r="AT239"/>
  <c r="AS239"/>
  <c r="AR239"/>
  <c r="AQ239"/>
  <c r="AP239"/>
  <c r="AO239"/>
  <c r="AM239"/>
  <c r="AL239"/>
  <c r="AK239"/>
  <c r="AJ239"/>
  <c r="AI239"/>
  <c r="AH239"/>
  <c r="AG239"/>
  <c r="AF239"/>
  <c r="AE239"/>
  <c r="AD239"/>
  <c r="AC239"/>
  <c r="AB239"/>
  <c r="AA239"/>
  <c r="Z239"/>
  <c r="Y239"/>
  <c r="X239"/>
  <c r="W239"/>
  <c r="V239"/>
  <c r="U239"/>
  <c r="T239"/>
  <c r="S239"/>
  <c r="R239"/>
  <c r="Q239"/>
  <c r="P239"/>
  <c r="O239"/>
  <c r="N239"/>
  <c r="M239"/>
  <c r="L239"/>
  <c r="K239"/>
  <c r="J239"/>
  <c r="D239"/>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D238"/>
  <c r="BA237"/>
  <c r="AY237"/>
  <c r="AX237"/>
  <c r="AW237"/>
  <c r="AV237"/>
  <c r="AU237"/>
  <c r="AT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D237"/>
  <c r="BA236"/>
  <c r="AZ236"/>
  <c r="AY236"/>
  <c r="AX236"/>
  <c r="AW236"/>
  <c r="AV236"/>
  <c r="AU236"/>
  <c r="AT236"/>
  <c r="AS236"/>
  <c r="AR236"/>
  <c r="AP236"/>
  <c r="AO236"/>
  <c r="AN236"/>
  <c r="AM236"/>
  <c r="AL236"/>
  <c r="AK236"/>
  <c r="AJ236"/>
  <c r="AI236"/>
  <c r="AH236"/>
  <c r="AG236"/>
  <c r="AF236"/>
  <c r="AE236"/>
  <c r="AD236"/>
  <c r="AC236"/>
  <c r="AB236"/>
  <c r="AA236"/>
  <c r="Z236"/>
  <c r="Y236"/>
  <c r="X236"/>
  <c r="W236"/>
  <c r="V236"/>
  <c r="U236"/>
  <c r="S236"/>
  <c r="R236"/>
  <c r="Q236"/>
  <c r="P236"/>
  <c r="O236"/>
  <c r="N236"/>
  <c r="M236"/>
  <c r="L236"/>
  <c r="K236"/>
  <c r="J236"/>
  <c r="D236"/>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162" i="49"/>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Y153"/>
  <c r="AX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D153"/>
  <c r="AZ152"/>
  <c r="AY152"/>
  <c r="AX152"/>
  <c r="AW152"/>
  <c r="AV152"/>
  <c r="AU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D152"/>
  <c r="AZ151"/>
  <c r="AY151"/>
  <c r="AX151"/>
  <c r="AW151"/>
  <c r="AV151"/>
  <c r="AU151"/>
  <c r="AT151"/>
  <c r="AS151"/>
  <c r="AR151"/>
  <c r="AQ151"/>
  <c r="AP151"/>
  <c r="AO151"/>
  <c r="AM151"/>
  <c r="AL151"/>
  <c r="AK151"/>
  <c r="AJ151"/>
  <c r="AI151"/>
  <c r="AH151"/>
  <c r="AG151"/>
  <c r="AF151"/>
  <c r="AE151"/>
  <c r="AD151"/>
  <c r="AC151"/>
  <c r="AB151"/>
  <c r="AA151"/>
  <c r="Z151"/>
  <c r="Y151"/>
  <c r="X151"/>
  <c r="W151"/>
  <c r="V151"/>
  <c r="U151"/>
  <c r="T151"/>
  <c r="S151"/>
  <c r="R151"/>
  <c r="Q151"/>
  <c r="P151"/>
  <c r="O151"/>
  <c r="N151"/>
  <c r="M151"/>
  <c r="L151"/>
  <c r="K151"/>
  <c r="J151"/>
  <c r="D15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D150"/>
  <c r="BA149"/>
  <c r="AY149"/>
  <c r="AX149"/>
  <c r="AW149"/>
  <c r="AV149"/>
  <c r="AU149"/>
  <c r="AT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D149"/>
  <c r="BA148"/>
  <c r="AZ148"/>
  <c r="AY148"/>
  <c r="AX148"/>
  <c r="AW148"/>
  <c r="AV148"/>
  <c r="AU148"/>
  <c r="AT148"/>
  <c r="AS148"/>
  <c r="AR148"/>
  <c r="AP148"/>
  <c r="AO148"/>
  <c r="AN148"/>
  <c r="AM148"/>
  <c r="AL148"/>
  <c r="AK148"/>
  <c r="AJ148"/>
  <c r="AI148"/>
  <c r="AH148"/>
  <c r="AG148"/>
  <c r="AF148"/>
  <c r="AE148"/>
  <c r="AD148"/>
  <c r="AC148"/>
  <c r="AB148"/>
  <c r="AA148"/>
  <c r="Z148"/>
  <c r="Y148"/>
  <c r="X148"/>
  <c r="W148"/>
  <c r="V148"/>
  <c r="U148"/>
  <c r="S148"/>
  <c r="R148"/>
  <c r="Q148"/>
  <c r="P148"/>
  <c r="O148"/>
  <c r="N148"/>
  <c r="M148"/>
  <c r="L148"/>
  <c r="K148"/>
  <c r="J148"/>
  <c r="D148"/>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M2"/>
  <c r="M1"/>
  <c r="BB81" i="48"/>
  <c r="A74" a="1"/>
  <c r="A74" s="1"/>
  <c r="BC73"/>
  <c r="BB73"/>
  <c r="BA73"/>
  <c r="AZ73"/>
  <c r="AY73"/>
  <c r="AX73"/>
  <c r="AW73"/>
  <c r="AV73"/>
  <c r="AU73"/>
  <c r="AT73"/>
  <c r="AS73"/>
  <c r="AR73"/>
  <c r="AQ73"/>
  <c r="AP73"/>
  <c r="AO73"/>
  <c r="AN73"/>
  <c r="AM73"/>
  <c r="AL73"/>
  <c r="AK73"/>
  <c r="AJ73"/>
  <c r="AI73"/>
  <c r="AH73"/>
  <c r="AG73"/>
  <c r="AF73"/>
  <c r="AE73"/>
  <c r="AD73"/>
  <c r="AC73"/>
  <c r="AB73"/>
  <c r="AA73"/>
  <c r="Z73"/>
  <c r="Y73"/>
  <c r="X73"/>
  <c r="W73"/>
  <c r="V73"/>
  <c r="U73"/>
  <c r="T73"/>
  <c r="Q73"/>
  <c r="P73"/>
  <c r="O73"/>
  <c r="N73"/>
  <c r="M73"/>
  <c r="L73"/>
  <c r="K73"/>
  <c r="J73"/>
  <c r="A73" a="1"/>
  <c r="A73" s="1"/>
  <c r="I73" s="1"/>
  <c r="BC72"/>
  <c r="BA72"/>
  <c r="AZ72"/>
  <c r="AX72"/>
  <c r="AW72"/>
  <c r="AV72"/>
  <c r="AU72"/>
  <c r="AT72"/>
  <c r="AS72"/>
  <c r="AR72"/>
  <c r="AQ72"/>
  <c r="AP72"/>
  <c r="AO72"/>
  <c r="AN72"/>
  <c r="AM72"/>
  <c r="AL72"/>
  <c r="AK72"/>
  <c r="AJ72"/>
  <c r="AI72"/>
  <c r="AH72"/>
  <c r="AG72"/>
  <c r="AF72"/>
  <c r="AE72"/>
  <c r="AD72"/>
  <c r="AC72"/>
  <c r="AB72"/>
  <c r="AA72"/>
  <c r="Z72"/>
  <c r="Y72"/>
  <c r="X72"/>
  <c r="W72"/>
  <c r="V72"/>
  <c r="U72"/>
  <c r="T72"/>
  <c r="Q72"/>
  <c r="P72"/>
  <c r="O72"/>
  <c r="N72"/>
  <c r="M72"/>
  <c r="L72"/>
  <c r="K72"/>
  <c r="J72"/>
  <c r="D72"/>
  <c r="BB71"/>
  <c r="BA71"/>
  <c r="AZ71"/>
  <c r="AY71"/>
  <c r="AX71"/>
  <c r="AW71"/>
  <c r="AU71"/>
  <c r="AT71"/>
  <c r="AS71"/>
  <c r="AR71"/>
  <c r="AQ71"/>
  <c r="AP71"/>
  <c r="AO71"/>
  <c r="AN71"/>
  <c r="AM71"/>
  <c r="AL71"/>
  <c r="AK71"/>
  <c r="AJ71"/>
  <c r="AI71"/>
  <c r="AH71"/>
  <c r="AG71"/>
  <c r="AF71"/>
  <c r="AE71"/>
  <c r="AD71"/>
  <c r="AC71"/>
  <c r="AB71"/>
  <c r="AA71"/>
  <c r="Z71"/>
  <c r="Y71"/>
  <c r="X71"/>
  <c r="W71"/>
  <c r="V71"/>
  <c r="U71"/>
  <c r="T71"/>
  <c r="Q71"/>
  <c r="P71"/>
  <c r="O71"/>
  <c r="N71"/>
  <c r="M71"/>
  <c r="L71"/>
  <c r="K71"/>
  <c r="J71"/>
  <c r="D71"/>
  <c r="BB70"/>
  <c r="BA70"/>
  <c r="AZ70"/>
  <c r="AY70"/>
  <c r="AX70"/>
  <c r="AW70"/>
  <c r="AV70"/>
  <c r="AU70"/>
  <c r="AT70"/>
  <c r="AS70"/>
  <c r="AR70"/>
  <c r="AQ70"/>
  <c r="AO70"/>
  <c r="AN70"/>
  <c r="AM70"/>
  <c r="AL70"/>
  <c r="AK70"/>
  <c r="AJ70"/>
  <c r="AI70"/>
  <c r="AH70"/>
  <c r="AG70"/>
  <c r="AF70"/>
  <c r="AE70"/>
  <c r="AD70"/>
  <c r="AC70"/>
  <c r="AB70"/>
  <c r="AA70"/>
  <c r="Z70"/>
  <c r="Y70"/>
  <c r="X70"/>
  <c r="W70"/>
  <c r="V70"/>
  <c r="U70"/>
  <c r="T70"/>
  <c r="Q70"/>
  <c r="P70"/>
  <c r="O70"/>
  <c r="N70"/>
  <c r="M70"/>
  <c r="L70"/>
  <c r="K70"/>
  <c r="J70"/>
  <c r="D70"/>
  <c r="BC69"/>
  <c r="BB69"/>
  <c r="BA69"/>
  <c r="AZ69"/>
  <c r="AY69"/>
  <c r="AX69"/>
  <c r="AW69"/>
  <c r="AV69"/>
  <c r="AU69"/>
  <c r="AT69"/>
  <c r="AS69"/>
  <c r="AR69"/>
  <c r="AQ69"/>
  <c r="AP69"/>
  <c r="AO69"/>
  <c r="AN69"/>
  <c r="AM69"/>
  <c r="AL69"/>
  <c r="AK69"/>
  <c r="AJ69"/>
  <c r="AI69"/>
  <c r="AH69"/>
  <c r="AG69"/>
  <c r="AF69"/>
  <c r="AE69"/>
  <c r="AD69"/>
  <c r="AC69"/>
  <c r="AB69"/>
  <c r="AA69"/>
  <c r="Z69"/>
  <c r="Y69"/>
  <c r="X69"/>
  <c r="W69"/>
  <c r="V69"/>
  <c r="U69"/>
  <c r="T69"/>
  <c r="Q69"/>
  <c r="P69"/>
  <c r="O69"/>
  <c r="N69"/>
  <c r="M69"/>
  <c r="L69"/>
  <c r="K69"/>
  <c r="J69"/>
  <c r="D69"/>
  <c r="BC68"/>
  <c r="BA68"/>
  <c r="AZ68"/>
  <c r="AY68"/>
  <c r="AX68"/>
  <c r="AW68"/>
  <c r="AV68"/>
  <c r="AT68"/>
  <c r="AS68"/>
  <c r="AR68"/>
  <c r="AQ68"/>
  <c r="AP68"/>
  <c r="AO68"/>
  <c r="AN68"/>
  <c r="AM68"/>
  <c r="AL68"/>
  <c r="AK68"/>
  <c r="AJ68"/>
  <c r="AI68"/>
  <c r="AH68"/>
  <c r="AG68"/>
  <c r="AF68"/>
  <c r="AE68"/>
  <c r="AD68"/>
  <c r="AC68"/>
  <c r="AB68"/>
  <c r="AA68"/>
  <c r="Z68"/>
  <c r="Y68"/>
  <c r="X68"/>
  <c r="W68"/>
  <c r="V68"/>
  <c r="U68"/>
  <c r="T68"/>
  <c r="Q68"/>
  <c r="P68"/>
  <c r="O68"/>
  <c r="N68"/>
  <c r="M68"/>
  <c r="L68"/>
  <c r="K68"/>
  <c r="J68"/>
  <c r="D68"/>
  <c r="BC67"/>
  <c r="BB67"/>
  <c r="BA67"/>
  <c r="AZ67"/>
  <c r="AY67"/>
  <c r="AX67"/>
  <c r="AW67"/>
  <c r="AV67"/>
  <c r="AU67"/>
  <c r="AT67"/>
  <c r="AR67"/>
  <c r="AQ67"/>
  <c r="AP67"/>
  <c r="AO67"/>
  <c r="AN67"/>
  <c r="AM67"/>
  <c r="AL67"/>
  <c r="AK67"/>
  <c r="AJ67"/>
  <c r="AI67"/>
  <c r="AH67"/>
  <c r="AG67"/>
  <c r="AF67"/>
  <c r="AE67"/>
  <c r="AD67"/>
  <c r="AC67"/>
  <c r="AB67"/>
  <c r="AA67"/>
  <c r="Z67"/>
  <c r="Y67"/>
  <c r="X67"/>
  <c r="W67"/>
  <c r="U67"/>
  <c r="T67"/>
  <c r="Q67"/>
  <c r="P67"/>
  <c r="O67"/>
  <c r="N67"/>
  <c r="M67"/>
  <c r="L67"/>
  <c r="K67"/>
  <c r="J67"/>
  <c r="D67"/>
  <c r="BC66"/>
  <c r="BB66"/>
  <c r="BA66"/>
  <c r="AZ66"/>
  <c r="AY66"/>
  <c r="AX66"/>
  <c r="AW66"/>
  <c r="AV66"/>
  <c r="AU66"/>
  <c r="AT66"/>
  <c r="AS66"/>
  <c r="AR66"/>
  <c r="AQ66"/>
  <c r="AP66"/>
  <c r="AN66"/>
  <c r="AM66"/>
  <c r="AK66"/>
  <c r="AJ66"/>
  <c r="AI66"/>
  <c r="AH66"/>
  <c r="AG66"/>
  <c r="AF66"/>
  <c r="AE66"/>
  <c r="AD66"/>
  <c r="AC66"/>
  <c r="AB66"/>
  <c r="AA66"/>
  <c r="Z66"/>
  <c r="Y66"/>
  <c r="X66"/>
  <c r="W66"/>
  <c r="V66"/>
  <c r="U66"/>
  <c r="T66"/>
  <c r="Q66"/>
  <c r="P66"/>
  <c r="O66"/>
  <c r="N66"/>
  <c r="M66"/>
  <c r="L66"/>
  <c r="K66"/>
  <c r="J66"/>
  <c r="D66"/>
  <c r="BC65"/>
  <c r="BB65"/>
  <c r="BA65"/>
  <c r="AZ65"/>
  <c r="AY65"/>
  <c r="AX65"/>
  <c r="AW65"/>
  <c r="AV65"/>
  <c r="AU65"/>
  <c r="AT65"/>
  <c r="AS65"/>
  <c r="AR65"/>
  <c r="AQ65"/>
  <c r="AP65"/>
  <c r="AO65"/>
  <c r="AN65"/>
  <c r="AM65"/>
  <c r="AL65"/>
  <c r="AK65"/>
  <c r="AJ65"/>
  <c r="AI65"/>
  <c r="AH65"/>
  <c r="AG65"/>
  <c r="AF65"/>
  <c r="AE65"/>
  <c r="AD65"/>
  <c r="AC65"/>
  <c r="AB65"/>
  <c r="AA65"/>
  <c r="Z65"/>
  <c r="Y65"/>
  <c r="X65"/>
  <c r="W65"/>
  <c r="V65"/>
  <c r="U65"/>
  <c r="T65"/>
  <c r="Q65"/>
  <c r="P65"/>
  <c r="O65"/>
  <c r="N65"/>
  <c r="M65"/>
  <c r="L65"/>
  <c r="K65"/>
  <c r="J65"/>
  <c r="A65" a="1"/>
  <c r="A65" s="1"/>
  <c r="I65" s="1"/>
  <c r="BC64"/>
  <c r="BB64"/>
  <c r="BA64"/>
  <c r="AZ64"/>
  <c r="AY64"/>
  <c r="AX64"/>
  <c r="AW64"/>
  <c r="AV64"/>
  <c r="AU64"/>
  <c r="AT64"/>
  <c r="AS64"/>
  <c r="AR64"/>
  <c r="AQ64"/>
  <c r="AP64"/>
  <c r="AO64"/>
  <c r="AN64"/>
  <c r="AM64"/>
  <c r="AL64"/>
  <c r="AK64"/>
  <c r="AJ64"/>
  <c r="AI64"/>
  <c r="AH64"/>
  <c r="AG64"/>
  <c r="AF64"/>
  <c r="AE64"/>
  <c r="AD64"/>
  <c r="AC64"/>
  <c r="AB64"/>
  <c r="AA64"/>
  <c r="Z64"/>
  <c r="Y64"/>
  <c r="X64"/>
  <c r="W64"/>
  <c r="V64"/>
  <c r="U64"/>
  <c r="T64"/>
  <c r="Q64"/>
  <c r="P64"/>
  <c r="O64"/>
  <c r="N64"/>
  <c r="M64"/>
  <c r="L64"/>
  <c r="K64"/>
  <c r="J64"/>
  <c r="A64" a="1"/>
  <c r="A64" s="1"/>
  <c r="I64" s="1"/>
  <c r="BC63"/>
  <c r="BB63"/>
  <c r="BA63"/>
  <c r="AZ63"/>
  <c r="AY63"/>
  <c r="AX63"/>
  <c r="AW63"/>
  <c r="AV63"/>
  <c r="AU63"/>
  <c r="AT63"/>
  <c r="AS63"/>
  <c r="AR63"/>
  <c r="AQ63"/>
  <c r="AP63"/>
  <c r="AO63"/>
  <c r="AN63"/>
  <c r="AM63"/>
  <c r="AL63"/>
  <c r="AK63"/>
  <c r="AJ63"/>
  <c r="AI63"/>
  <c r="AH63"/>
  <c r="AG63"/>
  <c r="AF63"/>
  <c r="AE63"/>
  <c r="AD63"/>
  <c r="AC63"/>
  <c r="AB63"/>
  <c r="AA63"/>
  <c r="Z63"/>
  <c r="Y63"/>
  <c r="X63"/>
  <c r="W63"/>
  <c r="V63"/>
  <c r="U63"/>
  <c r="T63"/>
  <c r="Q63"/>
  <c r="P63"/>
  <c r="O63"/>
  <c r="N63"/>
  <c r="M63"/>
  <c r="L63"/>
  <c r="K63"/>
  <c r="J63"/>
  <c r="A63" a="1"/>
  <c r="A63" s="1"/>
  <c r="I63" s="1"/>
  <c r="BC62"/>
  <c r="BB62"/>
  <c r="BA62"/>
  <c r="AZ62"/>
  <c r="AY62"/>
  <c r="AX62"/>
  <c r="AW62"/>
  <c r="AV62"/>
  <c r="AU62"/>
  <c r="AT62"/>
  <c r="AS62"/>
  <c r="AR62"/>
  <c r="AQ62"/>
  <c r="AP62"/>
  <c r="AO62"/>
  <c r="AN62"/>
  <c r="AM62"/>
  <c r="AL62"/>
  <c r="AK62"/>
  <c r="AJ62"/>
  <c r="AI62"/>
  <c r="AH62"/>
  <c r="AG62"/>
  <c r="AF62"/>
  <c r="AE62"/>
  <c r="AD62"/>
  <c r="AC62"/>
  <c r="AB62"/>
  <c r="AA62"/>
  <c r="Z62"/>
  <c r="Y62"/>
  <c r="X62"/>
  <c r="W62"/>
  <c r="V62"/>
  <c r="U62"/>
  <c r="T62"/>
  <c r="Q62"/>
  <c r="P62"/>
  <c r="O62"/>
  <c r="N62"/>
  <c r="M62"/>
  <c r="L62"/>
  <c r="K62"/>
  <c r="J62"/>
  <c r="A62" a="1"/>
  <c r="A62" s="1"/>
  <c r="I62" s="1"/>
  <c r="BC61"/>
  <c r="BB61"/>
  <c r="BA61"/>
  <c r="AZ61"/>
  <c r="AY61"/>
  <c r="AX61"/>
  <c r="AW61"/>
  <c r="AV61"/>
  <c r="AU61"/>
  <c r="AT61"/>
  <c r="AS61"/>
  <c r="AR61"/>
  <c r="AQ61"/>
  <c r="AP61"/>
  <c r="AO61"/>
  <c r="AN61"/>
  <c r="AM61"/>
  <c r="AL61"/>
  <c r="AK61"/>
  <c r="AJ61"/>
  <c r="AI61"/>
  <c r="AH61"/>
  <c r="AG61"/>
  <c r="AF61"/>
  <c r="AE61"/>
  <c r="AD61"/>
  <c r="AC61"/>
  <c r="AB61"/>
  <c r="AA61"/>
  <c r="Z61"/>
  <c r="Y61"/>
  <c r="X61"/>
  <c r="W61"/>
  <c r="V61"/>
  <c r="U61"/>
  <c r="T61"/>
  <c r="Q61"/>
  <c r="P61"/>
  <c r="O61"/>
  <c r="N61"/>
  <c r="M61"/>
  <c r="L61"/>
  <c r="K61"/>
  <c r="J61"/>
  <c r="A61" a="1"/>
  <c r="A61" s="1"/>
  <c r="I61" s="1"/>
  <c r="BC60"/>
  <c r="BB60"/>
  <c r="BA60"/>
  <c r="AZ60"/>
  <c r="AY60"/>
  <c r="AX60"/>
  <c r="AW60"/>
  <c r="AV60"/>
  <c r="AU60"/>
  <c r="AT60"/>
  <c r="AS60"/>
  <c r="AR60"/>
  <c r="AQ60"/>
  <c r="AP60"/>
  <c r="AO60"/>
  <c r="AN60"/>
  <c r="AM60"/>
  <c r="AL60"/>
  <c r="AK60"/>
  <c r="AJ60"/>
  <c r="AI60"/>
  <c r="AH60"/>
  <c r="AG60"/>
  <c r="AF60"/>
  <c r="AE60"/>
  <c r="AD60"/>
  <c r="AC60"/>
  <c r="AB60"/>
  <c r="AA60"/>
  <c r="Z60"/>
  <c r="Y60"/>
  <c r="X60"/>
  <c r="W60"/>
  <c r="V60"/>
  <c r="U60"/>
  <c r="T60"/>
  <c r="Q60"/>
  <c r="P60"/>
  <c r="O60"/>
  <c r="N60"/>
  <c r="M60"/>
  <c r="L60"/>
  <c r="K60"/>
  <c r="J60"/>
  <c r="A60" a="1"/>
  <c r="A60" s="1"/>
  <c r="I60" s="1"/>
  <c r="BC59"/>
  <c r="BB59"/>
  <c r="BA59"/>
  <c r="AZ59"/>
  <c r="AY59"/>
  <c r="AX59"/>
  <c r="AW59"/>
  <c r="AV59"/>
  <c r="AU59"/>
  <c r="AT59"/>
  <c r="AS59"/>
  <c r="AR59"/>
  <c r="AQ59"/>
  <c r="AP59"/>
  <c r="AO59"/>
  <c r="AN59"/>
  <c r="AM59"/>
  <c r="AL59"/>
  <c r="AK59"/>
  <c r="AJ59"/>
  <c r="AI59"/>
  <c r="AH59"/>
  <c r="AG59"/>
  <c r="AF59"/>
  <c r="AE59"/>
  <c r="AD59"/>
  <c r="AC59"/>
  <c r="AB59"/>
  <c r="AA59"/>
  <c r="Z59"/>
  <c r="Y59"/>
  <c r="X59"/>
  <c r="W59"/>
  <c r="V59"/>
  <c r="U59"/>
  <c r="T59"/>
  <c r="Q59"/>
  <c r="P59"/>
  <c r="O59"/>
  <c r="N59"/>
  <c r="M59"/>
  <c r="L59"/>
  <c r="K59"/>
  <c r="J59"/>
  <c r="A59" a="1"/>
  <c r="A59" s="1"/>
  <c r="I59" s="1"/>
  <c r="BC58"/>
  <c r="BB58"/>
  <c r="BA58"/>
  <c r="AZ58"/>
  <c r="AY58"/>
  <c r="AX58"/>
  <c r="AW58"/>
  <c r="AV58"/>
  <c r="AU58"/>
  <c r="AT58"/>
  <c r="AS58"/>
  <c r="AR58"/>
  <c r="AQ58"/>
  <c r="AP58"/>
  <c r="AO58"/>
  <c r="AN58"/>
  <c r="AM58"/>
  <c r="AL58"/>
  <c r="AK58"/>
  <c r="AJ58"/>
  <c r="AI58"/>
  <c r="AH58"/>
  <c r="AG58"/>
  <c r="AF58"/>
  <c r="AE58"/>
  <c r="AD58"/>
  <c r="AC58"/>
  <c r="AB58"/>
  <c r="AA58"/>
  <c r="Z58"/>
  <c r="Y58"/>
  <c r="X58"/>
  <c r="W58"/>
  <c r="V58"/>
  <c r="U58"/>
  <c r="T58"/>
  <c r="Q58"/>
  <c r="P58"/>
  <c r="O58"/>
  <c r="N58"/>
  <c r="M58"/>
  <c r="L58"/>
  <c r="K58"/>
  <c r="J58"/>
  <c r="A58" a="1"/>
  <c r="A58" s="1"/>
  <c r="I58" s="1"/>
  <c r="BC57"/>
  <c r="BB57"/>
  <c r="BA57"/>
  <c r="AZ57"/>
  <c r="AY57"/>
  <c r="AX57"/>
  <c r="AW57"/>
  <c r="AV57"/>
  <c r="AU57"/>
  <c r="AT57"/>
  <c r="AS57"/>
  <c r="AR57"/>
  <c r="AQ57"/>
  <c r="AP57"/>
  <c r="AO57"/>
  <c r="AN57"/>
  <c r="AM57"/>
  <c r="AL57"/>
  <c r="AK57"/>
  <c r="AJ57"/>
  <c r="AI57"/>
  <c r="AH57"/>
  <c r="AG57"/>
  <c r="AF57"/>
  <c r="AE57"/>
  <c r="AD57"/>
  <c r="AC57"/>
  <c r="AB57"/>
  <c r="AA57"/>
  <c r="Z57"/>
  <c r="Y57"/>
  <c r="X57"/>
  <c r="W57"/>
  <c r="V57"/>
  <c r="U57"/>
  <c r="T57"/>
  <c r="Q57"/>
  <c r="P57"/>
  <c r="O57"/>
  <c r="N57"/>
  <c r="M57"/>
  <c r="L57"/>
  <c r="K57"/>
  <c r="J57"/>
  <c r="A57" a="1"/>
  <c r="A57" s="1"/>
  <c r="I57" s="1"/>
  <c r="BC56"/>
  <c r="BB56"/>
  <c r="BA56"/>
  <c r="AZ56"/>
  <c r="AY56"/>
  <c r="AX56"/>
  <c r="AW56"/>
  <c r="AV56"/>
  <c r="AU56"/>
  <c r="AT56"/>
  <c r="AS56"/>
  <c r="AR56"/>
  <c r="AQ56"/>
  <c r="AP56"/>
  <c r="AO56"/>
  <c r="AN56"/>
  <c r="AM56"/>
  <c r="AL56"/>
  <c r="AK56"/>
  <c r="AJ56"/>
  <c r="AI56"/>
  <c r="AH56"/>
  <c r="AG56"/>
  <c r="AF56"/>
  <c r="AE56"/>
  <c r="AD56"/>
  <c r="AC56"/>
  <c r="AB56"/>
  <c r="AA56"/>
  <c r="Z56"/>
  <c r="Y56"/>
  <c r="X56"/>
  <c r="W56"/>
  <c r="V56"/>
  <c r="U56"/>
  <c r="T56"/>
  <c r="Q56"/>
  <c r="P56"/>
  <c r="O56"/>
  <c r="N56"/>
  <c r="M56"/>
  <c r="L56"/>
  <c r="K56"/>
  <c r="J56"/>
  <c r="A56" a="1"/>
  <c r="A56" s="1"/>
  <c r="I56" s="1"/>
  <c r="BC55"/>
  <c r="BB55"/>
  <c r="BA55"/>
  <c r="AZ55"/>
  <c r="AY55"/>
  <c r="AX55"/>
  <c r="AW55"/>
  <c r="AV55"/>
  <c r="AU55"/>
  <c r="AT55"/>
  <c r="AS55"/>
  <c r="AR55"/>
  <c r="AQ55"/>
  <c r="AP55"/>
  <c r="AO55"/>
  <c r="AN55"/>
  <c r="AM55"/>
  <c r="AL55"/>
  <c r="AK55"/>
  <c r="AJ55"/>
  <c r="AI55"/>
  <c r="AH55"/>
  <c r="AG55"/>
  <c r="AF55"/>
  <c r="AE55"/>
  <c r="AD55"/>
  <c r="AC55"/>
  <c r="AB55"/>
  <c r="AA55"/>
  <c r="Z55"/>
  <c r="Y55"/>
  <c r="X55"/>
  <c r="W55"/>
  <c r="V55"/>
  <c r="U55"/>
  <c r="T55"/>
  <c r="Q55"/>
  <c r="P55"/>
  <c r="O55"/>
  <c r="N55"/>
  <c r="M55"/>
  <c r="L55"/>
  <c r="K55"/>
  <c r="J55"/>
  <c r="A55" a="1"/>
  <c r="A55" s="1"/>
  <c r="I55" s="1"/>
  <c r="BC54"/>
  <c r="BB54"/>
  <c r="BA54"/>
  <c r="AZ54"/>
  <c r="AY54"/>
  <c r="AX54"/>
  <c r="AW54"/>
  <c r="AV54"/>
  <c r="AU54"/>
  <c r="AT54"/>
  <c r="AS54"/>
  <c r="AR54"/>
  <c r="AQ54"/>
  <c r="AP54"/>
  <c r="AO54"/>
  <c r="AN54"/>
  <c r="AM54"/>
  <c r="AL54"/>
  <c r="AK54"/>
  <c r="AJ54"/>
  <c r="AI54"/>
  <c r="AH54"/>
  <c r="AG54"/>
  <c r="AF54"/>
  <c r="AE54"/>
  <c r="AD54"/>
  <c r="AC54"/>
  <c r="AB54"/>
  <c r="AA54"/>
  <c r="Z54"/>
  <c r="Y54"/>
  <c r="X54"/>
  <c r="W54"/>
  <c r="V54"/>
  <c r="U54"/>
  <c r="T54"/>
  <c r="Q54"/>
  <c r="P54"/>
  <c r="O54"/>
  <c r="N54"/>
  <c r="M54"/>
  <c r="L54"/>
  <c r="K54"/>
  <c r="J54"/>
  <c r="A54" a="1"/>
  <c r="A54" s="1"/>
  <c r="I54" s="1"/>
  <c r="BC53"/>
  <c r="BB53"/>
  <c r="BA53"/>
  <c r="AZ53"/>
  <c r="AY53"/>
  <c r="AX53"/>
  <c r="AW53"/>
  <c r="AV53"/>
  <c r="AU53"/>
  <c r="AT53"/>
  <c r="AS53"/>
  <c r="AR53"/>
  <c r="AQ53"/>
  <c r="AP53"/>
  <c r="AO53"/>
  <c r="AN53"/>
  <c r="AM53"/>
  <c r="AL53"/>
  <c r="AK53"/>
  <c r="AJ53"/>
  <c r="AI53"/>
  <c r="AH53"/>
  <c r="AG53"/>
  <c r="AF53"/>
  <c r="AE53"/>
  <c r="AD53"/>
  <c r="AC53"/>
  <c r="AB53"/>
  <c r="AA53"/>
  <c r="Z53"/>
  <c r="Y53"/>
  <c r="X53"/>
  <c r="W53"/>
  <c r="V53"/>
  <c r="U53"/>
  <c r="T53"/>
  <c r="Q53"/>
  <c r="P53"/>
  <c r="O53"/>
  <c r="N53"/>
  <c r="M53"/>
  <c r="L53"/>
  <c r="K53"/>
  <c r="J53"/>
  <c r="A53" a="1"/>
  <c r="A53" s="1"/>
  <c r="I53" s="1"/>
  <c r="BC52"/>
  <c r="BB52"/>
  <c r="BA52"/>
  <c r="AZ52"/>
  <c r="AY52"/>
  <c r="AX52"/>
  <c r="AW52"/>
  <c r="AV52"/>
  <c r="AU52"/>
  <c r="AT52"/>
  <c r="AS52"/>
  <c r="AR52"/>
  <c r="AQ52"/>
  <c r="AP52"/>
  <c r="AO52"/>
  <c r="AN52"/>
  <c r="AM52"/>
  <c r="AL52"/>
  <c r="AK52"/>
  <c r="AJ52"/>
  <c r="AI52"/>
  <c r="AH52"/>
  <c r="AG52"/>
  <c r="AF52"/>
  <c r="AE52"/>
  <c r="AD52"/>
  <c r="AC52"/>
  <c r="AB52"/>
  <c r="AA52"/>
  <c r="Z52"/>
  <c r="Y52"/>
  <c r="X52"/>
  <c r="W52"/>
  <c r="V52"/>
  <c r="U52"/>
  <c r="T52"/>
  <c r="Q52"/>
  <c r="P52"/>
  <c r="O52"/>
  <c r="N52"/>
  <c r="M52"/>
  <c r="L52"/>
  <c r="K52"/>
  <c r="J52"/>
  <c r="A52" a="1"/>
  <c r="A52" s="1"/>
  <c r="I52" s="1"/>
  <c r="BC51"/>
  <c r="BB51"/>
  <c r="BA51"/>
  <c r="AZ51"/>
  <c r="AY51"/>
  <c r="AX51"/>
  <c r="AW51"/>
  <c r="AV51"/>
  <c r="AU51"/>
  <c r="AT51"/>
  <c r="AS51"/>
  <c r="AR51"/>
  <c r="AQ51"/>
  <c r="AP51"/>
  <c r="AO51"/>
  <c r="AN51"/>
  <c r="AM51"/>
  <c r="AL51"/>
  <c r="AK51"/>
  <c r="AJ51"/>
  <c r="AI51"/>
  <c r="AH51"/>
  <c r="AG51"/>
  <c r="AF51"/>
  <c r="AE51"/>
  <c r="AD51"/>
  <c r="AC51"/>
  <c r="AB51"/>
  <c r="AA51"/>
  <c r="Z51"/>
  <c r="Y51"/>
  <c r="X51"/>
  <c r="W51"/>
  <c r="V51"/>
  <c r="U51"/>
  <c r="T51"/>
  <c r="Q51"/>
  <c r="P51"/>
  <c r="O51"/>
  <c r="N51"/>
  <c r="M51"/>
  <c r="L51"/>
  <c r="K51"/>
  <c r="J51"/>
  <c r="A51" a="1"/>
  <c r="A51" s="1"/>
  <c r="I51" s="1"/>
  <c r="BC50"/>
  <c r="BB50"/>
  <c r="BA50"/>
  <c r="AZ50"/>
  <c r="AY50"/>
  <c r="AX50"/>
  <c r="AW50"/>
  <c r="AV50"/>
  <c r="AU50"/>
  <c r="AT50"/>
  <c r="AS50"/>
  <c r="AR50"/>
  <c r="AQ50"/>
  <c r="AP50"/>
  <c r="AO50"/>
  <c r="AN50"/>
  <c r="AM50"/>
  <c r="AL50"/>
  <c r="AK50"/>
  <c r="AJ50"/>
  <c r="AI50"/>
  <c r="AH50"/>
  <c r="AG50"/>
  <c r="AF50"/>
  <c r="AE50"/>
  <c r="AD50"/>
  <c r="AC50"/>
  <c r="AB50"/>
  <c r="AA50"/>
  <c r="Z50"/>
  <c r="Y50"/>
  <c r="X50"/>
  <c r="W50"/>
  <c r="V50"/>
  <c r="U50"/>
  <c r="T50"/>
  <c r="Q50"/>
  <c r="P50"/>
  <c r="O50"/>
  <c r="N50"/>
  <c r="M50"/>
  <c r="L50"/>
  <c r="K50"/>
  <c r="J50"/>
  <c r="A50" a="1"/>
  <c r="A50" s="1"/>
  <c r="I50" s="1"/>
  <c r="BC49"/>
  <c r="BB49"/>
  <c r="BA49"/>
  <c r="AZ49"/>
  <c r="AY49"/>
  <c r="AX49"/>
  <c r="AW49"/>
  <c r="AV49"/>
  <c r="AU49"/>
  <c r="AT49"/>
  <c r="AS49"/>
  <c r="AR49"/>
  <c r="AQ49"/>
  <c r="AP49"/>
  <c r="AO49"/>
  <c r="AN49"/>
  <c r="AM49"/>
  <c r="AL49"/>
  <c r="AK49"/>
  <c r="AJ49"/>
  <c r="AI49"/>
  <c r="AH49"/>
  <c r="AG49"/>
  <c r="AF49"/>
  <c r="AE49"/>
  <c r="AD49"/>
  <c r="AC49"/>
  <c r="AB49"/>
  <c r="AA49"/>
  <c r="Z49"/>
  <c r="Y49"/>
  <c r="X49"/>
  <c r="W49"/>
  <c r="V49"/>
  <c r="U49"/>
  <c r="T49"/>
  <c r="Q49"/>
  <c r="P49"/>
  <c r="O49"/>
  <c r="N49"/>
  <c r="M49"/>
  <c r="L49"/>
  <c r="K49"/>
  <c r="J49"/>
  <c r="A49" a="1"/>
  <c r="A49" s="1"/>
  <c r="I49" s="1"/>
  <c r="BC48"/>
  <c r="BB48"/>
  <c r="BA48"/>
  <c r="AZ48"/>
  <c r="AY48"/>
  <c r="AX48"/>
  <c r="AW48"/>
  <c r="AV48"/>
  <c r="AU48"/>
  <c r="AT48"/>
  <c r="AS48"/>
  <c r="AR48"/>
  <c r="AQ48"/>
  <c r="AP48"/>
  <c r="AO48"/>
  <c r="AN48"/>
  <c r="AM48"/>
  <c r="AL48"/>
  <c r="AK48"/>
  <c r="AJ48"/>
  <c r="AI48"/>
  <c r="AH48"/>
  <c r="AG48"/>
  <c r="AF48"/>
  <c r="AE48"/>
  <c r="AD48"/>
  <c r="AC48"/>
  <c r="AB48"/>
  <c r="AA48"/>
  <c r="Z48"/>
  <c r="Y48"/>
  <c r="X48"/>
  <c r="W48"/>
  <c r="V48"/>
  <c r="U48"/>
  <c r="T48"/>
  <c r="Q48"/>
  <c r="P48"/>
  <c r="O48"/>
  <c r="N48"/>
  <c r="M48"/>
  <c r="L48"/>
  <c r="K48"/>
  <c r="J48"/>
  <c r="A48" a="1"/>
  <c r="A48" s="1"/>
  <c r="I48" s="1"/>
  <c r="BC47"/>
  <c r="BB47"/>
  <c r="BA47"/>
  <c r="AZ47"/>
  <c r="AY47"/>
  <c r="AX47"/>
  <c r="AW47"/>
  <c r="AV47"/>
  <c r="AU47"/>
  <c r="AT47"/>
  <c r="AS47"/>
  <c r="AR47"/>
  <c r="AQ47"/>
  <c r="AP47"/>
  <c r="AO47"/>
  <c r="AN47"/>
  <c r="AM47"/>
  <c r="AL47"/>
  <c r="AK47"/>
  <c r="AJ47"/>
  <c r="AI47"/>
  <c r="AH47"/>
  <c r="AG47"/>
  <c r="AF47"/>
  <c r="AE47"/>
  <c r="AD47"/>
  <c r="AC47"/>
  <c r="AB47"/>
  <c r="AA47"/>
  <c r="Z47"/>
  <c r="Y47"/>
  <c r="X47"/>
  <c r="W47"/>
  <c r="V47"/>
  <c r="U47"/>
  <c r="T47"/>
  <c r="Q47"/>
  <c r="P47"/>
  <c r="O47"/>
  <c r="N47"/>
  <c r="M47"/>
  <c r="L47"/>
  <c r="K47"/>
  <c r="J47"/>
  <c r="A47" a="1"/>
  <c r="A47" s="1"/>
  <c r="I47" s="1"/>
  <c r="BC46"/>
  <c r="BB46"/>
  <c r="BA46"/>
  <c r="AZ46"/>
  <c r="AY46"/>
  <c r="AX46"/>
  <c r="AW46"/>
  <c r="AV46"/>
  <c r="AU46"/>
  <c r="AT46"/>
  <c r="AS46"/>
  <c r="AR46"/>
  <c r="AQ46"/>
  <c r="AP46"/>
  <c r="AO46"/>
  <c r="AN46"/>
  <c r="AM46"/>
  <c r="AL46"/>
  <c r="AK46"/>
  <c r="AJ46"/>
  <c r="AI46"/>
  <c r="AH46"/>
  <c r="AG46"/>
  <c r="AF46"/>
  <c r="AE46"/>
  <c r="AD46"/>
  <c r="AC46"/>
  <c r="AB46"/>
  <c r="AA46"/>
  <c r="Z46"/>
  <c r="Y46"/>
  <c r="X46"/>
  <c r="W46"/>
  <c r="V46"/>
  <c r="U46"/>
  <c r="T46"/>
  <c r="Q46"/>
  <c r="P46"/>
  <c r="O46"/>
  <c r="N46"/>
  <c r="M46"/>
  <c r="L46"/>
  <c r="K46"/>
  <c r="J46"/>
  <c r="A46" a="1"/>
  <c r="A46" s="1"/>
  <c r="I46" s="1"/>
  <c r="BC45"/>
  <c r="BB45"/>
  <c r="BA45"/>
  <c r="AZ45"/>
  <c r="AY45"/>
  <c r="AX45"/>
  <c r="AW45"/>
  <c r="AV45"/>
  <c r="AU45"/>
  <c r="AT45"/>
  <c r="AS45"/>
  <c r="AR45"/>
  <c r="AQ45"/>
  <c r="AP45"/>
  <c r="AO45"/>
  <c r="AN45"/>
  <c r="AM45"/>
  <c r="AL45"/>
  <c r="AK45"/>
  <c r="AJ45"/>
  <c r="AI45"/>
  <c r="AH45"/>
  <c r="AG45"/>
  <c r="AF45"/>
  <c r="AE45"/>
  <c r="AD45"/>
  <c r="AC45"/>
  <c r="AB45"/>
  <c r="AA45"/>
  <c r="Z45"/>
  <c r="Y45"/>
  <c r="X45"/>
  <c r="W45"/>
  <c r="V45"/>
  <c r="U45"/>
  <c r="T45"/>
  <c r="Q45"/>
  <c r="P45"/>
  <c r="O45"/>
  <c r="N45"/>
  <c r="M45"/>
  <c r="L45"/>
  <c r="K45"/>
  <c r="J45"/>
  <c r="A45" a="1"/>
  <c r="A45" s="1"/>
  <c r="I45" s="1"/>
  <c r="BC44"/>
  <c r="BB44"/>
  <c r="BA44"/>
  <c r="AZ44"/>
  <c r="AY44"/>
  <c r="AX44"/>
  <c r="AW44"/>
  <c r="AV44"/>
  <c r="AU44"/>
  <c r="AT44"/>
  <c r="AS44"/>
  <c r="AR44"/>
  <c r="AQ44"/>
  <c r="AP44"/>
  <c r="AO44"/>
  <c r="AN44"/>
  <c r="AM44"/>
  <c r="AL44"/>
  <c r="AK44"/>
  <c r="AJ44"/>
  <c r="AI44"/>
  <c r="AH44"/>
  <c r="AG44"/>
  <c r="AF44"/>
  <c r="AE44"/>
  <c r="AD44"/>
  <c r="AC44"/>
  <c r="AB44"/>
  <c r="AA44"/>
  <c r="Z44"/>
  <c r="Y44"/>
  <c r="X44"/>
  <c r="W44"/>
  <c r="V44"/>
  <c r="U44"/>
  <c r="T44"/>
  <c r="Q44"/>
  <c r="P44"/>
  <c r="O44"/>
  <c r="N44"/>
  <c r="M44"/>
  <c r="L44"/>
  <c r="K44"/>
  <c r="J44"/>
  <c r="A44" a="1"/>
  <c r="A44" s="1"/>
  <c r="I44" s="1"/>
  <c r="BC43"/>
  <c r="BB43"/>
  <c r="BA43"/>
  <c r="AZ43"/>
  <c r="AY43"/>
  <c r="AX43"/>
  <c r="AW43"/>
  <c r="AV43"/>
  <c r="AU43"/>
  <c r="AT43"/>
  <c r="AS43"/>
  <c r="AR43"/>
  <c r="AQ43"/>
  <c r="AP43"/>
  <c r="AO43"/>
  <c r="AN43"/>
  <c r="AM43"/>
  <c r="AL43"/>
  <c r="AK43"/>
  <c r="AJ43"/>
  <c r="AI43"/>
  <c r="AH43"/>
  <c r="AG43"/>
  <c r="AF43"/>
  <c r="AE43"/>
  <c r="AD43"/>
  <c r="AC43"/>
  <c r="AB43"/>
  <c r="AA43"/>
  <c r="Z43"/>
  <c r="Y43"/>
  <c r="X43"/>
  <c r="W43"/>
  <c r="V43"/>
  <c r="U43"/>
  <c r="T43"/>
  <c r="Q43"/>
  <c r="P43"/>
  <c r="O43"/>
  <c r="N43"/>
  <c r="M43"/>
  <c r="L43"/>
  <c r="K43"/>
  <c r="J43"/>
  <c r="A43" a="1"/>
  <c r="A43" s="1"/>
  <c r="I43" s="1"/>
  <c r="BC42"/>
  <c r="BB42"/>
  <c r="BA42"/>
  <c r="AZ42"/>
  <c r="AY42"/>
  <c r="AX42"/>
  <c r="AW42"/>
  <c r="AV42"/>
  <c r="AU42"/>
  <c r="AT42"/>
  <c r="AS42"/>
  <c r="AR42"/>
  <c r="AQ42"/>
  <c r="AP42"/>
  <c r="AO42"/>
  <c r="AN42"/>
  <c r="AM42"/>
  <c r="AL42"/>
  <c r="AK42"/>
  <c r="AJ42"/>
  <c r="AI42"/>
  <c r="AH42"/>
  <c r="AG42"/>
  <c r="AF42"/>
  <c r="AE42"/>
  <c r="AD42"/>
  <c r="AC42"/>
  <c r="AB42"/>
  <c r="AA42"/>
  <c r="Z42"/>
  <c r="Y42"/>
  <c r="X42"/>
  <c r="W42"/>
  <c r="V42"/>
  <c r="U42"/>
  <c r="T42"/>
  <c r="Q42"/>
  <c r="P42"/>
  <c r="O42"/>
  <c r="N42"/>
  <c r="M42"/>
  <c r="L42"/>
  <c r="K42"/>
  <c r="J42"/>
  <c r="A42" a="1"/>
  <c r="A42" s="1"/>
  <c r="I42" s="1"/>
  <c r="BC41"/>
  <c r="BB41"/>
  <c r="BA41"/>
  <c r="AZ41"/>
  <c r="AY41"/>
  <c r="AX41"/>
  <c r="AW41"/>
  <c r="AV41"/>
  <c r="AU41"/>
  <c r="AT41"/>
  <c r="AS41"/>
  <c r="AR41"/>
  <c r="AQ41"/>
  <c r="AP41"/>
  <c r="AO41"/>
  <c r="AN41"/>
  <c r="AM41"/>
  <c r="AL41"/>
  <c r="AK41"/>
  <c r="AJ41"/>
  <c r="AI41"/>
  <c r="AH41"/>
  <c r="AG41"/>
  <c r="AF41"/>
  <c r="AE41"/>
  <c r="AD41"/>
  <c r="AC41"/>
  <c r="AB41"/>
  <c r="AA41"/>
  <c r="Z41"/>
  <c r="Y41"/>
  <c r="X41"/>
  <c r="W41"/>
  <c r="V41"/>
  <c r="U41"/>
  <c r="T41"/>
  <c r="Q41"/>
  <c r="P41"/>
  <c r="O41"/>
  <c r="N41"/>
  <c r="M41"/>
  <c r="L41"/>
  <c r="K41"/>
  <c r="J41"/>
  <c r="A41" a="1"/>
  <c r="A41" s="1"/>
  <c r="I41" s="1"/>
  <c r="BC40"/>
  <c r="BB40"/>
  <c r="BA40"/>
  <c r="AZ40"/>
  <c r="AY40"/>
  <c r="AX40"/>
  <c r="AW40"/>
  <c r="AV40"/>
  <c r="AU40"/>
  <c r="AT40"/>
  <c r="AS40"/>
  <c r="AR40"/>
  <c r="AQ40"/>
  <c r="AP40"/>
  <c r="AO40"/>
  <c r="AN40"/>
  <c r="AM40"/>
  <c r="AL40"/>
  <c r="AK40"/>
  <c r="AJ40"/>
  <c r="AI40"/>
  <c r="AH40"/>
  <c r="AG40"/>
  <c r="AF40"/>
  <c r="AE40"/>
  <c r="AD40"/>
  <c r="AC40"/>
  <c r="AB40"/>
  <c r="AA40"/>
  <c r="Z40"/>
  <c r="Y40"/>
  <c r="X40"/>
  <c r="W40"/>
  <c r="V40"/>
  <c r="U40"/>
  <c r="T40"/>
  <c r="Q40"/>
  <c r="P40"/>
  <c r="O40"/>
  <c r="N40"/>
  <c r="M40"/>
  <c r="L40"/>
  <c r="K40"/>
  <c r="J40"/>
  <c r="A40" a="1"/>
  <c r="A40" s="1"/>
  <c r="I40" s="1"/>
  <c r="BC39"/>
  <c r="BB39"/>
  <c r="BA39"/>
  <c r="AZ39"/>
  <c r="AY39"/>
  <c r="AX39"/>
  <c r="AW39"/>
  <c r="AV39"/>
  <c r="AU39"/>
  <c r="AT39"/>
  <c r="AS39"/>
  <c r="AR39"/>
  <c r="AQ39"/>
  <c r="AP39"/>
  <c r="AO39"/>
  <c r="AN39"/>
  <c r="AM39"/>
  <c r="AL39"/>
  <c r="AK39"/>
  <c r="AJ39"/>
  <c r="AI39"/>
  <c r="AH39"/>
  <c r="AG39"/>
  <c r="AF39"/>
  <c r="AE39"/>
  <c r="AD39"/>
  <c r="AC39"/>
  <c r="AB39"/>
  <c r="AA39"/>
  <c r="Z39"/>
  <c r="Y39"/>
  <c r="X39"/>
  <c r="W39"/>
  <c r="V39"/>
  <c r="U39"/>
  <c r="T39"/>
  <c r="Q39"/>
  <c r="P39"/>
  <c r="O39"/>
  <c r="N39"/>
  <c r="M39"/>
  <c r="L39"/>
  <c r="K39"/>
  <c r="J39"/>
  <c r="A39" a="1"/>
  <c r="A39" s="1"/>
  <c r="I39" s="1"/>
  <c r="BC38"/>
  <c r="BB38"/>
  <c r="BA38"/>
  <c r="AZ38"/>
  <c r="AY38"/>
  <c r="AX38"/>
  <c r="AW38"/>
  <c r="AV38"/>
  <c r="AU38"/>
  <c r="AT38"/>
  <c r="AS38"/>
  <c r="AR38"/>
  <c r="AQ38"/>
  <c r="AP38"/>
  <c r="AO38"/>
  <c r="AN38"/>
  <c r="AM38"/>
  <c r="AL38"/>
  <c r="AK38"/>
  <c r="AJ38"/>
  <c r="AI38"/>
  <c r="AH38"/>
  <c r="AG38"/>
  <c r="AF38"/>
  <c r="AE38"/>
  <c r="AD38"/>
  <c r="AC38"/>
  <c r="AB38"/>
  <c r="AA38"/>
  <c r="Z38"/>
  <c r="Y38"/>
  <c r="X38"/>
  <c r="W38"/>
  <c r="V38"/>
  <c r="U38"/>
  <c r="T38"/>
  <c r="Q38"/>
  <c r="P38"/>
  <c r="O38"/>
  <c r="N38"/>
  <c r="M38"/>
  <c r="L38"/>
  <c r="K38"/>
  <c r="J38"/>
  <c r="A38" a="1"/>
  <c r="A38" s="1"/>
  <c r="I38" s="1"/>
  <c r="BC37"/>
  <c r="BB37"/>
  <c r="BA37"/>
  <c r="AZ37"/>
  <c r="AY37"/>
  <c r="AX37"/>
  <c r="AW37"/>
  <c r="AV37"/>
  <c r="AU37"/>
  <c r="AT37"/>
  <c r="AS37"/>
  <c r="AR37"/>
  <c r="AQ37"/>
  <c r="AP37"/>
  <c r="AO37"/>
  <c r="AN37"/>
  <c r="AM37"/>
  <c r="AL37"/>
  <c r="AK37"/>
  <c r="AJ37"/>
  <c r="AI37"/>
  <c r="AH37"/>
  <c r="AG37"/>
  <c r="AF37"/>
  <c r="AE37"/>
  <c r="AD37"/>
  <c r="AC37"/>
  <c r="AB37"/>
  <c r="AA37"/>
  <c r="Z37"/>
  <c r="Y37"/>
  <c r="X37"/>
  <c r="W37"/>
  <c r="V37"/>
  <c r="U37"/>
  <c r="T37"/>
  <c r="Q37"/>
  <c r="P37"/>
  <c r="O37"/>
  <c r="N37"/>
  <c r="M37"/>
  <c r="L37"/>
  <c r="K37"/>
  <c r="J37"/>
  <c r="A37" a="1"/>
  <c r="A37" s="1"/>
  <c r="I37" s="1"/>
  <c r="BC36"/>
  <c r="BB36"/>
  <c r="BA36"/>
  <c r="AZ36"/>
  <c r="AY36"/>
  <c r="AX36"/>
  <c r="AW36"/>
  <c r="AV36"/>
  <c r="AU36"/>
  <c r="AT36"/>
  <c r="AS36"/>
  <c r="AR36"/>
  <c r="AQ36"/>
  <c r="AP36"/>
  <c r="AO36"/>
  <c r="AN36"/>
  <c r="AM36"/>
  <c r="AL36"/>
  <c r="AK36"/>
  <c r="AJ36"/>
  <c r="AI36"/>
  <c r="AH36"/>
  <c r="AG36"/>
  <c r="AF36"/>
  <c r="AE36"/>
  <c r="AD36"/>
  <c r="AC36"/>
  <c r="AB36"/>
  <c r="AA36"/>
  <c r="Z36"/>
  <c r="Y36"/>
  <c r="X36"/>
  <c r="W36"/>
  <c r="V36"/>
  <c r="U36"/>
  <c r="T36"/>
  <c r="Q36"/>
  <c r="P36"/>
  <c r="O36"/>
  <c r="N36"/>
  <c r="M36"/>
  <c r="L36"/>
  <c r="K36"/>
  <c r="J36"/>
  <c r="A36" a="1"/>
  <c r="A36" s="1"/>
  <c r="I36" s="1"/>
  <c r="BC35"/>
  <c r="BB35"/>
  <c r="BA35"/>
  <c r="AZ35"/>
  <c r="AY35"/>
  <c r="AX35"/>
  <c r="AW35"/>
  <c r="AV35"/>
  <c r="AU35"/>
  <c r="AT35"/>
  <c r="AS35"/>
  <c r="AR35"/>
  <c r="AQ35"/>
  <c r="AP35"/>
  <c r="AO35"/>
  <c r="AN35"/>
  <c r="AM35"/>
  <c r="AL35"/>
  <c r="AK35"/>
  <c r="AJ35"/>
  <c r="AI35"/>
  <c r="AH35"/>
  <c r="AG35"/>
  <c r="AF35"/>
  <c r="AE35"/>
  <c r="AD35"/>
  <c r="AC35"/>
  <c r="AB35"/>
  <c r="AA35"/>
  <c r="Z35"/>
  <c r="Y35"/>
  <c r="X35"/>
  <c r="W35"/>
  <c r="V35"/>
  <c r="U35"/>
  <c r="T35"/>
  <c r="Q35"/>
  <c r="P35"/>
  <c r="O35"/>
  <c r="N35"/>
  <c r="M35"/>
  <c r="L35"/>
  <c r="K35"/>
  <c r="J35"/>
  <c r="A35" a="1"/>
  <c r="A35" s="1"/>
  <c r="I35" s="1"/>
  <c r="BC34"/>
  <c r="BB34"/>
  <c r="BA34"/>
  <c r="AZ34"/>
  <c r="AY34"/>
  <c r="AX34"/>
  <c r="AW34"/>
  <c r="AV34"/>
  <c r="AU34"/>
  <c r="AT34"/>
  <c r="AS34"/>
  <c r="AR34"/>
  <c r="AQ34"/>
  <c r="AP34"/>
  <c r="AO34"/>
  <c r="AN34"/>
  <c r="AM34"/>
  <c r="AL34"/>
  <c r="AK34"/>
  <c r="AJ34"/>
  <c r="AI34"/>
  <c r="AH34"/>
  <c r="AG34"/>
  <c r="AF34"/>
  <c r="AE34"/>
  <c r="AD34"/>
  <c r="AC34"/>
  <c r="AB34"/>
  <c r="AA34"/>
  <c r="Z34"/>
  <c r="Y34"/>
  <c r="X34"/>
  <c r="W34"/>
  <c r="V34"/>
  <c r="U34"/>
  <c r="T34"/>
  <c r="Q34"/>
  <c r="P34"/>
  <c r="O34"/>
  <c r="N34"/>
  <c r="M34"/>
  <c r="L34"/>
  <c r="K34"/>
  <c r="J34"/>
  <c r="A34" a="1"/>
  <c r="A34" s="1"/>
  <c r="I34" s="1"/>
  <c r="BC33"/>
  <c r="BB33"/>
  <c r="BA33"/>
  <c r="AZ33"/>
  <c r="AY33"/>
  <c r="AX33"/>
  <c r="AW33"/>
  <c r="AV33"/>
  <c r="AU33"/>
  <c r="AT33"/>
  <c r="AS33"/>
  <c r="AR33"/>
  <c r="AQ33"/>
  <c r="AP33"/>
  <c r="AO33"/>
  <c r="AN33"/>
  <c r="AM33"/>
  <c r="AL33"/>
  <c r="AK33"/>
  <c r="AJ33"/>
  <c r="AI33"/>
  <c r="AH33"/>
  <c r="AG33"/>
  <c r="AF33"/>
  <c r="AE33"/>
  <c r="AD33"/>
  <c r="AC33"/>
  <c r="AB33"/>
  <c r="AA33"/>
  <c r="Z33"/>
  <c r="Y33"/>
  <c r="X33"/>
  <c r="W33"/>
  <c r="V33"/>
  <c r="U33"/>
  <c r="T33"/>
  <c r="Q33"/>
  <c r="P33"/>
  <c r="O33"/>
  <c r="N33"/>
  <c r="M33"/>
  <c r="L33"/>
  <c r="K33"/>
  <c r="J33"/>
  <c r="A33" a="1"/>
  <c r="A33" s="1"/>
  <c r="I33" s="1"/>
  <c r="BC32"/>
  <c r="BB32"/>
  <c r="BA32"/>
  <c r="AZ32"/>
  <c r="AY32"/>
  <c r="AX32"/>
  <c r="AW32"/>
  <c r="AV32"/>
  <c r="AU32"/>
  <c r="AT32"/>
  <c r="AS32"/>
  <c r="AR32"/>
  <c r="AQ32"/>
  <c r="AP32"/>
  <c r="AO32"/>
  <c r="AN32"/>
  <c r="AM32"/>
  <c r="AL32"/>
  <c r="AK32"/>
  <c r="AJ32"/>
  <c r="AI32"/>
  <c r="AH32"/>
  <c r="AG32"/>
  <c r="AF32"/>
  <c r="AE32"/>
  <c r="AD32"/>
  <c r="AC32"/>
  <c r="AB32"/>
  <c r="AA32"/>
  <c r="Z32"/>
  <c r="Y32"/>
  <c r="X32"/>
  <c r="W32"/>
  <c r="V32"/>
  <c r="U32"/>
  <c r="T32"/>
  <c r="Q32"/>
  <c r="P32"/>
  <c r="O32"/>
  <c r="N32"/>
  <c r="M32"/>
  <c r="L32"/>
  <c r="K32"/>
  <c r="J32"/>
  <c r="A32" a="1"/>
  <c r="A32" s="1"/>
  <c r="I32" s="1"/>
  <c r="BC31"/>
  <c r="BB31"/>
  <c r="BA31"/>
  <c r="AZ31"/>
  <c r="AY31"/>
  <c r="AX31"/>
  <c r="AW31"/>
  <c r="AV31"/>
  <c r="AU31"/>
  <c r="AT31"/>
  <c r="AS31"/>
  <c r="AR31"/>
  <c r="AQ31"/>
  <c r="AP31"/>
  <c r="AO31"/>
  <c r="AN31"/>
  <c r="AM31"/>
  <c r="AL31"/>
  <c r="AK31"/>
  <c r="AJ31"/>
  <c r="AI31"/>
  <c r="AH31"/>
  <c r="AG31"/>
  <c r="AF31"/>
  <c r="AE31"/>
  <c r="AD31"/>
  <c r="AC31"/>
  <c r="AB31"/>
  <c r="AA31"/>
  <c r="Z31"/>
  <c r="Y31"/>
  <c r="X31"/>
  <c r="W31"/>
  <c r="V31"/>
  <c r="U31"/>
  <c r="T31"/>
  <c r="Q31"/>
  <c r="P31"/>
  <c r="O31"/>
  <c r="N31"/>
  <c r="M31"/>
  <c r="L31"/>
  <c r="K31"/>
  <c r="J31"/>
  <c r="A31" a="1"/>
  <c r="A31" s="1"/>
  <c r="I31" s="1"/>
  <c r="BC30"/>
  <c r="BB30"/>
  <c r="BA30"/>
  <c r="AZ30"/>
  <c r="AY30"/>
  <c r="AX30"/>
  <c r="AW30"/>
  <c r="AV30"/>
  <c r="AU30"/>
  <c r="AT30"/>
  <c r="AS30"/>
  <c r="AR30"/>
  <c r="AQ30"/>
  <c r="AP30"/>
  <c r="AO30"/>
  <c r="AN30"/>
  <c r="AM30"/>
  <c r="AL30"/>
  <c r="AK30"/>
  <c r="AJ30"/>
  <c r="AI30"/>
  <c r="AH30"/>
  <c r="AG30"/>
  <c r="AF30"/>
  <c r="AE30"/>
  <c r="AD30"/>
  <c r="AC30"/>
  <c r="AB30"/>
  <c r="AA30"/>
  <c r="Z30"/>
  <c r="Y30"/>
  <c r="X30"/>
  <c r="W30"/>
  <c r="V30"/>
  <c r="U30"/>
  <c r="T30"/>
  <c r="Q30"/>
  <c r="P30"/>
  <c r="O30"/>
  <c r="N30"/>
  <c r="M30"/>
  <c r="L30"/>
  <c r="K30"/>
  <c r="J30"/>
  <c r="A30" a="1"/>
  <c r="A30" s="1"/>
  <c r="I30" s="1"/>
  <c r="BC29"/>
  <c r="BB29"/>
  <c r="BA29"/>
  <c r="AZ29"/>
  <c r="AY29"/>
  <c r="AX29"/>
  <c r="AW29"/>
  <c r="AV29"/>
  <c r="AU29"/>
  <c r="AT29"/>
  <c r="AS29"/>
  <c r="AR29"/>
  <c r="AQ29"/>
  <c r="AP29"/>
  <c r="AO29"/>
  <c r="AN29"/>
  <c r="AM29"/>
  <c r="AL29"/>
  <c r="AK29"/>
  <c r="AJ29"/>
  <c r="AI29"/>
  <c r="AH29"/>
  <c r="AG29"/>
  <c r="AF29"/>
  <c r="AE29"/>
  <c r="AD29"/>
  <c r="AC29"/>
  <c r="AB29"/>
  <c r="AA29"/>
  <c r="Z29"/>
  <c r="Y29"/>
  <c r="X29"/>
  <c r="W29"/>
  <c r="V29"/>
  <c r="U29"/>
  <c r="T29"/>
  <c r="Q29"/>
  <c r="P29"/>
  <c r="O29"/>
  <c r="N29"/>
  <c r="M29"/>
  <c r="L29"/>
  <c r="K29"/>
  <c r="J29"/>
  <c r="A29" a="1"/>
  <c r="A29" s="1"/>
  <c r="I29" s="1"/>
  <c r="BC28"/>
  <c r="BB28"/>
  <c r="BA28"/>
  <c r="AZ28"/>
  <c r="AY28"/>
  <c r="AX28"/>
  <c r="AW28"/>
  <c r="AV28"/>
  <c r="AU28"/>
  <c r="AT28"/>
  <c r="AS28"/>
  <c r="AR28"/>
  <c r="AQ28"/>
  <c r="AP28"/>
  <c r="AO28"/>
  <c r="AN28"/>
  <c r="AM28"/>
  <c r="AL28"/>
  <c r="AK28"/>
  <c r="AJ28"/>
  <c r="AI28"/>
  <c r="AH28"/>
  <c r="AG28"/>
  <c r="AF28"/>
  <c r="AE28"/>
  <c r="AD28"/>
  <c r="AC28"/>
  <c r="AB28"/>
  <c r="AA28"/>
  <c r="Z28"/>
  <c r="Y28"/>
  <c r="X28"/>
  <c r="W28"/>
  <c r="V28"/>
  <c r="U28"/>
  <c r="T28"/>
  <c r="Q28"/>
  <c r="P28"/>
  <c r="O28"/>
  <c r="N28"/>
  <c r="M28"/>
  <c r="L28"/>
  <c r="K28"/>
  <c r="J28"/>
  <c r="A28" a="1"/>
  <c r="A28" s="1"/>
  <c r="I28" s="1"/>
  <c r="BC27"/>
  <c r="BB27"/>
  <c r="BA27"/>
  <c r="AZ27"/>
  <c r="AY27"/>
  <c r="AX27"/>
  <c r="AW27"/>
  <c r="AV27"/>
  <c r="AU27"/>
  <c r="AT27"/>
  <c r="AS27"/>
  <c r="AR27"/>
  <c r="AQ27"/>
  <c r="AP27"/>
  <c r="AO27"/>
  <c r="AN27"/>
  <c r="AM27"/>
  <c r="AL27"/>
  <c r="AK27"/>
  <c r="AJ27"/>
  <c r="AI27"/>
  <c r="AH27"/>
  <c r="AG27"/>
  <c r="AF27"/>
  <c r="AE27"/>
  <c r="AD27"/>
  <c r="AC27"/>
  <c r="AB27"/>
  <c r="AA27"/>
  <c r="Z27"/>
  <c r="Y27"/>
  <c r="X27"/>
  <c r="W27"/>
  <c r="V27"/>
  <c r="U27"/>
  <c r="T27"/>
  <c r="Q27"/>
  <c r="P27"/>
  <c r="O27"/>
  <c r="N27"/>
  <c r="M27"/>
  <c r="L27"/>
  <c r="K27"/>
  <c r="J27"/>
  <c r="A27" a="1"/>
  <c r="A27" s="1"/>
  <c r="I27" s="1"/>
  <c r="BC26"/>
  <c r="BB26"/>
  <c r="BA26"/>
  <c r="AZ26"/>
  <c r="AY26"/>
  <c r="AX26"/>
  <c r="AW26"/>
  <c r="AV26"/>
  <c r="AU26"/>
  <c r="AT26"/>
  <c r="AS26"/>
  <c r="AR26"/>
  <c r="AQ26"/>
  <c r="AP26"/>
  <c r="AO26"/>
  <c r="AN26"/>
  <c r="AM26"/>
  <c r="AL26"/>
  <c r="AK26"/>
  <c r="AJ26"/>
  <c r="AI26"/>
  <c r="AH26"/>
  <c r="AG26"/>
  <c r="AF26"/>
  <c r="AE26"/>
  <c r="AD26"/>
  <c r="AC26"/>
  <c r="AB26"/>
  <c r="AA26"/>
  <c r="Z26"/>
  <c r="Y26"/>
  <c r="X26"/>
  <c r="W26"/>
  <c r="V26"/>
  <c r="U26"/>
  <c r="T26"/>
  <c r="Q26"/>
  <c r="P26"/>
  <c r="O26"/>
  <c r="N26"/>
  <c r="M26"/>
  <c r="L26"/>
  <c r="K26"/>
  <c r="J26"/>
  <c r="A26" a="1"/>
  <c r="A26" s="1"/>
  <c r="I26" s="1"/>
  <c r="BC25"/>
  <c r="BB25"/>
  <c r="BA25"/>
  <c r="AZ25"/>
  <c r="AY25"/>
  <c r="AX25"/>
  <c r="AW25"/>
  <c r="AV25"/>
  <c r="AU25"/>
  <c r="AT25"/>
  <c r="AS25"/>
  <c r="AR25"/>
  <c r="AQ25"/>
  <c r="AP25"/>
  <c r="AO25"/>
  <c r="AN25"/>
  <c r="AM25"/>
  <c r="AL25"/>
  <c r="AK25"/>
  <c r="AJ25"/>
  <c r="AI25"/>
  <c r="AH25"/>
  <c r="AG25"/>
  <c r="AF25"/>
  <c r="AE25"/>
  <c r="AD25"/>
  <c r="AC25"/>
  <c r="AB25"/>
  <c r="AA25"/>
  <c r="Z25"/>
  <c r="Y25"/>
  <c r="X25"/>
  <c r="W25"/>
  <c r="V25"/>
  <c r="U25"/>
  <c r="T25"/>
  <c r="Q25"/>
  <c r="P25"/>
  <c r="O25"/>
  <c r="N25"/>
  <c r="M25"/>
  <c r="L25"/>
  <c r="K25"/>
  <c r="J25"/>
  <c r="A25" a="1"/>
  <c r="A25" s="1"/>
  <c r="I25" s="1"/>
  <c r="BC24"/>
  <c r="BB24"/>
  <c r="BA24"/>
  <c r="AZ24"/>
  <c r="AY24"/>
  <c r="AX24"/>
  <c r="AW24"/>
  <c r="AV24"/>
  <c r="AU24"/>
  <c r="AT24"/>
  <c r="AS24"/>
  <c r="AR24"/>
  <c r="AQ24"/>
  <c r="AP24"/>
  <c r="AO24"/>
  <c r="AN24"/>
  <c r="AM24"/>
  <c r="AL24"/>
  <c r="AK24"/>
  <c r="AJ24"/>
  <c r="AI24"/>
  <c r="AH24"/>
  <c r="AG24"/>
  <c r="AF24"/>
  <c r="AE24"/>
  <c r="AD24"/>
  <c r="AC24"/>
  <c r="AB24"/>
  <c r="AA24"/>
  <c r="Z24"/>
  <c r="Y24"/>
  <c r="X24"/>
  <c r="W24"/>
  <c r="V24"/>
  <c r="U24"/>
  <c r="T24"/>
  <c r="Q24"/>
  <c r="P24"/>
  <c r="O24"/>
  <c r="N24"/>
  <c r="M24"/>
  <c r="L24"/>
  <c r="K24"/>
  <c r="J24"/>
  <c r="A24" a="1"/>
  <c r="A24" s="1"/>
  <c r="I24" s="1"/>
  <c r="BC23"/>
  <c r="BB23"/>
  <c r="BA23"/>
  <c r="AZ23"/>
  <c r="AY23"/>
  <c r="AX23"/>
  <c r="AW23"/>
  <c r="AV23"/>
  <c r="AU23"/>
  <c r="AT23"/>
  <c r="AS23"/>
  <c r="AR23"/>
  <c r="AQ23"/>
  <c r="AP23"/>
  <c r="AO23"/>
  <c r="AN23"/>
  <c r="AM23"/>
  <c r="AL23"/>
  <c r="AK23"/>
  <c r="AJ23"/>
  <c r="AI23"/>
  <c r="AH23"/>
  <c r="AG23"/>
  <c r="AF23"/>
  <c r="AE23"/>
  <c r="AD23"/>
  <c r="AC23"/>
  <c r="AB23"/>
  <c r="AA23"/>
  <c r="Z23"/>
  <c r="Y23"/>
  <c r="X23"/>
  <c r="W23"/>
  <c r="V23"/>
  <c r="U23"/>
  <c r="T23"/>
  <c r="Q23"/>
  <c r="P23"/>
  <c r="O23"/>
  <c r="N23"/>
  <c r="M23"/>
  <c r="L23"/>
  <c r="K23"/>
  <c r="J23"/>
  <c r="A23" a="1"/>
  <c r="A23" s="1"/>
  <c r="I23" s="1"/>
  <c r="BC22"/>
  <c r="BB22"/>
  <c r="BA22"/>
  <c r="AZ22"/>
  <c r="AY22"/>
  <c r="AX22"/>
  <c r="AW22"/>
  <c r="AV22"/>
  <c r="AU22"/>
  <c r="AT22"/>
  <c r="AS22"/>
  <c r="AR22"/>
  <c r="AQ22"/>
  <c r="AP22"/>
  <c r="AO22"/>
  <c r="AN22"/>
  <c r="AM22"/>
  <c r="AL22"/>
  <c r="AK22"/>
  <c r="AJ22"/>
  <c r="AI22"/>
  <c r="AH22"/>
  <c r="AG22"/>
  <c r="AF22"/>
  <c r="AE22"/>
  <c r="AD22"/>
  <c r="AC22"/>
  <c r="AB22"/>
  <c r="AA22"/>
  <c r="Z22"/>
  <c r="Y22"/>
  <c r="X22"/>
  <c r="W22"/>
  <c r="V22"/>
  <c r="U22"/>
  <c r="T22"/>
  <c r="Q22"/>
  <c r="P22"/>
  <c r="O22"/>
  <c r="N22"/>
  <c r="M22"/>
  <c r="L22"/>
  <c r="K22"/>
  <c r="J22"/>
  <c r="A22" a="1"/>
  <c r="A22" s="1"/>
  <c r="I22" s="1"/>
  <c r="BC21"/>
  <c r="BB21"/>
  <c r="BA21"/>
  <c r="AZ21"/>
  <c r="AY21"/>
  <c r="AX21"/>
  <c r="AW21"/>
  <c r="AV21"/>
  <c r="AU21"/>
  <c r="AT21"/>
  <c r="AS21"/>
  <c r="AR21"/>
  <c r="AQ21"/>
  <c r="AP21"/>
  <c r="AO21"/>
  <c r="AN21"/>
  <c r="AM21"/>
  <c r="AL21"/>
  <c r="AK21"/>
  <c r="AJ21"/>
  <c r="AI21"/>
  <c r="AH21"/>
  <c r="AG21"/>
  <c r="AF21"/>
  <c r="AE21"/>
  <c r="AD21"/>
  <c r="AC21"/>
  <c r="AB21"/>
  <c r="AA21"/>
  <c r="Z21"/>
  <c r="Y21"/>
  <c r="X21"/>
  <c r="W21"/>
  <c r="V21"/>
  <c r="U21"/>
  <c r="T21"/>
  <c r="Q21"/>
  <c r="P21"/>
  <c r="O21"/>
  <c r="N21"/>
  <c r="M21"/>
  <c r="L21"/>
  <c r="K21"/>
  <c r="J21"/>
  <c r="A21" a="1"/>
  <c r="A21" s="1"/>
  <c r="I21" s="1"/>
  <c r="BC20"/>
  <c r="BB20"/>
  <c r="BA20"/>
  <c r="AZ20"/>
  <c r="AY20"/>
  <c r="AX20"/>
  <c r="AW20"/>
  <c r="AV20"/>
  <c r="AU20"/>
  <c r="AT20"/>
  <c r="AS20"/>
  <c r="AR20"/>
  <c r="AQ20"/>
  <c r="AP20"/>
  <c r="AO20"/>
  <c r="AN20"/>
  <c r="AM20"/>
  <c r="AL20"/>
  <c r="AK20"/>
  <c r="AJ20"/>
  <c r="AI20"/>
  <c r="AH20"/>
  <c r="AG20"/>
  <c r="AF20"/>
  <c r="AE20"/>
  <c r="AD20"/>
  <c r="AC20"/>
  <c r="AB20"/>
  <c r="AA20"/>
  <c r="Z20"/>
  <c r="Y20"/>
  <c r="X20"/>
  <c r="W20"/>
  <c r="V20"/>
  <c r="U20"/>
  <c r="T20"/>
  <c r="Q20"/>
  <c r="P20"/>
  <c r="O20"/>
  <c r="N20"/>
  <c r="M20"/>
  <c r="L20"/>
  <c r="K20"/>
  <c r="J20"/>
  <c r="A20" a="1"/>
  <c r="A20" s="1"/>
  <c r="I20" s="1"/>
  <c r="BC19"/>
  <c r="BB19"/>
  <c r="BA19"/>
  <c r="AZ19"/>
  <c r="AY19"/>
  <c r="AX19"/>
  <c r="AW19"/>
  <c r="AV19"/>
  <c r="AU19"/>
  <c r="AT19"/>
  <c r="AS19"/>
  <c r="AR19"/>
  <c r="AQ19"/>
  <c r="AP19"/>
  <c r="AO19"/>
  <c r="AN19"/>
  <c r="AM19"/>
  <c r="AL19"/>
  <c r="AK19"/>
  <c r="AJ19"/>
  <c r="AI19"/>
  <c r="AH19"/>
  <c r="AG19"/>
  <c r="AF19"/>
  <c r="AE19"/>
  <c r="AD19"/>
  <c r="AC19"/>
  <c r="AB19"/>
  <c r="AA19"/>
  <c r="Z19"/>
  <c r="Y19"/>
  <c r="X19"/>
  <c r="W19"/>
  <c r="V19"/>
  <c r="U19"/>
  <c r="T19"/>
  <c r="Q19"/>
  <c r="P19"/>
  <c r="O19"/>
  <c r="N19"/>
  <c r="M19"/>
  <c r="L19"/>
  <c r="K19"/>
  <c r="J19"/>
  <c r="A19" a="1"/>
  <c r="A19" s="1"/>
  <c r="I19" s="1"/>
  <c r="BC18"/>
  <c r="BB18"/>
  <c r="BA18"/>
  <c r="AZ18"/>
  <c r="AY18"/>
  <c r="AX18"/>
  <c r="AW18"/>
  <c r="AV18"/>
  <c r="AU18"/>
  <c r="AT18"/>
  <c r="AS18"/>
  <c r="AR18"/>
  <c r="AQ18"/>
  <c r="AP18"/>
  <c r="AO18"/>
  <c r="AN18"/>
  <c r="AM18"/>
  <c r="AL18"/>
  <c r="AK18"/>
  <c r="AJ18"/>
  <c r="AI18"/>
  <c r="AH18"/>
  <c r="AG18"/>
  <c r="AF18"/>
  <c r="AE18"/>
  <c r="AD18"/>
  <c r="AC18"/>
  <c r="AB18"/>
  <c r="AA18"/>
  <c r="Z18"/>
  <c r="Y18"/>
  <c r="X18"/>
  <c r="W18"/>
  <c r="V18"/>
  <c r="U18"/>
  <c r="T18"/>
  <c r="Q18"/>
  <c r="P18"/>
  <c r="O18"/>
  <c r="N18"/>
  <c r="M18"/>
  <c r="L18"/>
  <c r="K18"/>
  <c r="J18"/>
  <c r="A18" a="1"/>
  <c r="A18" s="1"/>
  <c r="I18" s="1"/>
  <c r="BC17"/>
  <c r="BB17"/>
  <c r="BA17"/>
  <c r="AZ17"/>
  <c r="AY17"/>
  <c r="AX17"/>
  <c r="AW17"/>
  <c r="AV17"/>
  <c r="AU17"/>
  <c r="AT17"/>
  <c r="AS17"/>
  <c r="AR17"/>
  <c r="AQ17"/>
  <c r="AP17"/>
  <c r="AO17"/>
  <c r="AN17"/>
  <c r="AM17"/>
  <c r="AL17"/>
  <c r="AK17"/>
  <c r="AJ17"/>
  <c r="AI17"/>
  <c r="AH17"/>
  <c r="AG17"/>
  <c r="AF17"/>
  <c r="AE17"/>
  <c r="AD17"/>
  <c r="AC17"/>
  <c r="AB17"/>
  <c r="AA17"/>
  <c r="Z17"/>
  <c r="Y17"/>
  <c r="X17"/>
  <c r="W17"/>
  <c r="V17"/>
  <c r="U17"/>
  <c r="T17"/>
  <c r="Q17"/>
  <c r="P17"/>
  <c r="O17"/>
  <c r="N17"/>
  <c r="M17"/>
  <c r="L17"/>
  <c r="K17"/>
  <c r="J17"/>
  <c r="A17" a="1"/>
  <c r="A17" s="1"/>
  <c r="I17" s="1"/>
  <c r="BC16"/>
  <c r="BB16"/>
  <c r="BA16"/>
  <c r="AZ16"/>
  <c r="AY16"/>
  <c r="AX16"/>
  <c r="AW16"/>
  <c r="AV16"/>
  <c r="AU16"/>
  <c r="AT16"/>
  <c r="AS16"/>
  <c r="AR16"/>
  <c r="AQ16"/>
  <c r="AP16"/>
  <c r="AO16"/>
  <c r="AN16"/>
  <c r="AM16"/>
  <c r="AL16"/>
  <c r="AK16"/>
  <c r="AJ16"/>
  <c r="AI16"/>
  <c r="AH16"/>
  <c r="AG16"/>
  <c r="AF16"/>
  <c r="AE16"/>
  <c r="AD16"/>
  <c r="AC16"/>
  <c r="AB16"/>
  <c r="AA16"/>
  <c r="Z16"/>
  <c r="Y16"/>
  <c r="X16"/>
  <c r="W16"/>
  <c r="V16"/>
  <c r="U16"/>
  <c r="T16"/>
  <c r="Q16"/>
  <c r="P16"/>
  <c r="O16"/>
  <c r="N16"/>
  <c r="M16"/>
  <c r="L16"/>
  <c r="K16"/>
  <c r="J16"/>
  <c r="A16" a="1"/>
  <c r="A16" s="1"/>
  <c r="I16" s="1"/>
  <c r="BC15"/>
  <c r="BB15"/>
  <c r="BA15"/>
  <c r="AZ15"/>
  <c r="AY15"/>
  <c r="AX15"/>
  <c r="AW15"/>
  <c r="AV15"/>
  <c r="AU15"/>
  <c r="AT15"/>
  <c r="AS15"/>
  <c r="AR15"/>
  <c r="AQ15"/>
  <c r="AP15"/>
  <c r="AO15"/>
  <c r="AN15"/>
  <c r="AM15"/>
  <c r="AL15"/>
  <c r="AK15"/>
  <c r="AJ15"/>
  <c r="AI15"/>
  <c r="AH15"/>
  <c r="AG15"/>
  <c r="AF15"/>
  <c r="AE15"/>
  <c r="AD15"/>
  <c r="AC15"/>
  <c r="AB15"/>
  <c r="AA15"/>
  <c r="Z15"/>
  <c r="Y15"/>
  <c r="X15"/>
  <c r="W15"/>
  <c r="V15"/>
  <c r="U15"/>
  <c r="T15"/>
  <c r="Q15"/>
  <c r="P15"/>
  <c r="O15"/>
  <c r="N15"/>
  <c r="M15"/>
  <c r="L15"/>
  <c r="K15"/>
  <c r="J15"/>
  <c r="A15" a="1"/>
  <c r="A15" s="1"/>
  <c r="I15" s="1"/>
  <c r="BC14"/>
  <c r="BB14"/>
  <c r="BA14"/>
  <c r="AZ14"/>
  <c r="AY14"/>
  <c r="AX14"/>
  <c r="AW14"/>
  <c r="AV14"/>
  <c r="AU14"/>
  <c r="AT14"/>
  <c r="AS14"/>
  <c r="AR14"/>
  <c r="AQ14"/>
  <c r="AP14"/>
  <c r="AO14"/>
  <c r="AN14"/>
  <c r="AM14"/>
  <c r="AL14"/>
  <c r="AK14"/>
  <c r="AJ14"/>
  <c r="AI14"/>
  <c r="AH14"/>
  <c r="AG14"/>
  <c r="AF14"/>
  <c r="AE14"/>
  <c r="AD14"/>
  <c r="AC14"/>
  <c r="AB14"/>
  <c r="AA14"/>
  <c r="Z14"/>
  <c r="Y14"/>
  <c r="X14"/>
  <c r="W14"/>
  <c r="V14"/>
  <c r="U14"/>
  <c r="T14"/>
  <c r="Q14"/>
  <c r="P14"/>
  <c r="O14"/>
  <c r="N14"/>
  <c r="M14"/>
  <c r="L14"/>
  <c r="K14"/>
  <c r="J14"/>
  <c r="A14" a="1"/>
  <c r="A14" s="1"/>
  <c r="I14" s="1"/>
  <c r="BC13"/>
  <c r="BB13"/>
  <c r="BA13"/>
  <c r="AZ13"/>
  <c r="AY13"/>
  <c r="AX13"/>
  <c r="AW13"/>
  <c r="AV13"/>
  <c r="AU13"/>
  <c r="AT13"/>
  <c r="AS13"/>
  <c r="AR13"/>
  <c r="AQ13"/>
  <c r="AP13"/>
  <c r="AO13"/>
  <c r="AN13"/>
  <c r="AM13"/>
  <c r="AL13"/>
  <c r="AK13"/>
  <c r="AJ13"/>
  <c r="AI13"/>
  <c r="AH13"/>
  <c r="AG13"/>
  <c r="AF13"/>
  <c r="AE13"/>
  <c r="AD13"/>
  <c r="AC13"/>
  <c r="AB13"/>
  <c r="AA13"/>
  <c r="Z13"/>
  <c r="Y13"/>
  <c r="X13"/>
  <c r="W13"/>
  <c r="V13"/>
  <c r="U13"/>
  <c r="T13"/>
  <c r="Q13"/>
  <c r="P13"/>
  <c r="O13"/>
  <c r="N13"/>
  <c r="M13"/>
  <c r="L13"/>
  <c r="K13"/>
  <c r="J13"/>
  <c r="A13" a="1"/>
  <c r="A13" s="1"/>
  <c r="I13" s="1"/>
  <c r="BC12"/>
  <c r="BB12"/>
  <c r="BA12"/>
  <c r="AZ12"/>
  <c r="AY12"/>
  <c r="AX12"/>
  <c r="AW12"/>
  <c r="AV12"/>
  <c r="AU12"/>
  <c r="AT12"/>
  <c r="AS12"/>
  <c r="AR12"/>
  <c r="AQ12"/>
  <c r="AP12"/>
  <c r="AO12"/>
  <c r="AN12"/>
  <c r="AM12"/>
  <c r="AL12"/>
  <c r="AK12"/>
  <c r="AJ12"/>
  <c r="AI12"/>
  <c r="AH12"/>
  <c r="AG12"/>
  <c r="AF12"/>
  <c r="AE12"/>
  <c r="AD12"/>
  <c r="AC12"/>
  <c r="AB12"/>
  <c r="AA12"/>
  <c r="Z12"/>
  <c r="Y12"/>
  <c r="X12"/>
  <c r="W12"/>
  <c r="V12"/>
  <c r="U12"/>
  <c r="T12"/>
  <c r="Q12"/>
  <c r="P12"/>
  <c r="O12"/>
  <c r="N12"/>
  <c r="M12"/>
  <c r="L12"/>
  <c r="K12"/>
  <c r="J12"/>
  <c r="A12" a="1"/>
  <c r="A12" s="1"/>
  <c r="I12" s="1"/>
  <c r="AQ10"/>
  <c r="AP10"/>
  <c r="AO10"/>
  <c r="AN10"/>
  <c r="F66" s="1"/>
  <c r="AL66" s="1"/>
  <c r="AM10"/>
  <c r="AL10"/>
  <c r="AK10"/>
  <c r="AJ10"/>
  <c r="AI10"/>
  <c r="AH10"/>
  <c r="AG10"/>
  <c r="AF10"/>
  <c r="AE10"/>
  <c r="AD10"/>
  <c r="AC10"/>
  <c r="AB10"/>
  <c r="AA10"/>
  <c r="Z10"/>
  <c r="Y10"/>
  <c r="X10"/>
  <c r="W10"/>
  <c r="V10"/>
  <c r="U10"/>
  <c r="T10"/>
  <c r="Q10"/>
  <c r="P10"/>
  <c r="O10"/>
  <c r="N10"/>
  <c r="M10"/>
  <c r="L10"/>
  <c r="K10"/>
  <c r="J10"/>
  <c r="A10" a="1"/>
  <c r="A10" s="1"/>
  <c r="B813" i="34"/>
  <c r="B812"/>
  <c r="B811"/>
  <c r="B810"/>
  <c r="B809"/>
  <c r="B808"/>
  <c r="B807"/>
  <c r="B806"/>
  <c r="B805"/>
  <c r="B804"/>
  <c r="B803"/>
  <c r="B802"/>
  <c r="B801"/>
  <c r="B800"/>
  <c r="B799"/>
  <c r="B798"/>
  <c r="B797"/>
  <c r="B796"/>
  <c r="B795"/>
  <c r="B794"/>
  <c r="B793"/>
  <c r="B792"/>
  <c r="B791"/>
  <c r="B790"/>
  <c r="B789"/>
  <c r="B788"/>
  <c r="B787"/>
  <c r="B786"/>
  <c r="B785"/>
  <c r="B784"/>
  <c r="B783"/>
  <c r="B782"/>
  <c r="B781"/>
  <c r="B780"/>
  <c r="B779"/>
  <c r="B778"/>
  <c r="B777"/>
  <c r="B776"/>
  <c r="B775"/>
  <c r="B774"/>
  <c r="B773"/>
  <c r="B772"/>
  <c r="B771"/>
  <c r="B770"/>
  <c r="B769"/>
  <c r="B768"/>
  <c r="B767"/>
  <c r="B766"/>
  <c r="B765"/>
  <c r="B764"/>
  <c r="B763"/>
  <c r="B762"/>
  <c r="B761"/>
  <c r="B760"/>
  <c r="B759"/>
  <c r="B758"/>
  <c r="B757"/>
  <c r="B756"/>
  <c r="B755"/>
  <c r="B754"/>
  <c r="B753"/>
  <c r="B752"/>
  <c r="B751"/>
  <c r="B750"/>
  <c r="B749"/>
  <c r="B748"/>
  <c r="B747"/>
  <c r="B746"/>
  <c r="B745"/>
  <c r="B744"/>
  <c r="B743"/>
  <c r="B742"/>
  <c r="B741"/>
  <c r="B740"/>
  <c r="B739"/>
  <c r="B738"/>
  <c r="B737"/>
  <c r="B736"/>
  <c r="B735"/>
  <c r="B734"/>
  <c r="B733"/>
  <c r="B732"/>
  <c r="B731"/>
  <c r="B730"/>
  <c r="B729"/>
  <c r="B728"/>
  <c r="B727"/>
  <c r="B726"/>
  <c r="B725"/>
  <c r="B724"/>
  <c r="B723"/>
  <c r="B722"/>
  <c r="B721"/>
  <c r="B720"/>
  <c r="B719"/>
  <c r="B718"/>
  <c r="B717"/>
  <c r="B716"/>
  <c r="B715"/>
  <c r="B714"/>
  <c r="B713"/>
  <c r="B712"/>
  <c r="B711"/>
  <c r="B710"/>
  <c r="B709"/>
  <c r="B708"/>
  <c r="B707"/>
  <c r="B706"/>
  <c r="B705"/>
  <c r="B704"/>
  <c r="B703"/>
  <c r="B702"/>
  <c r="B701"/>
  <c r="B700"/>
  <c r="B699"/>
  <c r="B698"/>
  <c r="B697"/>
  <c r="B696"/>
  <c r="B695"/>
  <c r="B694"/>
  <c r="B693"/>
  <c r="B692"/>
  <c r="B691"/>
  <c r="B690"/>
  <c r="B689"/>
  <c r="B688"/>
  <c r="B687"/>
  <c r="B686"/>
  <c r="B685"/>
  <c r="B684"/>
  <c r="B683"/>
  <c r="B682"/>
  <c r="B681"/>
  <c r="B680"/>
  <c r="B679"/>
  <c r="B678"/>
  <c r="B677"/>
  <c r="B676"/>
  <c r="B675"/>
  <c r="B674"/>
  <c r="B673"/>
  <c r="B672"/>
  <c r="B671"/>
  <c r="B670"/>
  <c r="B669"/>
  <c r="B668"/>
  <c r="B667"/>
  <c r="B666"/>
  <c r="B665"/>
  <c r="B664"/>
  <c r="B663"/>
  <c r="B662"/>
  <c r="B661"/>
  <c r="B660"/>
  <c r="B659"/>
  <c r="B658"/>
  <c r="B657"/>
  <c r="B656"/>
  <c r="B655"/>
  <c r="B654"/>
  <c r="B653"/>
  <c r="B652"/>
  <c r="B651"/>
  <c r="B650"/>
  <c r="B649"/>
  <c r="B648"/>
  <c r="B647"/>
  <c r="B646"/>
  <c r="B645"/>
  <c r="B644"/>
  <c r="B643"/>
  <c r="B642"/>
  <c r="B641"/>
  <c r="B640"/>
  <c r="B639"/>
  <c r="B638"/>
  <c r="B637"/>
  <c r="B636"/>
  <c r="B635"/>
  <c r="B634"/>
  <c r="B633"/>
  <c r="B632"/>
  <c r="B631"/>
  <c r="B630"/>
  <c r="B629"/>
  <c r="B628"/>
  <c r="B627"/>
  <c r="B626"/>
  <c r="B625"/>
  <c r="B624"/>
  <c r="B623"/>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B536"/>
  <c r="B535"/>
  <c r="B534"/>
  <c r="B533"/>
  <c r="B532"/>
  <c r="B531"/>
  <c r="B530"/>
  <c r="B529"/>
  <c r="B528"/>
  <c r="B527"/>
  <c r="B526"/>
  <c r="B525"/>
  <c r="B524"/>
  <c r="B523"/>
  <c r="B522"/>
  <c r="B521"/>
  <c r="B520"/>
  <c r="B519"/>
  <c r="B518"/>
  <c r="B517"/>
  <c r="B516"/>
  <c r="B515"/>
  <c r="B514"/>
  <c r="B513"/>
  <c r="B512"/>
  <c r="B511"/>
  <c r="B510"/>
  <c r="B509"/>
  <c r="B508"/>
  <c r="B507"/>
  <c r="B506"/>
  <c r="B505"/>
  <c r="B504"/>
  <c r="B503"/>
  <c r="B502"/>
  <c r="B501"/>
  <c r="B500"/>
  <c r="B499"/>
  <c r="B498"/>
  <c r="B497"/>
  <c r="B496"/>
  <c r="B495"/>
  <c r="B494"/>
  <c r="B493"/>
  <c r="B492"/>
  <c r="B49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18"/>
  <c r="B417"/>
  <c r="B416"/>
  <c r="B413"/>
  <c r="B412"/>
  <c r="B411"/>
  <c r="B410"/>
  <c r="B407"/>
  <c r="B428"/>
  <c r="B415"/>
  <c r="B414"/>
  <c r="B406"/>
  <c r="B409"/>
  <c r="B408"/>
  <c r="B370"/>
  <c r="B369"/>
  <c r="B368"/>
  <c r="B367"/>
  <c r="B366"/>
  <c r="B372"/>
  <c r="B371"/>
  <c r="B349"/>
  <c r="B348"/>
  <c r="B400"/>
  <c r="B399"/>
  <c r="B398"/>
  <c r="B397"/>
  <c r="B396"/>
  <c r="B395"/>
  <c r="B394"/>
  <c r="B392"/>
  <c r="B391"/>
  <c r="B390"/>
  <c r="B389"/>
  <c r="B388"/>
  <c r="B387"/>
  <c r="B386"/>
  <c r="B385"/>
  <c r="B384"/>
  <c r="B383"/>
  <c r="B382"/>
  <c r="B381"/>
  <c r="B380"/>
  <c r="B377"/>
  <c r="B393"/>
  <c r="B379"/>
  <c r="B378"/>
  <c r="B311"/>
  <c r="B376"/>
  <c r="B375"/>
  <c r="B374"/>
  <c r="B373"/>
  <c r="B365"/>
  <c r="B364"/>
  <c r="B363"/>
  <c r="B357"/>
  <c r="B356"/>
  <c r="B347"/>
  <c r="B346"/>
  <c r="B345"/>
  <c r="B344"/>
  <c r="B343"/>
  <c r="B342"/>
  <c r="B341"/>
  <c r="B340"/>
  <c r="B339"/>
  <c r="B338"/>
  <c r="B337"/>
  <c r="B336"/>
  <c r="B330"/>
  <c r="B316"/>
  <c r="B315"/>
  <c r="B314"/>
  <c r="B310"/>
  <c r="B309"/>
  <c r="B308"/>
  <c r="B299"/>
  <c r="B298"/>
  <c r="B297"/>
  <c r="B296"/>
  <c r="B295"/>
  <c r="B294"/>
  <c r="B293"/>
  <c r="B292"/>
  <c r="B291"/>
  <c r="B290"/>
  <c r="B289"/>
  <c r="B288"/>
  <c r="B287"/>
  <c r="B286"/>
  <c r="B285"/>
  <c r="B284"/>
  <c r="B283"/>
  <c r="B282"/>
  <c r="B362"/>
  <c r="B355"/>
  <c r="B335"/>
  <c r="B334"/>
  <c r="B333"/>
  <c r="B329"/>
  <c r="B328"/>
  <c r="B313"/>
  <c r="B312"/>
  <c r="B307"/>
  <c r="B281"/>
  <c r="B280"/>
  <c r="B278"/>
  <c r="B353"/>
  <c r="B352"/>
  <c r="B322"/>
  <c r="B321"/>
  <c r="B305"/>
  <c r="B304"/>
  <c r="B267"/>
  <c r="B266"/>
  <c r="B422"/>
  <c r="B421"/>
  <c r="B420"/>
  <c r="B419"/>
  <c r="B320"/>
  <c r="B319"/>
  <c r="B351"/>
  <c r="B350"/>
  <c r="B332"/>
  <c r="B331"/>
  <c r="B354"/>
  <c r="B359"/>
  <c r="B358"/>
  <c r="B361"/>
  <c r="B360"/>
  <c r="B318"/>
  <c r="B317"/>
  <c r="B327"/>
  <c r="B326"/>
  <c r="B323"/>
  <c r="B302"/>
  <c r="B301"/>
  <c r="B325"/>
  <c r="B324"/>
  <c r="B306"/>
  <c r="B303"/>
  <c r="B300"/>
  <c r="B277"/>
  <c r="B276"/>
  <c r="B273"/>
  <c r="B272"/>
  <c r="B271"/>
  <c r="B270"/>
  <c r="B269"/>
  <c r="B268"/>
  <c r="B257"/>
  <c r="B256"/>
  <c r="B255"/>
  <c r="B254"/>
  <c r="B253"/>
  <c r="B252"/>
  <c r="B251"/>
  <c r="B250"/>
  <c r="B245"/>
  <c r="B244"/>
  <c r="B265"/>
  <c r="B264"/>
  <c r="B260"/>
  <c r="B259"/>
  <c r="B240"/>
  <c r="B239"/>
  <c r="B238"/>
  <c r="B237"/>
  <c r="B236"/>
  <c r="B235"/>
  <c r="B234"/>
  <c r="B233"/>
  <c r="B232"/>
  <c r="B231"/>
  <c r="B230"/>
  <c r="B229"/>
  <c r="B227"/>
  <c r="B226"/>
  <c r="B224"/>
  <c r="B223"/>
  <c r="B222"/>
  <c r="B221"/>
  <c r="B220"/>
  <c r="B219"/>
  <c r="B218"/>
  <c r="B217"/>
  <c r="B215"/>
  <c r="B213"/>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59"/>
  <c r="B158"/>
  <c r="B169"/>
  <c r="B168"/>
  <c r="B167"/>
  <c r="B166"/>
  <c r="B164"/>
  <c r="B163"/>
  <c r="B162"/>
  <c r="B157"/>
  <c r="B156"/>
  <c r="B155"/>
  <c r="B154"/>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AG17"/>
  <c r="AF17"/>
  <c r="AE17"/>
  <c r="AA17"/>
  <c r="P17"/>
  <c r="B17"/>
  <c r="AG16"/>
  <c r="AF16"/>
  <c r="AE16"/>
  <c r="AA16"/>
  <c r="P16"/>
  <c r="B16"/>
  <c r="Y16" s="1"/>
  <c r="AG15"/>
  <c r="AF15"/>
  <c r="AE15"/>
  <c r="AA15"/>
  <c r="P15"/>
  <c r="M15"/>
  <c r="B15"/>
  <c r="Y15" s="1"/>
  <c r="AG14"/>
  <c r="AF14"/>
  <c r="AE14"/>
  <c r="AA14"/>
  <c r="P14"/>
  <c r="M14"/>
  <c r="B14"/>
  <c r="AG13"/>
  <c r="AF13"/>
  <c r="AE13"/>
  <c r="AA13"/>
  <c r="P13"/>
  <c r="M13"/>
  <c r="B13"/>
  <c r="AG12"/>
  <c r="AF12"/>
  <c r="AE12"/>
  <c r="AA12"/>
  <c r="P12"/>
  <c r="M12"/>
  <c r="B12"/>
  <c r="Y12" s="1"/>
  <c r="AG11"/>
  <c r="AF11"/>
  <c r="AE11"/>
  <c r="AA11"/>
  <c r="P11"/>
  <c r="M11"/>
  <c r="B11"/>
  <c r="Y11" s="1"/>
  <c r="AG10"/>
  <c r="AF10"/>
  <c r="AA10"/>
  <c r="B10"/>
  <c r="Z10" s="1"/>
  <c r="AB7"/>
  <c r="D43" i="15"/>
  <c r="C43"/>
  <c r="E41"/>
  <c r="D14"/>
  <c r="C14"/>
  <c r="C12" i="61"/>
  <c r="H12"/>
  <c r="A19" i="34" l="1"/>
  <c r="R19"/>
  <c r="T19"/>
  <c r="V19"/>
  <c r="X19"/>
  <c r="Z19"/>
  <c r="Q19"/>
  <c r="S19"/>
  <c r="U19"/>
  <c r="Y19"/>
  <c r="AC19"/>
  <c r="A23"/>
  <c r="R23"/>
  <c r="T23"/>
  <c r="V23"/>
  <c r="X23"/>
  <c r="Z23"/>
  <c r="Q23"/>
  <c r="S23"/>
  <c r="U23"/>
  <c r="Y23"/>
  <c r="AC23"/>
  <c r="A27"/>
  <c r="R27"/>
  <c r="T27"/>
  <c r="V27"/>
  <c r="X27"/>
  <c r="Z27"/>
  <c r="Q27"/>
  <c r="S27"/>
  <c r="U27"/>
  <c r="Y27"/>
  <c r="AC27"/>
  <c r="A31"/>
  <c r="R31"/>
  <c r="T31"/>
  <c r="V31"/>
  <c r="X31"/>
  <c r="Z31"/>
  <c r="Q31"/>
  <c r="S31"/>
  <c r="U31"/>
  <c r="Y31"/>
  <c r="AC31"/>
  <c r="A35"/>
  <c r="R35"/>
  <c r="T35"/>
  <c r="V35"/>
  <c r="X35"/>
  <c r="Z35"/>
  <c r="Q35"/>
  <c r="S35"/>
  <c r="U35"/>
  <c r="Y35"/>
  <c r="AC35"/>
  <c r="A41"/>
  <c r="Q41"/>
  <c r="S41"/>
  <c r="U41"/>
  <c r="Y41"/>
  <c r="AC41"/>
  <c r="R41"/>
  <c r="T41"/>
  <c r="V41"/>
  <c r="X41"/>
  <c r="Z41"/>
  <c r="A45"/>
  <c r="Q45"/>
  <c r="S45"/>
  <c r="U45"/>
  <c r="Y45"/>
  <c r="AC45"/>
  <c r="R45"/>
  <c r="T45"/>
  <c r="V45"/>
  <c r="X45"/>
  <c r="Z45"/>
  <c r="A49"/>
  <c r="Q49"/>
  <c r="S49"/>
  <c r="U49"/>
  <c r="Y49"/>
  <c r="AC49"/>
  <c r="R49"/>
  <c r="T49"/>
  <c r="V49"/>
  <c r="X49"/>
  <c r="Z49"/>
  <c r="A53"/>
  <c r="Q53"/>
  <c r="S53"/>
  <c r="U53"/>
  <c r="Y53"/>
  <c r="AC53"/>
  <c r="R53"/>
  <c r="T53"/>
  <c r="V53"/>
  <c r="X53"/>
  <c r="Z53"/>
  <c r="A55"/>
  <c r="Q55"/>
  <c r="S55"/>
  <c r="U55"/>
  <c r="Y55"/>
  <c r="AC55"/>
  <c r="R55"/>
  <c r="T55"/>
  <c r="V55"/>
  <c r="X55"/>
  <c r="Z55"/>
  <c r="A59"/>
  <c r="Q59"/>
  <c r="S59"/>
  <c r="U59"/>
  <c r="Y59"/>
  <c r="AC59"/>
  <c r="R59"/>
  <c r="T59"/>
  <c r="V59"/>
  <c r="X59"/>
  <c r="Z59"/>
  <c r="A63"/>
  <c r="Q63"/>
  <c r="S63"/>
  <c r="U63"/>
  <c r="Y63"/>
  <c r="AC63"/>
  <c r="R63"/>
  <c r="T63"/>
  <c r="V63"/>
  <c r="X63"/>
  <c r="Z63"/>
  <c r="A65"/>
  <c r="Q65"/>
  <c r="S65"/>
  <c r="U65"/>
  <c r="Y65"/>
  <c r="AC65"/>
  <c r="R65"/>
  <c r="T65"/>
  <c r="V65"/>
  <c r="X65"/>
  <c r="Z65"/>
  <c r="A67"/>
  <c r="Q67"/>
  <c r="S67"/>
  <c r="U67"/>
  <c r="Y67"/>
  <c r="AC67"/>
  <c r="R67"/>
  <c r="T67"/>
  <c r="V67"/>
  <c r="X67"/>
  <c r="Z67"/>
  <c r="A69"/>
  <c r="Q69"/>
  <c r="S69"/>
  <c r="U69"/>
  <c r="Y69"/>
  <c r="AC69"/>
  <c r="R69"/>
  <c r="T69"/>
  <c r="V69"/>
  <c r="X69"/>
  <c r="Z69"/>
  <c r="A71"/>
  <c r="Q71"/>
  <c r="S71"/>
  <c r="U71"/>
  <c r="Y71"/>
  <c r="AC71"/>
  <c r="R71"/>
  <c r="T71"/>
  <c r="V71"/>
  <c r="X71"/>
  <c r="Z71"/>
  <c r="A73"/>
  <c r="Q73"/>
  <c r="S73"/>
  <c r="U73"/>
  <c r="Y73"/>
  <c r="AC73"/>
  <c r="R73"/>
  <c r="T73"/>
  <c r="V73"/>
  <c r="X73"/>
  <c r="Z73"/>
  <c r="A75"/>
  <c r="Q75"/>
  <c r="S75"/>
  <c r="U75"/>
  <c r="Y75"/>
  <c r="AC75"/>
  <c r="R75"/>
  <c r="T75"/>
  <c r="V75"/>
  <c r="X75"/>
  <c r="Z75"/>
  <c r="A77"/>
  <c r="Q77"/>
  <c r="S77"/>
  <c r="U77"/>
  <c r="Y77"/>
  <c r="AC77"/>
  <c r="R77"/>
  <c r="T77"/>
  <c r="V77"/>
  <c r="X77"/>
  <c r="Z77"/>
  <c r="A81"/>
  <c r="Q81"/>
  <c r="S81"/>
  <c r="U81"/>
  <c r="Y81"/>
  <c r="AC81"/>
  <c r="R81"/>
  <c r="T81"/>
  <c r="V81"/>
  <c r="X81"/>
  <c r="Z81"/>
  <c r="A83"/>
  <c r="Q83"/>
  <c r="S83"/>
  <c r="U83"/>
  <c r="Y83"/>
  <c r="AC83"/>
  <c r="R83"/>
  <c r="T83"/>
  <c r="V83"/>
  <c r="X83"/>
  <c r="Z83"/>
  <c r="A85"/>
  <c r="Q85"/>
  <c r="S85"/>
  <c r="U85"/>
  <c r="Y85"/>
  <c r="AC85"/>
  <c r="R85"/>
  <c r="T85"/>
  <c r="V85"/>
  <c r="X85"/>
  <c r="Z85"/>
  <c r="A87"/>
  <c r="Q87"/>
  <c r="S87"/>
  <c r="U87"/>
  <c r="Y87"/>
  <c r="AC87"/>
  <c r="R87"/>
  <c r="T87"/>
  <c r="V87"/>
  <c r="X87"/>
  <c r="Z87"/>
  <c r="A89"/>
  <c r="Q89"/>
  <c r="S89"/>
  <c r="U89"/>
  <c r="Y89"/>
  <c r="AC89"/>
  <c r="R89"/>
  <c r="T89"/>
  <c r="V89"/>
  <c r="X89"/>
  <c r="Z89"/>
  <c r="A91"/>
  <c r="Q91"/>
  <c r="S91"/>
  <c r="U91"/>
  <c r="Y91"/>
  <c r="AC91"/>
  <c r="R91"/>
  <c r="T91"/>
  <c r="V91"/>
  <c r="X91"/>
  <c r="Z91"/>
  <c r="A93"/>
  <c r="Q93"/>
  <c r="S93"/>
  <c r="U93"/>
  <c r="Y93"/>
  <c r="AC93"/>
  <c r="R93"/>
  <c r="T93"/>
  <c r="V93"/>
  <c r="X93"/>
  <c r="Z93"/>
  <c r="A95"/>
  <c r="Q95"/>
  <c r="S95"/>
  <c r="U95"/>
  <c r="Y95"/>
  <c r="AC95"/>
  <c r="R95"/>
  <c r="T95"/>
  <c r="V95"/>
  <c r="X95"/>
  <c r="Z95"/>
  <c r="A97"/>
  <c r="Q97"/>
  <c r="S97"/>
  <c r="U97"/>
  <c r="Y97"/>
  <c r="AC97"/>
  <c r="R97"/>
  <c r="T97"/>
  <c r="V97"/>
  <c r="X97"/>
  <c r="Z97"/>
  <c r="A99"/>
  <c r="Q99"/>
  <c r="S99"/>
  <c r="U99"/>
  <c r="Y99"/>
  <c r="AC99"/>
  <c r="R99"/>
  <c r="T99"/>
  <c r="V99"/>
  <c r="X99"/>
  <c r="Z99"/>
  <c r="A101"/>
  <c r="Q101"/>
  <c r="S101"/>
  <c r="U101"/>
  <c r="Y101"/>
  <c r="AC101"/>
  <c r="R101"/>
  <c r="T101"/>
  <c r="V101"/>
  <c r="X101"/>
  <c r="Z101"/>
  <c r="A103"/>
  <c r="Q103"/>
  <c r="S103"/>
  <c r="U103"/>
  <c r="Y103"/>
  <c r="AC103"/>
  <c r="R103"/>
  <c r="T103"/>
  <c r="V103"/>
  <c r="X103"/>
  <c r="Z103"/>
  <c r="A105"/>
  <c r="Q105"/>
  <c r="S105"/>
  <c r="U105"/>
  <c r="Y105"/>
  <c r="AC105"/>
  <c r="R105"/>
  <c r="T105"/>
  <c r="V105"/>
  <c r="X105"/>
  <c r="Z105"/>
  <c r="A107"/>
  <c r="Q107"/>
  <c r="S107"/>
  <c r="U107"/>
  <c r="Y107"/>
  <c r="AC107"/>
  <c r="R107"/>
  <c r="T107"/>
  <c r="V107"/>
  <c r="X107"/>
  <c r="Z107"/>
  <c r="A109"/>
  <c r="Q109"/>
  <c r="S109"/>
  <c r="U109"/>
  <c r="Y109"/>
  <c r="AC109"/>
  <c r="R109"/>
  <c r="T109"/>
  <c r="V109"/>
  <c r="X109"/>
  <c r="Z109"/>
  <c r="A111"/>
  <c r="Q111"/>
  <c r="S111"/>
  <c r="U111"/>
  <c r="Y111"/>
  <c r="AC111"/>
  <c r="R111"/>
  <c r="T111"/>
  <c r="V111"/>
  <c r="X111"/>
  <c r="Z111"/>
  <c r="A113"/>
  <c r="Q113"/>
  <c r="S113"/>
  <c r="U113"/>
  <c r="Y113"/>
  <c r="AC113"/>
  <c r="R113"/>
  <c r="T113"/>
  <c r="V113"/>
  <c r="X113"/>
  <c r="Z113"/>
  <c r="A115"/>
  <c r="Q115"/>
  <c r="S115"/>
  <c r="U115"/>
  <c r="Y115"/>
  <c r="AC115"/>
  <c r="R115"/>
  <c r="T115"/>
  <c r="V115"/>
  <c r="X115"/>
  <c r="Z115"/>
  <c r="A117"/>
  <c r="Q117"/>
  <c r="S117"/>
  <c r="U117"/>
  <c r="Y117"/>
  <c r="AC117"/>
  <c r="R117"/>
  <c r="T117"/>
  <c r="V117"/>
  <c r="X117"/>
  <c r="Z117"/>
  <c r="A119"/>
  <c r="Q119"/>
  <c r="S119"/>
  <c r="U119"/>
  <c r="Y119"/>
  <c r="AC119"/>
  <c r="R119"/>
  <c r="T119"/>
  <c r="V119"/>
  <c r="X119"/>
  <c r="Z119"/>
  <c r="A121"/>
  <c r="Q121"/>
  <c r="S121"/>
  <c r="U121"/>
  <c r="Y121"/>
  <c r="AC121"/>
  <c r="R121"/>
  <c r="T121"/>
  <c r="V121"/>
  <c r="X121"/>
  <c r="Z121"/>
  <c r="A123"/>
  <c r="Q123"/>
  <c r="S123"/>
  <c r="U123"/>
  <c r="Y123"/>
  <c r="AC123"/>
  <c r="R123"/>
  <c r="T123"/>
  <c r="V123"/>
  <c r="X123"/>
  <c r="Z123"/>
  <c r="A125"/>
  <c r="Q125"/>
  <c r="S125"/>
  <c r="U125"/>
  <c r="Y125"/>
  <c r="AC125"/>
  <c r="R125"/>
  <c r="T125"/>
  <c r="V125"/>
  <c r="X125"/>
  <c r="Z125"/>
  <c r="A127"/>
  <c r="Q127"/>
  <c r="S127"/>
  <c r="U127"/>
  <c r="Y127"/>
  <c r="AC127"/>
  <c r="R127"/>
  <c r="T127"/>
  <c r="V127"/>
  <c r="X127"/>
  <c r="Z127"/>
  <c r="A129"/>
  <c r="Q129"/>
  <c r="S129"/>
  <c r="U129"/>
  <c r="Y129"/>
  <c r="AC129"/>
  <c r="R129"/>
  <c r="T129"/>
  <c r="V129"/>
  <c r="X129"/>
  <c r="Z129"/>
  <c r="A131"/>
  <c r="Q131"/>
  <c r="S131"/>
  <c r="U131"/>
  <c r="Y131"/>
  <c r="AC131"/>
  <c r="R131"/>
  <c r="T131"/>
  <c r="V131"/>
  <c r="X131"/>
  <c r="Z131"/>
  <c r="A133"/>
  <c r="Q133"/>
  <c r="S133"/>
  <c r="U133"/>
  <c r="Y133"/>
  <c r="AC133"/>
  <c r="R133"/>
  <c r="T133"/>
  <c r="V133"/>
  <c r="X133"/>
  <c r="Z133"/>
  <c r="A135"/>
  <c r="Q135"/>
  <c r="S135"/>
  <c r="U135"/>
  <c r="Y135"/>
  <c r="AC135"/>
  <c r="R135"/>
  <c r="T135"/>
  <c r="V135"/>
  <c r="X135"/>
  <c r="Z135"/>
  <c r="A137"/>
  <c r="Q137"/>
  <c r="S137"/>
  <c r="U137"/>
  <c r="Y137"/>
  <c r="AC137"/>
  <c r="R137"/>
  <c r="T137"/>
  <c r="V137"/>
  <c r="X137"/>
  <c r="Z137"/>
  <c r="A139"/>
  <c r="R139"/>
  <c r="T139"/>
  <c r="V139"/>
  <c r="X139"/>
  <c r="Z139"/>
  <c r="S139"/>
  <c r="AC139"/>
  <c r="Q139"/>
  <c r="U139"/>
  <c r="Y139"/>
  <c r="A141"/>
  <c r="R141"/>
  <c r="T141"/>
  <c r="V141"/>
  <c r="X141"/>
  <c r="Z141"/>
  <c r="Q141"/>
  <c r="S141"/>
  <c r="U141"/>
  <c r="Y141"/>
  <c r="AC141"/>
  <c r="A143"/>
  <c r="R143"/>
  <c r="T143"/>
  <c r="V143"/>
  <c r="X143"/>
  <c r="Z143"/>
  <c r="Q143"/>
  <c r="S143"/>
  <c r="U143"/>
  <c r="Y143"/>
  <c r="AC143"/>
  <c r="A145"/>
  <c r="R145"/>
  <c r="T145"/>
  <c r="V145"/>
  <c r="X145"/>
  <c r="Z145"/>
  <c r="Q145"/>
  <c r="S145"/>
  <c r="U145"/>
  <c r="Y145"/>
  <c r="AC145"/>
  <c r="A147"/>
  <c r="R147"/>
  <c r="T147"/>
  <c r="V147"/>
  <c r="X147"/>
  <c r="Z147"/>
  <c r="Q147"/>
  <c r="S147"/>
  <c r="U147"/>
  <c r="Y147"/>
  <c r="AC147"/>
  <c r="A149"/>
  <c r="R149"/>
  <c r="T149"/>
  <c r="V149"/>
  <c r="X149"/>
  <c r="Z149"/>
  <c r="Q149"/>
  <c r="S149"/>
  <c r="U149"/>
  <c r="Y149"/>
  <c r="AC149"/>
  <c r="A151"/>
  <c r="R151"/>
  <c r="T151"/>
  <c r="V151"/>
  <c r="X151"/>
  <c r="Z151"/>
  <c r="Q151"/>
  <c r="S151"/>
  <c r="U151"/>
  <c r="Y151"/>
  <c r="AC151"/>
  <c r="A155"/>
  <c r="R155"/>
  <c r="T155"/>
  <c r="V155"/>
  <c r="X155"/>
  <c r="Z155"/>
  <c r="Q155"/>
  <c r="S155"/>
  <c r="U155"/>
  <c r="Y155"/>
  <c r="AC155"/>
  <c r="A157"/>
  <c r="R157"/>
  <c r="T157"/>
  <c r="V157"/>
  <c r="X157"/>
  <c r="Z157"/>
  <c r="Q157"/>
  <c r="S157"/>
  <c r="U157"/>
  <c r="Y157"/>
  <c r="AC157"/>
  <c r="A163"/>
  <c r="R163"/>
  <c r="T163"/>
  <c r="V163"/>
  <c r="X163"/>
  <c r="Z163"/>
  <c r="Q163"/>
  <c r="S163"/>
  <c r="U163"/>
  <c r="Y163"/>
  <c r="AC163"/>
  <c r="A166"/>
  <c r="R166"/>
  <c r="T166"/>
  <c r="V166"/>
  <c r="X166"/>
  <c r="Z166"/>
  <c r="Q166"/>
  <c r="S166"/>
  <c r="U166"/>
  <c r="Y166"/>
  <c r="AC166"/>
  <c r="A168"/>
  <c r="R168"/>
  <c r="T168"/>
  <c r="V168"/>
  <c r="X168"/>
  <c r="Z168"/>
  <c r="Q168"/>
  <c r="S168"/>
  <c r="U168"/>
  <c r="Y168"/>
  <c r="AC168"/>
  <c r="A158"/>
  <c r="R158"/>
  <c r="T158"/>
  <c r="V158"/>
  <c r="X158"/>
  <c r="Z158"/>
  <c r="Q158"/>
  <c r="S158"/>
  <c r="U158"/>
  <c r="Y158"/>
  <c r="AC158"/>
  <c r="A170"/>
  <c r="R170"/>
  <c r="T170"/>
  <c r="V170"/>
  <c r="X170"/>
  <c r="Z170"/>
  <c r="Q170"/>
  <c r="S170"/>
  <c r="U170"/>
  <c r="Y170"/>
  <c r="AC170"/>
  <c r="A172"/>
  <c r="R172"/>
  <c r="T172"/>
  <c r="V172"/>
  <c r="X172"/>
  <c r="Z172"/>
  <c r="Q172"/>
  <c r="S172"/>
  <c r="U172"/>
  <c r="Y172"/>
  <c r="AC172"/>
  <c r="A174"/>
  <c r="R174"/>
  <c r="T174"/>
  <c r="V174"/>
  <c r="X174"/>
  <c r="Z174"/>
  <c r="Q174"/>
  <c r="S174"/>
  <c r="U174"/>
  <c r="Y174"/>
  <c r="AC174"/>
  <c r="A176"/>
  <c r="R176"/>
  <c r="T176"/>
  <c r="V176"/>
  <c r="X176"/>
  <c r="Z176"/>
  <c r="Q176"/>
  <c r="S176"/>
  <c r="U176"/>
  <c r="Y176"/>
  <c r="AC176"/>
  <c r="A178"/>
  <c r="R178"/>
  <c r="T178"/>
  <c r="V178"/>
  <c r="X178"/>
  <c r="Z178"/>
  <c r="Q178"/>
  <c r="S178"/>
  <c r="U178"/>
  <c r="Y178"/>
  <c r="AC178"/>
  <c r="A180"/>
  <c r="R180"/>
  <c r="T180"/>
  <c r="V180"/>
  <c r="X180"/>
  <c r="Z180"/>
  <c r="Q180"/>
  <c r="S180"/>
  <c r="U180"/>
  <c r="Y180"/>
  <c r="AC180"/>
  <c r="A182"/>
  <c r="R182"/>
  <c r="T182"/>
  <c r="V182"/>
  <c r="X182"/>
  <c r="Z182"/>
  <c r="Q182"/>
  <c r="S182"/>
  <c r="U182"/>
  <c r="Y182"/>
  <c r="AC182"/>
  <c r="A184"/>
  <c r="R184"/>
  <c r="T184"/>
  <c r="V184"/>
  <c r="X184"/>
  <c r="Z184"/>
  <c r="Q184"/>
  <c r="S184"/>
  <c r="U184"/>
  <c r="Y184"/>
  <c r="AC184"/>
  <c r="A186"/>
  <c r="R186"/>
  <c r="T186"/>
  <c r="V186"/>
  <c r="X186"/>
  <c r="Z186"/>
  <c r="Q186"/>
  <c r="S186"/>
  <c r="U186"/>
  <c r="Y186"/>
  <c r="AC186"/>
  <c r="A188"/>
  <c r="R188"/>
  <c r="T188"/>
  <c r="V188"/>
  <c r="X188"/>
  <c r="Z188"/>
  <c r="Q188"/>
  <c r="S188"/>
  <c r="U188"/>
  <c r="Y188"/>
  <c r="AC188"/>
  <c r="A190"/>
  <c r="R190"/>
  <c r="T190"/>
  <c r="V190"/>
  <c r="X190"/>
  <c r="Z190"/>
  <c r="Q190"/>
  <c r="S190"/>
  <c r="U190"/>
  <c r="Y190"/>
  <c r="AC190"/>
  <c r="A192"/>
  <c r="R192"/>
  <c r="T192"/>
  <c r="V192"/>
  <c r="X192"/>
  <c r="Z192"/>
  <c r="Q192"/>
  <c r="S192"/>
  <c r="U192"/>
  <c r="Y192"/>
  <c r="AC192"/>
  <c r="A194"/>
  <c r="R194"/>
  <c r="T194"/>
  <c r="V194"/>
  <c r="X194"/>
  <c r="Z194"/>
  <c r="Q194"/>
  <c r="S194"/>
  <c r="U194"/>
  <c r="Y194"/>
  <c r="AC194"/>
  <c r="A196"/>
  <c r="R196"/>
  <c r="T196"/>
  <c r="V196"/>
  <c r="X196"/>
  <c r="Z196"/>
  <c r="Q196"/>
  <c r="S196"/>
  <c r="U196"/>
  <c r="Y196"/>
  <c r="AC196"/>
  <c r="A198"/>
  <c r="R198"/>
  <c r="T198"/>
  <c r="V198"/>
  <c r="X198"/>
  <c r="Z198"/>
  <c r="Q198"/>
  <c r="S198"/>
  <c r="U198"/>
  <c r="Y198"/>
  <c r="AC198"/>
  <c r="A200"/>
  <c r="R200"/>
  <c r="T200"/>
  <c r="V200"/>
  <c r="X200"/>
  <c r="Z200"/>
  <c r="Q200"/>
  <c r="S200"/>
  <c r="U200"/>
  <c r="Y200"/>
  <c r="AC200"/>
  <c r="A202"/>
  <c r="R202"/>
  <c r="T202"/>
  <c r="V202"/>
  <c r="X202"/>
  <c r="Z202"/>
  <c r="Q202"/>
  <c r="S202"/>
  <c r="U202"/>
  <c r="Y202"/>
  <c r="AC202"/>
  <c r="A204"/>
  <c r="R204"/>
  <c r="T204"/>
  <c r="V204"/>
  <c r="X204"/>
  <c r="Z204"/>
  <c r="Q204"/>
  <c r="S204"/>
  <c r="U204"/>
  <c r="Y204"/>
  <c r="AC204"/>
  <c r="A206"/>
  <c r="R206"/>
  <c r="T206"/>
  <c r="V206"/>
  <c r="X206"/>
  <c r="Z206"/>
  <c r="Q206"/>
  <c r="S206"/>
  <c r="U206"/>
  <c r="Y206"/>
  <c r="AC206"/>
  <c r="A208"/>
  <c r="R208"/>
  <c r="T208"/>
  <c r="V208"/>
  <c r="X208"/>
  <c r="Z208"/>
  <c r="Q208"/>
  <c r="S208"/>
  <c r="U208"/>
  <c r="Y208"/>
  <c r="AC208"/>
  <c r="A213"/>
  <c r="R213"/>
  <c r="T213"/>
  <c r="V213"/>
  <c r="X213"/>
  <c r="Z213"/>
  <c r="Q213"/>
  <c r="S213"/>
  <c r="U213"/>
  <c r="Y213"/>
  <c r="AC213"/>
  <c r="A217"/>
  <c r="R217"/>
  <c r="T217"/>
  <c r="V217"/>
  <c r="X217"/>
  <c r="Z217"/>
  <c r="S217"/>
  <c r="AC217"/>
  <c r="Q217"/>
  <c r="U217"/>
  <c r="Y217"/>
  <c r="A219"/>
  <c r="R219"/>
  <c r="T219"/>
  <c r="V219"/>
  <c r="X219"/>
  <c r="Z219"/>
  <c r="S219"/>
  <c r="AC219"/>
  <c r="Q219"/>
  <c r="U219"/>
  <c r="Y219"/>
  <c r="A221"/>
  <c r="R221"/>
  <c r="T221"/>
  <c r="V221"/>
  <c r="X221"/>
  <c r="Z221"/>
  <c r="S221"/>
  <c r="AC221"/>
  <c r="Q221"/>
  <c r="U221"/>
  <c r="Y221"/>
  <c r="A223"/>
  <c r="R223"/>
  <c r="T223"/>
  <c r="V223"/>
  <c r="X223"/>
  <c r="Z223"/>
  <c r="S223"/>
  <c r="AC223"/>
  <c r="Q223"/>
  <c r="U223"/>
  <c r="Y223"/>
  <c r="A226"/>
  <c r="R226"/>
  <c r="T226"/>
  <c r="V226"/>
  <c r="X226"/>
  <c r="Z226"/>
  <c r="S226"/>
  <c r="AC226"/>
  <c r="Q226"/>
  <c r="U226"/>
  <c r="Y226"/>
  <c r="A229"/>
  <c r="R229"/>
  <c r="T229"/>
  <c r="V229"/>
  <c r="X229"/>
  <c r="Z229"/>
  <c r="S229"/>
  <c r="AC229"/>
  <c r="Q229"/>
  <c r="U229"/>
  <c r="Y229"/>
  <c r="A231"/>
  <c r="Q231"/>
  <c r="S231"/>
  <c r="U231"/>
  <c r="Y231"/>
  <c r="AC231"/>
  <c r="R231"/>
  <c r="T231"/>
  <c r="V231"/>
  <c r="X231"/>
  <c r="Z231"/>
  <c r="A233"/>
  <c r="Q233"/>
  <c r="S233"/>
  <c r="U233"/>
  <c r="Y233"/>
  <c r="AC233"/>
  <c r="R233"/>
  <c r="T233"/>
  <c r="V233"/>
  <c r="X233"/>
  <c r="Z233"/>
  <c r="A235"/>
  <c r="Q235"/>
  <c r="S235"/>
  <c r="U235"/>
  <c r="Y235"/>
  <c r="AC235"/>
  <c r="R235"/>
  <c r="T235"/>
  <c r="V235"/>
  <c r="X235"/>
  <c r="Z235"/>
  <c r="A237"/>
  <c r="Q237"/>
  <c r="S237"/>
  <c r="U237"/>
  <c r="Y237"/>
  <c r="AC237"/>
  <c r="R237"/>
  <c r="T237"/>
  <c r="V237"/>
  <c r="X237"/>
  <c r="Z237"/>
  <c r="A239"/>
  <c r="Q239"/>
  <c r="S239"/>
  <c r="U239"/>
  <c r="Y239"/>
  <c r="AC239"/>
  <c r="R239"/>
  <c r="T239"/>
  <c r="V239"/>
  <c r="X239"/>
  <c r="Z239"/>
  <c r="A259"/>
  <c r="Q259"/>
  <c r="S259"/>
  <c r="U259"/>
  <c r="Y259"/>
  <c r="AC259"/>
  <c r="R259"/>
  <c r="T259"/>
  <c r="V259"/>
  <c r="X259"/>
  <c r="Z259"/>
  <c r="A264"/>
  <c r="Q264"/>
  <c r="S264"/>
  <c r="U264"/>
  <c r="Y264"/>
  <c r="AC264"/>
  <c r="R264"/>
  <c r="T264"/>
  <c r="V264"/>
  <c r="X264"/>
  <c r="Z264"/>
  <c r="A244"/>
  <c r="Q244"/>
  <c r="S244"/>
  <c r="U244"/>
  <c r="Y244"/>
  <c r="AC244"/>
  <c r="R244"/>
  <c r="T244"/>
  <c r="V244"/>
  <c r="X244"/>
  <c r="Z244"/>
  <c r="A250"/>
  <c r="Q250"/>
  <c r="S250"/>
  <c r="U250"/>
  <c r="Y250"/>
  <c r="AC250"/>
  <c r="R250"/>
  <c r="T250"/>
  <c r="V250"/>
  <c r="X250"/>
  <c r="Z250"/>
  <c r="A252"/>
  <c r="Q252"/>
  <c r="S252"/>
  <c r="U252"/>
  <c r="Y252"/>
  <c r="AC252"/>
  <c r="R252"/>
  <c r="T252"/>
  <c r="V252"/>
  <c r="X252"/>
  <c r="Z252"/>
  <c r="A254"/>
  <c r="Q254"/>
  <c r="S254"/>
  <c r="U254"/>
  <c r="Y254"/>
  <c r="AC254"/>
  <c r="R254"/>
  <c r="T254"/>
  <c r="V254"/>
  <c r="X254"/>
  <c r="Z254"/>
  <c r="A256"/>
  <c r="Q256"/>
  <c r="S256"/>
  <c r="U256"/>
  <c r="Y256"/>
  <c r="AC256"/>
  <c r="R256"/>
  <c r="T256"/>
  <c r="V256"/>
  <c r="X256"/>
  <c r="Z256"/>
  <c r="A268"/>
  <c r="Q268"/>
  <c r="S268"/>
  <c r="U268"/>
  <c r="Y268"/>
  <c r="AC268"/>
  <c r="R268"/>
  <c r="T268"/>
  <c r="V268"/>
  <c r="X268"/>
  <c r="Z268"/>
  <c r="A270"/>
  <c r="Q270"/>
  <c r="S270"/>
  <c r="U270"/>
  <c r="Y270"/>
  <c r="AC270"/>
  <c r="R270"/>
  <c r="T270"/>
  <c r="V270"/>
  <c r="X270"/>
  <c r="Z270"/>
  <c r="A272"/>
  <c r="Q272"/>
  <c r="S272"/>
  <c r="U272"/>
  <c r="Y272"/>
  <c r="AC272"/>
  <c r="R272"/>
  <c r="T272"/>
  <c r="V272"/>
  <c r="X272"/>
  <c r="Z272"/>
  <c r="A276"/>
  <c r="Q276"/>
  <c r="S276"/>
  <c r="U276"/>
  <c r="Y276"/>
  <c r="AC276"/>
  <c r="R276"/>
  <c r="T276"/>
  <c r="V276"/>
  <c r="X276"/>
  <c r="Z276"/>
  <c r="A300"/>
  <c r="Q300"/>
  <c r="S300"/>
  <c r="U300"/>
  <c r="Y300"/>
  <c r="AC300"/>
  <c r="R300"/>
  <c r="T300"/>
  <c r="V300"/>
  <c r="X300"/>
  <c r="Z300"/>
  <c r="A306"/>
  <c r="Q306"/>
  <c r="S306"/>
  <c r="U306"/>
  <c r="Y306"/>
  <c r="AC306"/>
  <c r="R306"/>
  <c r="T306"/>
  <c r="V306"/>
  <c r="X306"/>
  <c r="Z306"/>
  <c r="A325"/>
  <c r="Q325"/>
  <c r="S325"/>
  <c r="U325"/>
  <c r="Y325"/>
  <c r="AC325"/>
  <c r="R325"/>
  <c r="T325"/>
  <c r="V325"/>
  <c r="X325"/>
  <c r="Z325"/>
  <c r="A302"/>
  <c r="Q302"/>
  <c r="S302"/>
  <c r="U302"/>
  <c r="Y302"/>
  <c r="AC302"/>
  <c r="R302"/>
  <c r="T302"/>
  <c r="V302"/>
  <c r="X302"/>
  <c r="Z302"/>
  <c r="A326"/>
  <c r="Q326"/>
  <c r="S326"/>
  <c r="U326"/>
  <c r="Y326"/>
  <c r="AC326"/>
  <c r="R326"/>
  <c r="T326"/>
  <c r="V326"/>
  <c r="X326"/>
  <c r="Z326"/>
  <c r="R21"/>
  <c r="T21"/>
  <c r="V21"/>
  <c r="X21"/>
  <c r="Z21"/>
  <c r="A21"/>
  <c r="Q21"/>
  <c r="S21"/>
  <c r="U21"/>
  <c r="Y21"/>
  <c r="AC21"/>
  <c r="R25"/>
  <c r="T25"/>
  <c r="V25"/>
  <c r="X25"/>
  <c r="Z25"/>
  <c r="A25"/>
  <c r="Q25"/>
  <c r="S25"/>
  <c r="U25"/>
  <c r="Y25"/>
  <c r="AC25"/>
  <c r="R29"/>
  <c r="T29"/>
  <c r="V29"/>
  <c r="X29"/>
  <c r="Z29"/>
  <c r="A29"/>
  <c r="Q29"/>
  <c r="S29"/>
  <c r="U29"/>
  <c r="Y29"/>
  <c r="AC29"/>
  <c r="R33"/>
  <c r="T33"/>
  <c r="V33"/>
  <c r="X33"/>
  <c r="Z33"/>
  <c r="A33"/>
  <c r="Q33"/>
  <c r="S33"/>
  <c r="U33"/>
  <c r="Y33"/>
  <c r="AC33"/>
  <c r="A37"/>
  <c r="Q37"/>
  <c r="S37"/>
  <c r="U37"/>
  <c r="Y37"/>
  <c r="AC37"/>
  <c r="R37"/>
  <c r="V37"/>
  <c r="X37"/>
  <c r="T37"/>
  <c r="Z37"/>
  <c r="A39"/>
  <c r="Q39"/>
  <c r="S39"/>
  <c r="U39"/>
  <c r="Y39"/>
  <c r="AC39"/>
  <c r="R39"/>
  <c r="T39"/>
  <c r="V39"/>
  <c r="X39"/>
  <c r="Z39"/>
  <c r="A43"/>
  <c r="Q43"/>
  <c r="S43"/>
  <c r="U43"/>
  <c r="Y43"/>
  <c r="AC43"/>
  <c r="R43"/>
  <c r="T43"/>
  <c r="V43"/>
  <c r="X43"/>
  <c r="Z43"/>
  <c r="A47"/>
  <c r="Q47"/>
  <c r="S47"/>
  <c r="U47"/>
  <c r="Y47"/>
  <c r="AC47"/>
  <c r="R47"/>
  <c r="T47"/>
  <c r="V47"/>
  <c r="X47"/>
  <c r="Z47"/>
  <c r="A51"/>
  <c r="Q51"/>
  <c r="S51"/>
  <c r="U51"/>
  <c r="Y51"/>
  <c r="AC51"/>
  <c r="R51"/>
  <c r="T51"/>
  <c r="V51"/>
  <c r="X51"/>
  <c r="Z51"/>
  <c r="A57"/>
  <c r="Q57"/>
  <c r="S57"/>
  <c r="U57"/>
  <c r="Y57"/>
  <c r="AC57"/>
  <c r="R57"/>
  <c r="T57"/>
  <c r="V57"/>
  <c r="X57"/>
  <c r="Z57"/>
  <c r="A61"/>
  <c r="Q61"/>
  <c r="S61"/>
  <c r="U61"/>
  <c r="Y61"/>
  <c r="AC61"/>
  <c r="R61"/>
  <c r="T61"/>
  <c r="V61"/>
  <c r="X61"/>
  <c r="Z61"/>
  <c r="A79"/>
  <c r="Q79"/>
  <c r="S79"/>
  <c r="U79"/>
  <c r="Y79"/>
  <c r="AC79"/>
  <c r="R79"/>
  <c r="T79"/>
  <c r="V79"/>
  <c r="X79"/>
  <c r="Z79"/>
  <c r="A317"/>
  <c r="Q317"/>
  <c r="S317"/>
  <c r="U317"/>
  <c r="Y317"/>
  <c r="AC317"/>
  <c r="R317"/>
  <c r="T317"/>
  <c r="V317"/>
  <c r="X317"/>
  <c r="Z317"/>
  <c r="AC17"/>
  <c r="A17"/>
  <c r="A18"/>
  <c r="R18"/>
  <c r="T18"/>
  <c r="V18"/>
  <c r="X18"/>
  <c r="Z18"/>
  <c r="Q18"/>
  <c r="S18"/>
  <c r="U18"/>
  <c r="Y18"/>
  <c r="AC18"/>
  <c r="A20"/>
  <c r="R20"/>
  <c r="T20"/>
  <c r="V20"/>
  <c r="X20"/>
  <c r="Z20"/>
  <c r="Q20"/>
  <c r="S20"/>
  <c r="U20"/>
  <c r="Y20"/>
  <c r="AC20"/>
  <c r="A22"/>
  <c r="R22"/>
  <c r="T22"/>
  <c r="V22"/>
  <c r="X22"/>
  <c r="Z22"/>
  <c r="Q22"/>
  <c r="S22"/>
  <c r="U22"/>
  <c r="Y22"/>
  <c r="AC22"/>
  <c r="A24"/>
  <c r="R24"/>
  <c r="T24"/>
  <c r="V24"/>
  <c r="X24"/>
  <c r="Z24"/>
  <c r="Q24"/>
  <c r="S24"/>
  <c r="U24"/>
  <c r="Y24"/>
  <c r="AC24"/>
  <c r="A26"/>
  <c r="R26"/>
  <c r="T26"/>
  <c r="V26"/>
  <c r="X26"/>
  <c r="Z26"/>
  <c r="Q26"/>
  <c r="S26"/>
  <c r="U26"/>
  <c r="Y26"/>
  <c r="AC26"/>
  <c r="A28"/>
  <c r="R28"/>
  <c r="T28"/>
  <c r="V28"/>
  <c r="X28"/>
  <c r="Z28"/>
  <c r="Q28"/>
  <c r="S28"/>
  <c r="U28"/>
  <c r="Y28"/>
  <c r="AC28"/>
  <c r="A30"/>
  <c r="R30"/>
  <c r="T30"/>
  <c r="V30"/>
  <c r="X30"/>
  <c r="Z30"/>
  <c r="Q30"/>
  <c r="S30"/>
  <c r="U30"/>
  <c r="Y30"/>
  <c r="AC30"/>
  <c r="A32"/>
  <c r="R32"/>
  <c r="T32"/>
  <c r="V32"/>
  <c r="X32"/>
  <c r="Z32"/>
  <c r="Q32"/>
  <c r="S32"/>
  <c r="U32"/>
  <c r="Y32"/>
  <c r="AC32"/>
  <c r="A34"/>
  <c r="R34"/>
  <c r="T34"/>
  <c r="V34"/>
  <c r="X34"/>
  <c r="Z34"/>
  <c r="Q34"/>
  <c r="S34"/>
  <c r="U34"/>
  <c r="Y34"/>
  <c r="AC34"/>
  <c r="A36"/>
  <c r="R36"/>
  <c r="T36"/>
  <c r="V36"/>
  <c r="X36"/>
  <c r="Z36"/>
  <c r="Q36"/>
  <c r="S36"/>
  <c r="U36"/>
  <c r="Y36"/>
  <c r="AC36"/>
  <c r="A38"/>
  <c r="Q38"/>
  <c r="S38"/>
  <c r="U38"/>
  <c r="T38"/>
  <c r="Y38"/>
  <c r="AC38"/>
  <c r="R38"/>
  <c r="V38"/>
  <c r="X38"/>
  <c r="Z38"/>
  <c r="A40"/>
  <c r="Q40"/>
  <c r="S40"/>
  <c r="U40"/>
  <c r="Y40"/>
  <c r="AC40"/>
  <c r="R40"/>
  <c r="T40"/>
  <c r="V40"/>
  <c r="X40"/>
  <c r="Z40"/>
  <c r="A42"/>
  <c r="Q42"/>
  <c r="S42"/>
  <c r="U42"/>
  <c r="Y42"/>
  <c r="AC42"/>
  <c r="R42"/>
  <c r="T42"/>
  <c r="V42"/>
  <c r="X42"/>
  <c r="Z42"/>
  <c r="A44"/>
  <c r="Q44"/>
  <c r="S44"/>
  <c r="U44"/>
  <c r="Y44"/>
  <c r="AC44"/>
  <c r="R44"/>
  <c r="T44"/>
  <c r="V44"/>
  <c r="X44"/>
  <c r="Z44"/>
  <c r="A46"/>
  <c r="Q46"/>
  <c r="S46"/>
  <c r="U46"/>
  <c r="Y46"/>
  <c r="AC46"/>
  <c r="R46"/>
  <c r="T46"/>
  <c r="V46"/>
  <c r="X46"/>
  <c r="Z46"/>
  <c r="A48"/>
  <c r="Q48"/>
  <c r="S48"/>
  <c r="U48"/>
  <c r="Y48"/>
  <c r="AC48"/>
  <c r="R48"/>
  <c r="T48"/>
  <c r="V48"/>
  <c r="X48"/>
  <c r="Z48"/>
  <c r="A50"/>
  <c r="Q50"/>
  <c r="S50"/>
  <c r="U50"/>
  <c r="Y50"/>
  <c r="AC50"/>
  <c r="R50"/>
  <c r="T50"/>
  <c r="V50"/>
  <c r="X50"/>
  <c r="Z50"/>
  <c r="A52"/>
  <c r="Q52"/>
  <c r="S52"/>
  <c r="U52"/>
  <c r="Y52"/>
  <c r="AC52"/>
  <c r="R52"/>
  <c r="T52"/>
  <c r="V52"/>
  <c r="X52"/>
  <c r="Z52"/>
  <c r="A54"/>
  <c r="Q54"/>
  <c r="S54"/>
  <c r="U54"/>
  <c r="Y54"/>
  <c r="AC54"/>
  <c r="R54"/>
  <c r="T54"/>
  <c r="V54"/>
  <c r="X54"/>
  <c r="Z54"/>
  <c r="A56"/>
  <c r="Q56"/>
  <c r="S56"/>
  <c r="U56"/>
  <c r="Y56"/>
  <c r="AC56"/>
  <c r="R56"/>
  <c r="T56"/>
  <c r="V56"/>
  <c r="X56"/>
  <c r="Z56"/>
  <c r="A58"/>
  <c r="Q58"/>
  <c r="S58"/>
  <c r="U58"/>
  <c r="Y58"/>
  <c r="AC58"/>
  <c r="R58"/>
  <c r="T58"/>
  <c r="V58"/>
  <c r="X58"/>
  <c r="Z58"/>
  <c r="A60"/>
  <c r="Q60"/>
  <c r="S60"/>
  <c r="U60"/>
  <c r="Y60"/>
  <c r="AC60"/>
  <c r="R60"/>
  <c r="T60"/>
  <c r="V60"/>
  <c r="X60"/>
  <c r="Z60"/>
  <c r="A62"/>
  <c r="Q62"/>
  <c r="S62"/>
  <c r="U62"/>
  <c r="Y62"/>
  <c r="AC62"/>
  <c r="R62"/>
  <c r="T62"/>
  <c r="V62"/>
  <c r="X62"/>
  <c r="Z62"/>
  <c r="A64"/>
  <c r="Q64"/>
  <c r="S64"/>
  <c r="U64"/>
  <c r="Y64"/>
  <c r="AC64"/>
  <c r="R64"/>
  <c r="T64"/>
  <c r="V64"/>
  <c r="X64"/>
  <c r="Z64"/>
  <c r="A66"/>
  <c r="Q66"/>
  <c r="S66"/>
  <c r="U66"/>
  <c r="Y66"/>
  <c r="AC66"/>
  <c r="R66"/>
  <c r="T66"/>
  <c r="V66"/>
  <c r="X66"/>
  <c r="Z66"/>
  <c r="A68"/>
  <c r="Q68"/>
  <c r="S68"/>
  <c r="U68"/>
  <c r="Y68"/>
  <c r="AC68"/>
  <c r="R68"/>
  <c r="T68"/>
  <c r="V68"/>
  <c r="X68"/>
  <c r="Z68"/>
  <c r="A70"/>
  <c r="Q70"/>
  <c r="S70"/>
  <c r="U70"/>
  <c r="Y70"/>
  <c r="AC70"/>
  <c r="R70"/>
  <c r="T70"/>
  <c r="V70"/>
  <c r="X70"/>
  <c r="Z70"/>
  <c r="A72"/>
  <c r="Q72"/>
  <c r="S72"/>
  <c r="U72"/>
  <c r="Y72"/>
  <c r="AC72"/>
  <c r="R72"/>
  <c r="T72"/>
  <c r="V72"/>
  <c r="X72"/>
  <c r="Z72"/>
  <c r="A74"/>
  <c r="Q74"/>
  <c r="S74"/>
  <c r="U74"/>
  <c r="Y74"/>
  <c r="AC74"/>
  <c r="R74"/>
  <c r="T74"/>
  <c r="V74"/>
  <c r="X74"/>
  <c r="Z74"/>
  <c r="A76"/>
  <c r="Q76"/>
  <c r="S76"/>
  <c r="U76"/>
  <c r="Y76"/>
  <c r="AC76"/>
  <c r="R76"/>
  <c r="T76"/>
  <c r="V76"/>
  <c r="X76"/>
  <c r="Z76"/>
  <c r="A78"/>
  <c r="Q78"/>
  <c r="S78"/>
  <c r="U78"/>
  <c r="Y78"/>
  <c r="AC78"/>
  <c r="R78"/>
  <c r="T78"/>
  <c r="V78"/>
  <c r="X78"/>
  <c r="Z78"/>
  <c r="A80"/>
  <c r="Q80"/>
  <c r="S80"/>
  <c r="U80"/>
  <c r="Y80"/>
  <c r="AC80"/>
  <c r="R80"/>
  <c r="T80"/>
  <c r="V80"/>
  <c r="X80"/>
  <c r="Z80"/>
  <c r="A82"/>
  <c r="Q82"/>
  <c r="S82"/>
  <c r="U82"/>
  <c r="Y82"/>
  <c r="AC82"/>
  <c r="R82"/>
  <c r="T82"/>
  <c r="V82"/>
  <c r="X82"/>
  <c r="Z82"/>
  <c r="A84"/>
  <c r="Q84"/>
  <c r="S84"/>
  <c r="U84"/>
  <c r="Y84"/>
  <c r="AC84"/>
  <c r="R84"/>
  <c r="T84"/>
  <c r="V84"/>
  <c r="X84"/>
  <c r="Z84"/>
  <c r="A86"/>
  <c r="Q86"/>
  <c r="S86"/>
  <c r="U86"/>
  <c r="Y86"/>
  <c r="AC86"/>
  <c r="R86"/>
  <c r="T86"/>
  <c r="V86"/>
  <c r="X86"/>
  <c r="Z86"/>
  <c r="A88"/>
  <c r="Q88"/>
  <c r="S88"/>
  <c r="U88"/>
  <c r="Y88"/>
  <c r="AC88"/>
  <c r="R88"/>
  <c r="T88"/>
  <c r="V88"/>
  <c r="X88"/>
  <c r="Z88"/>
  <c r="A90"/>
  <c r="Q90"/>
  <c r="S90"/>
  <c r="U90"/>
  <c r="Y90"/>
  <c r="AC90"/>
  <c r="R90"/>
  <c r="T90"/>
  <c r="V90"/>
  <c r="X90"/>
  <c r="Z90"/>
  <c r="A92"/>
  <c r="Q92"/>
  <c r="S92"/>
  <c r="U92"/>
  <c r="Y92"/>
  <c r="AC92"/>
  <c r="R92"/>
  <c r="T92"/>
  <c r="V92"/>
  <c r="X92"/>
  <c r="Z92"/>
  <c r="A94"/>
  <c r="Q94"/>
  <c r="S94"/>
  <c r="U94"/>
  <c r="Y94"/>
  <c r="AC94"/>
  <c r="R94"/>
  <c r="T94"/>
  <c r="V94"/>
  <c r="X94"/>
  <c r="Z94"/>
  <c r="A96"/>
  <c r="Q96"/>
  <c r="S96"/>
  <c r="U96"/>
  <c r="Y96"/>
  <c r="AC96"/>
  <c r="R96"/>
  <c r="T96"/>
  <c r="V96"/>
  <c r="X96"/>
  <c r="Z96"/>
  <c r="A98"/>
  <c r="Q98"/>
  <c r="S98"/>
  <c r="U98"/>
  <c r="Y98"/>
  <c r="AC98"/>
  <c r="R98"/>
  <c r="T98"/>
  <c r="V98"/>
  <c r="X98"/>
  <c r="Z98"/>
  <c r="A100"/>
  <c r="Q100"/>
  <c r="S100"/>
  <c r="U100"/>
  <c r="Y100"/>
  <c r="AC100"/>
  <c r="R100"/>
  <c r="T100"/>
  <c r="V100"/>
  <c r="X100"/>
  <c r="Z100"/>
  <c r="A102"/>
  <c r="Q102"/>
  <c r="S102"/>
  <c r="U102"/>
  <c r="Y102"/>
  <c r="AC102"/>
  <c r="R102"/>
  <c r="T102"/>
  <c r="V102"/>
  <c r="X102"/>
  <c r="Z102"/>
  <c r="A104"/>
  <c r="Q104"/>
  <c r="S104"/>
  <c r="U104"/>
  <c r="Y104"/>
  <c r="AC104"/>
  <c r="R104"/>
  <c r="T104"/>
  <c r="V104"/>
  <c r="X104"/>
  <c r="Z104"/>
  <c r="A106"/>
  <c r="Q106"/>
  <c r="S106"/>
  <c r="U106"/>
  <c r="Y106"/>
  <c r="AC106"/>
  <c r="R106"/>
  <c r="T106"/>
  <c r="V106"/>
  <c r="X106"/>
  <c r="Z106"/>
  <c r="A108"/>
  <c r="Q108"/>
  <c r="S108"/>
  <c r="U108"/>
  <c r="Y108"/>
  <c r="AC108"/>
  <c r="R108"/>
  <c r="T108"/>
  <c r="V108"/>
  <c r="X108"/>
  <c r="Z108"/>
  <c r="A110"/>
  <c r="Q110"/>
  <c r="S110"/>
  <c r="U110"/>
  <c r="Y110"/>
  <c r="AC110"/>
  <c r="R110"/>
  <c r="T110"/>
  <c r="V110"/>
  <c r="X110"/>
  <c r="Z110"/>
  <c r="A112"/>
  <c r="Q112"/>
  <c r="S112"/>
  <c r="U112"/>
  <c r="Y112"/>
  <c r="AC112"/>
  <c r="R112"/>
  <c r="T112"/>
  <c r="V112"/>
  <c r="X112"/>
  <c r="Z112"/>
  <c r="A114"/>
  <c r="Q114"/>
  <c r="S114"/>
  <c r="U114"/>
  <c r="Y114"/>
  <c r="AC114"/>
  <c r="R114"/>
  <c r="T114"/>
  <c r="V114"/>
  <c r="X114"/>
  <c r="Z114"/>
  <c r="A116"/>
  <c r="Q116"/>
  <c r="S116"/>
  <c r="U116"/>
  <c r="Y116"/>
  <c r="AC116"/>
  <c r="R116"/>
  <c r="T116"/>
  <c r="V116"/>
  <c r="X116"/>
  <c r="Z116"/>
  <c r="A118"/>
  <c r="Q118"/>
  <c r="S118"/>
  <c r="U118"/>
  <c r="Y118"/>
  <c r="AC118"/>
  <c r="R118"/>
  <c r="T118"/>
  <c r="V118"/>
  <c r="X118"/>
  <c r="Z118"/>
  <c r="A120"/>
  <c r="Q120"/>
  <c r="S120"/>
  <c r="U120"/>
  <c r="Y120"/>
  <c r="AC120"/>
  <c r="R120"/>
  <c r="T120"/>
  <c r="V120"/>
  <c r="X120"/>
  <c r="Z120"/>
  <c r="A122"/>
  <c r="Q122"/>
  <c r="S122"/>
  <c r="U122"/>
  <c r="Y122"/>
  <c r="AC122"/>
  <c r="R122"/>
  <c r="T122"/>
  <c r="V122"/>
  <c r="X122"/>
  <c r="Z122"/>
  <c r="A124"/>
  <c r="Q124"/>
  <c r="S124"/>
  <c r="U124"/>
  <c r="Y124"/>
  <c r="AC124"/>
  <c r="R124"/>
  <c r="T124"/>
  <c r="V124"/>
  <c r="X124"/>
  <c r="Z124"/>
  <c r="A126"/>
  <c r="Q126"/>
  <c r="S126"/>
  <c r="U126"/>
  <c r="Y126"/>
  <c r="AC126"/>
  <c r="R126"/>
  <c r="T126"/>
  <c r="V126"/>
  <c r="X126"/>
  <c r="Z126"/>
  <c r="A128"/>
  <c r="Q128"/>
  <c r="S128"/>
  <c r="U128"/>
  <c r="Y128"/>
  <c r="AC128"/>
  <c r="R128"/>
  <c r="T128"/>
  <c r="V128"/>
  <c r="X128"/>
  <c r="Z128"/>
  <c r="A130"/>
  <c r="Q130"/>
  <c r="S130"/>
  <c r="U130"/>
  <c r="Y130"/>
  <c r="AC130"/>
  <c r="R130"/>
  <c r="T130"/>
  <c r="V130"/>
  <c r="X130"/>
  <c r="Z130"/>
  <c r="A132"/>
  <c r="Q132"/>
  <c r="S132"/>
  <c r="U132"/>
  <c r="Y132"/>
  <c r="AC132"/>
  <c r="R132"/>
  <c r="T132"/>
  <c r="V132"/>
  <c r="X132"/>
  <c r="Z132"/>
  <c r="A134"/>
  <c r="Q134"/>
  <c r="S134"/>
  <c r="U134"/>
  <c r="Y134"/>
  <c r="AC134"/>
  <c r="R134"/>
  <c r="T134"/>
  <c r="V134"/>
  <c r="X134"/>
  <c r="Z134"/>
  <c r="A136"/>
  <c r="Q136"/>
  <c r="S136"/>
  <c r="U136"/>
  <c r="Y136"/>
  <c r="AC136"/>
  <c r="R136"/>
  <c r="T136"/>
  <c r="V136"/>
  <c r="X136"/>
  <c r="Z136"/>
  <c r="A138"/>
  <c r="R138"/>
  <c r="T138"/>
  <c r="V138"/>
  <c r="X138"/>
  <c r="Z138"/>
  <c r="Q138"/>
  <c r="U138"/>
  <c r="Y138"/>
  <c r="S138"/>
  <c r="AC138"/>
  <c r="A140"/>
  <c r="R140"/>
  <c r="Q140"/>
  <c r="T140"/>
  <c r="V140"/>
  <c r="X140"/>
  <c r="Z140"/>
  <c r="S140"/>
  <c r="U140"/>
  <c r="Y140"/>
  <c r="AC140"/>
  <c r="A142"/>
  <c r="R142"/>
  <c r="T142"/>
  <c r="V142"/>
  <c r="X142"/>
  <c r="Z142"/>
  <c r="Q142"/>
  <c r="S142"/>
  <c r="U142"/>
  <c r="Y142"/>
  <c r="AC142"/>
  <c r="A144"/>
  <c r="R144"/>
  <c r="T144"/>
  <c r="V144"/>
  <c r="X144"/>
  <c r="Z144"/>
  <c r="Q144"/>
  <c r="S144"/>
  <c r="U144"/>
  <c r="Y144"/>
  <c r="AC144"/>
  <c r="A146"/>
  <c r="R146"/>
  <c r="T146"/>
  <c r="V146"/>
  <c r="X146"/>
  <c r="Z146"/>
  <c r="Q146"/>
  <c r="S146"/>
  <c r="U146"/>
  <c r="Y146"/>
  <c r="AC146"/>
  <c r="A148"/>
  <c r="R148"/>
  <c r="T148"/>
  <c r="V148"/>
  <c r="X148"/>
  <c r="Z148"/>
  <c r="Q148"/>
  <c r="S148"/>
  <c r="U148"/>
  <c r="Y148"/>
  <c r="AC148"/>
  <c r="A150"/>
  <c r="R150"/>
  <c r="T150"/>
  <c r="V150"/>
  <c r="X150"/>
  <c r="Z150"/>
  <c r="Q150"/>
  <c r="S150"/>
  <c r="U150"/>
  <c r="Y150"/>
  <c r="AC150"/>
  <c r="A154"/>
  <c r="R154"/>
  <c r="T154"/>
  <c r="V154"/>
  <c r="X154"/>
  <c r="Z154"/>
  <c r="Q154"/>
  <c r="S154"/>
  <c r="U154"/>
  <c r="Y154"/>
  <c r="AC154"/>
  <c r="A156"/>
  <c r="R156"/>
  <c r="T156"/>
  <c r="V156"/>
  <c r="X156"/>
  <c r="Z156"/>
  <c r="Q156"/>
  <c r="S156"/>
  <c r="U156"/>
  <c r="Y156"/>
  <c r="AC156"/>
  <c r="A162"/>
  <c r="R162"/>
  <c r="T162"/>
  <c r="V162"/>
  <c r="X162"/>
  <c r="Z162"/>
  <c r="Q162"/>
  <c r="S162"/>
  <c r="U162"/>
  <c r="Y162"/>
  <c r="AC162"/>
  <c r="A164"/>
  <c r="R164"/>
  <c r="T164"/>
  <c r="V164"/>
  <c r="X164"/>
  <c r="Z164"/>
  <c r="Q164"/>
  <c r="S164"/>
  <c r="U164"/>
  <c r="Y164"/>
  <c r="AC164"/>
  <c r="A167"/>
  <c r="R167"/>
  <c r="T167"/>
  <c r="V167"/>
  <c r="X167"/>
  <c r="Z167"/>
  <c r="Q167"/>
  <c r="S167"/>
  <c r="U167"/>
  <c r="Y167"/>
  <c r="AC167"/>
  <c r="A169"/>
  <c r="R169"/>
  <c r="T169"/>
  <c r="V169"/>
  <c r="X169"/>
  <c r="Z169"/>
  <c r="Q169"/>
  <c r="S169"/>
  <c r="U169"/>
  <c r="Y169"/>
  <c r="AC169"/>
  <c r="A159"/>
  <c r="R159"/>
  <c r="T159"/>
  <c r="V159"/>
  <c r="X159"/>
  <c r="Z159"/>
  <c r="Q159"/>
  <c r="S159"/>
  <c r="U159"/>
  <c r="Y159"/>
  <c r="AC159"/>
  <c r="A171"/>
  <c r="R171"/>
  <c r="T171"/>
  <c r="V171"/>
  <c r="X171"/>
  <c r="Z171"/>
  <c r="Q171"/>
  <c r="S171"/>
  <c r="U171"/>
  <c r="Y171"/>
  <c r="AC171"/>
  <c r="A173"/>
  <c r="R173"/>
  <c r="T173"/>
  <c r="V173"/>
  <c r="X173"/>
  <c r="Z173"/>
  <c r="Q173"/>
  <c r="S173"/>
  <c r="U173"/>
  <c r="Y173"/>
  <c r="AC173"/>
  <c r="A175"/>
  <c r="R175"/>
  <c r="T175"/>
  <c r="V175"/>
  <c r="X175"/>
  <c r="Z175"/>
  <c r="Q175"/>
  <c r="S175"/>
  <c r="U175"/>
  <c r="Y175"/>
  <c r="AC175"/>
  <c r="A177"/>
  <c r="R177"/>
  <c r="T177"/>
  <c r="V177"/>
  <c r="X177"/>
  <c r="Z177"/>
  <c r="Q177"/>
  <c r="S177"/>
  <c r="U177"/>
  <c r="Y177"/>
  <c r="AC177"/>
  <c r="A179"/>
  <c r="R179"/>
  <c r="T179"/>
  <c r="V179"/>
  <c r="X179"/>
  <c r="Z179"/>
  <c r="Q179"/>
  <c r="S179"/>
  <c r="U179"/>
  <c r="Y179"/>
  <c r="AC179"/>
  <c r="A181"/>
  <c r="R181"/>
  <c r="T181"/>
  <c r="V181"/>
  <c r="X181"/>
  <c r="Z181"/>
  <c r="Q181"/>
  <c r="S181"/>
  <c r="U181"/>
  <c r="Y181"/>
  <c r="AC181"/>
  <c r="A183"/>
  <c r="R183"/>
  <c r="T183"/>
  <c r="V183"/>
  <c r="X183"/>
  <c r="Z183"/>
  <c r="Q183"/>
  <c r="S183"/>
  <c r="U183"/>
  <c r="Y183"/>
  <c r="AC183"/>
  <c r="A185"/>
  <c r="R185"/>
  <c r="T185"/>
  <c r="V185"/>
  <c r="X185"/>
  <c r="Z185"/>
  <c r="Q185"/>
  <c r="S185"/>
  <c r="U185"/>
  <c r="Y185"/>
  <c r="AC185"/>
  <c r="A187"/>
  <c r="R187"/>
  <c r="T187"/>
  <c r="V187"/>
  <c r="X187"/>
  <c r="Z187"/>
  <c r="Q187"/>
  <c r="S187"/>
  <c r="U187"/>
  <c r="Y187"/>
  <c r="AC187"/>
  <c r="A189"/>
  <c r="R189"/>
  <c r="T189"/>
  <c r="V189"/>
  <c r="X189"/>
  <c r="Z189"/>
  <c r="Q189"/>
  <c r="S189"/>
  <c r="U189"/>
  <c r="Y189"/>
  <c r="AC189"/>
  <c r="A191"/>
  <c r="R191"/>
  <c r="T191"/>
  <c r="V191"/>
  <c r="X191"/>
  <c r="Z191"/>
  <c r="Q191"/>
  <c r="S191"/>
  <c r="U191"/>
  <c r="Y191"/>
  <c r="AC191"/>
  <c r="A193"/>
  <c r="R193"/>
  <c r="T193"/>
  <c r="V193"/>
  <c r="X193"/>
  <c r="Z193"/>
  <c r="Q193"/>
  <c r="S193"/>
  <c r="U193"/>
  <c r="Y193"/>
  <c r="AC193"/>
  <c r="A195"/>
  <c r="R195"/>
  <c r="T195"/>
  <c r="V195"/>
  <c r="X195"/>
  <c r="Z195"/>
  <c r="Q195"/>
  <c r="S195"/>
  <c r="U195"/>
  <c r="Y195"/>
  <c r="AC195"/>
  <c r="A197"/>
  <c r="R197"/>
  <c r="T197"/>
  <c r="V197"/>
  <c r="X197"/>
  <c r="Z197"/>
  <c r="Q197"/>
  <c r="S197"/>
  <c r="U197"/>
  <c r="Y197"/>
  <c r="AC197"/>
  <c r="A199"/>
  <c r="R199"/>
  <c r="T199"/>
  <c r="V199"/>
  <c r="X199"/>
  <c r="Z199"/>
  <c r="Q199"/>
  <c r="S199"/>
  <c r="U199"/>
  <c r="Y199"/>
  <c r="AC199"/>
  <c r="A201"/>
  <c r="R201"/>
  <c r="T201"/>
  <c r="V201"/>
  <c r="X201"/>
  <c r="Z201"/>
  <c r="Q201"/>
  <c r="S201"/>
  <c r="U201"/>
  <c r="Y201"/>
  <c r="AC201"/>
  <c r="A203"/>
  <c r="R203"/>
  <c r="T203"/>
  <c r="V203"/>
  <c r="X203"/>
  <c r="Z203"/>
  <c r="Q203"/>
  <c r="S203"/>
  <c r="U203"/>
  <c r="Y203"/>
  <c r="AC203"/>
  <c r="A205"/>
  <c r="R205"/>
  <c r="T205"/>
  <c r="V205"/>
  <c r="X205"/>
  <c r="Z205"/>
  <c r="Q205"/>
  <c r="S205"/>
  <c r="U205"/>
  <c r="Y205"/>
  <c r="AC205"/>
  <c r="A207"/>
  <c r="R207"/>
  <c r="T207"/>
  <c r="V207"/>
  <c r="X207"/>
  <c r="Z207"/>
  <c r="Q207"/>
  <c r="S207"/>
  <c r="U207"/>
  <c r="Y207"/>
  <c r="AC207"/>
  <c r="A209"/>
  <c r="R209"/>
  <c r="T209"/>
  <c r="V209"/>
  <c r="X209"/>
  <c r="Z209"/>
  <c r="Q209"/>
  <c r="S209"/>
  <c r="U209"/>
  <c r="Y209"/>
  <c r="AC209"/>
  <c r="A215"/>
  <c r="R215"/>
  <c r="T215"/>
  <c r="V215"/>
  <c r="X215"/>
  <c r="Z215"/>
  <c r="Q215"/>
  <c r="S215"/>
  <c r="U215"/>
  <c r="Y215"/>
  <c r="AC215"/>
  <c r="A218"/>
  <c r="R218"/>
  <c r="T218"/>
  <c r="V218"/>
  <c r="X218"/>
  <c r="Z218"/>
  <c r="Q218"/>
  <c r="U218"/>
  <c r="Y218"/>
  <c r="S218"/>
  <c r="AC218"/>
  <c r="A220"/>
  <c r="R220"/>
  <c r="T220"/>
  <c r="V220"/>
  <c r="X220"/>
  <c r="Z220"/>
  <c r="Q220"/>
  <c r="U220"/>
  <c r="Y220"/>
  <c r="S220"/>
  <c r="AC220"/>
  <c r="A222"/>
  <c r="R222"/>
  <c r="T222"/>
  <c r="V222"/>
  <c r="X222"/>
  <c r="Z222"/>
  <c r="S222"/>
  <c r="AC222"/>
  <c r="Q222"/>
  <c r="U222"/>
  <c r="Y222"/>
  <c r="A224"/>
  <c r="R224"/>
  <c r="T224"/>
  <c r="V224"/>
  <c r="X224"/>
  <c r="Z224"/>
  <c r="S224"/>
  <c r="AC224"/>
  <c r="Q224"/>
  <c r="U224"/>
  <c r="Y224"/>
  <c r="A227"/>
  <c r="R227"/>
  <c r="T227"/>
  <c r="V227"/>
  <c r="X227"/>
  <c r="Z227"/>
  <c r="S227"/>
  <c r="AC227"/>
  <c r="Q227"/>
  <c r="U227"/>
  <c r="Y227"/>
  <c r="A230"/>
  <c r="Q230"/>
  <c r="S230"/>
  <c r="U230"/>
  <c r="Y230"/>
  <c r="AC230"/>
  <c r="R230"/>
  <c r="T230"/>
  <c r="V230"/>
  <c r="X230"/>
  <c r="Z230"/>
  <c r="A232"/>
  <c r="Q232"/>
  <c r="S232"/>
  <c r="U232"/>
  <c r="Y232"/>
  <c r="AC232"/>
  <c r="R232"/>
  <c r="T232"/>
  <c r="V232"/>
  <c r="X232"/>
  <c r="Z232"/>
  <c r="A234"/>
  <c r="Q234"/>
  <c r="S234"/>
  <c r="U234"/>
  <c r="Y234"/>
  <c r="AC234"/>
  <c r="R234"/>
  <c r="T234"/>
  <c r="V234"/>
  <c r="X234"/>
  <c r="Z234"/>
  <c r="A236"/>
  <c r="Q236"/>
  <c r="S236"/>
  <c r="U236"/>
  <c r="Y236"/>
  <c r="AC236"/>
  <c r="R236"/>
  <c r="T236"/>
  <c r="V236"/>
  <c r="X236"/>
  <c r="Z236"/>
  <c r="A238"/>
  <c r="Q238"/>
  <c r="S238"/>
  <c r="U238"/>
  <c r="Y238"/>
  <c r="AC238"/>
  <c r="R238"/>
  <c r="T238"/>
  <c r="V238"/>
  <c r="X238"/>
  <c r="Z238"/>
  <c r="A240"/>
  <c r="Q240"/>
  <c r="S240"/>
  <c r="U240"/>
  <c r="Y240"/>
  <c r="AC240"/>
  <c r="R240"/>
  <c r="T240"/>
  <c r="V240"/>
  <c r="X240"/>
  <c r="Z240"/>
  <c r="A260"/>
  <c r="Q260"/>
  <c r="S260"/>
  <c r="U260"/>
  <c r="Y260"/>
  <c r="AC260"/>
  <c r="R260"/>
  <c r="T260"/>
  <c r="V260"/>
  <c r="X260"/>
  <c r="Z260"/>
  <c r="A265"/>
  <c r="Q265"/>
  <c r="S265"/>
  <c r="U265"/>
  <c r="Y265"/>
  <c r="AC265"/>
  <c r="R265"/>
  <c r="T265"/>
  <c r="V265"/>
  <c r="X265"/>
  <c r="Z265"/>
  <c r="A245"/>
  <c r="Q245"/>
  <c r="S245"/>
  <c r="U245"/>
  <c r="Y245"/>
  <c r="AC245"/>
  <c r="R245"/>
  <c r="T245"/>
  <c r="V245"/>
  <c r="X245"/>
  <c r="Z245"/>
  <c r="A251"/>
  <c r="Q251"/>
  <c r="S251"/>
  <c r="U251"/>
  <c r="Y251"/>
  <c r="AC251"/>
  <c r="R251"/>
  <c r="T251"/>
  <c r="V251"/>
  <c r="X251"/>
  <c r="Z251"/>
  <c r="A253"/>
  <c r="Q253"/>
  <c r="S253"/>
  <c r="U253"/>
  <c r="Y253"/>
  <c r="AC253"/>
  <c r="R253"/>
  <c r="T253"/>
  <c r="V253"/>
  <c r="X253"/>
  <c r="Z253"/>
  <c r="A255"/>
  <c r="Q255"/>
  <c r="S255"/>
  <c r="U255"/>
  <c r="Y255"/>
  <c r="AC255"/>
  <c r="R255"/>
  <c r="T255"/>
  <c r="V255"/>
  <c r="X255"/>
  <c r="Z255"/>
  <c r="A257"/>
  <c r="Q257"/>
  <c r="S257"/>
  <c r="U257"/>
  <c r="Y257"/>
  <c r="AC257"/>
  <c r="R257"/>
  <c r="T257"/>
  <c r="V257"/>
  <c r="X257"/>
  <c r="Z257"/>
  <c r="A269"/>
  <c r="Q269"/>
  <c r="S269"/>
  <c r="U269"/>
  <c r="Y269"/>
  <c r="AC269"/>
  <c r="R269"/>
  <c r="T269"/>
  <c r="V269"/>
  <c r="X269"/>
  <c r="Z269"/>
  <c r="A271"/>
  <c r="Q271"/>
  <c r="S271"/>
  <c r="U271"/>
  <c r="Y271"/>
  <c r="AC271"/>
  <c r="R271"/>
  <c r="T271"/>
  <c r="V271"/>
  <c r="X271"/>
  <c r="Z271"/>
  <c r="A273"/>
  <c r="Q273"/>
  <c r="S273"/>
  <c r="U273"/>
  <c r="Y273"/>
  <c r="AC273"/>
  <c r="R273"/>
  <c r="T273"/>
  <c r="V273"/>
  <c r="X273"/>
  <c r="Z273"/>
  <c r="A277"/>
  <c r="Q277"/>
  <c r="S277"/>
  <c r="U277"/>
  <c r="Y277"/>
  <c r="AC277"/>
  <c r="R277"/>
  <c r="T277"/>
  <c r="V277"/>
  <c r="X277"/>
  <c r="Z277"/>
  <c r="A303"/>
  <c r="Q303"/>
  <c r="S303"/>
  <c r="U303"/>
  <c r="Y303"/>
  <c r="AC303"/>
  <c r="R303"/>
  <c r="T303"/>
  <c r="V303"/>
  <c r="X303"/>
  <c r="Z303"/>
  <c r="A324"/>
  <c r="Q324"/>
  <c r="S324"/>
  <c r="U324"/>
  <c r="Y324"/>
  <c r="AC324"/>
  <c r="R324"/>
  <c r="T324"/>
  <c r="V324"/>
  <c r="X324"/>
  <c r="Z324"/>
  <c r="A301"/>
  <c r="Q301"/>
  <c r="S301"/>
  <c r="U301"/>
  <c r="Y301"/>
  <c r="AC301"/>
  <c r="R301"/>
  <c r="T301"/>
  <c r="V301"/>
  <c r="X301"/>
  <c r="Z301"/>
  <c r="A323"/>
  <c r="Q323"/>
  <c r="S323"/>
  <c r="U323"/>
  <c r="Y323"/>
  <c r="AC323"/>
  <c r="R323"/>
  <c r="T323"/>
  <c r="V323"/>
  <c r="X323"/>
  <c r="Z323"/>
  <c r="A327"/>
  <c r="Q327"/>
  <c r="S327"/>
  <c r="U327"/>
  <c r="Y327"/>
  <c r="AC327"/>
  <c r="R327"/>
  <c r="T327"/>
  <c r="V327"/>
  <c r="X327"/>
  <c r="Z327"/>
  <c r="A360"/>
  <c r="Q360"/>
  <c r="S360"/>
  <c r="U360"/>
  <c r="Y360"/>
  <c r="AC360"/>
  <c r="R360"/>
  <c r="T360"/>
  <c r="V360"/>
  <c r="X360"/>
  <c r="Z360"/>
  <c r="A358"/>
  <c r="Q358"/>
  <c r="S358"/>
  <c r="U358"/>
  <c r="Y358"/>
  <c r="AC358"/>
  <c r="R358"/>
  <c r="T358"/>
  <c r="V358"/>
  <c r="X358"/>
  <c r="Z358"/>
  <c r="A354"/>
  <c r="Q354"/>
  <c r="S354"/>
  <c r="U354"/>
  <c r="Y354"/>
  <c r="AC354"/>
  <c r="R354"/>
  <c r="T354"/>
  <c r="V354"/>
  <c r="X354"/>
  <c r="Z354"/>
  <c r="A332"/>
  <c r="Q332"/>
  <c r="S332"/>
  <c r="U332"/>
  <c r="Y332"/>
  <c r="AC332"/>
  <c r="R332"/>
  <c r="T332"/>
  <c r="V332"/>
  <c r="X332"/>
  <c r="Z332"/>
  <c r="A351"/>
  <c r="Q351"/>
  <c r="S351"/>
  <c r="U351"/>
  <c r="Y351"/>
  <c r="AC351"/>
  <c r="R351"/>
  <c r="T351"/>
  <c r="V351"/>
  <c r="X351"/>
  <c r="Z351"/>
  <c r="A320"/>
  <c r="Q320"/>
  <c r="S320"/>
  <c r="U320"/>
  <c r="Y320"/>
  <c r="AC320"/>
  <c r="R320"/>
  <c r="T320"/>
  <c r="V320"/>
  <c r="X320"/>
  <c r="Z320"/>
  <c r="A420"/>
  <c r="Q420"/>
  <c r="S420"/>
  <c r="U420"/>
  <c r="Y420"/>
  <c r="AC420"/>
  <c r="R420"/>
  <c r="T420"/>
  <c r="V420"/>
  <c r="X420"/>
  <c r="Z420"/>
  <c r="A422"/>
  <c r="Q422"/>
  <c r="S422"/>
  <c r="U422"/>
  <c r="Y422"/>
  <c r="AC422"/>
  <c r="R422"/>
  <c r="T422"/>
  <c r="V422"/>
  <c r="X422"/>
  <c r="Z422"/>
  <c r="A267"/>
  <c r="Q267"/>
  <c r="S267"/>
  <c r="U267"/>
  <c r="Y267"/>
  <c r="AC267"/>
  <c r="R267"/>
  <c r="T267"/>
  <c r="V267"/>
  <c r="X267"/>
  <c r="Z267"/>
  <c r="A305"/>
  <c r="Q305"/>
  <c r="S305"/>
  <c r="U305"/>
  <c r="Y305"/>
  <c r="AC305"/>
  <c r="R305"/>
  <c r="T305"/>
  <c r="V305"/>
  <c r="X305"/>
  <c r="Z305"/>
  <c r="A322"/>
  <c r="Q322"/>
  <c r="S322"/>
  <c r="U322"/>
  <c r="Y322"/>
  <c r="AC322"/>
  <c r="R322"/>
  <c r="T322"/>
  <c r="V322"/>
  <c r="X322"/>
  <c r="Z322"/>
  <c r="A353"/>
  <c r="Q353"/>
  <c r="S353"/>
  <c r="U353"/>
  <c r="Y353"/>
  <c r="AC353"/>
  <c r="R353"/>
  <c r="T353"/>
  <c r="V353"/>
  <c r="X353"/>
  <c r="Z353"/>
  <c r="A280"/>
  <c r="Q280"/>
  <c r="S280"/>
  <c r="U280"/>
  <c r="Y280"/>
  <c r="AC280"/>
  <c r="R280"/>
  <c r="T280"/>
  <c r="V280"/>
  <c r="X280"/>
  <c r="Z280"/>
  <c r="A307"/>
  <c r="Q307"/>
  <c r="S307"/>
  <c r="U307"/>
  <c r="Y307"/>
  <c r="AC307"/>
  <c r="R307"/>
  <c r="T307"/>
  <c r="V307"/>
  <c r="X307"/>
  <c r="Z307"/>
  <c r="A313"/>
  <c r="Q313"/>
  <c r="S313"/>
  <c r="U313"/>
  <c r="Y313"/>
  <c r="AC313"/>
  <c r="R313"/>
  <c r="T313"/>
  <c r="V313"/>
  <c r="X313"/>
  <c r="Z313"/>
  <c r="A329"/>
  <c r="Q329"/>
  <c r="S329"/>
  <c r="U329"/>
  <c r="Y329"/>
  <c r="AC329"/>
  <c r="R329"/>
  <c r="T329"/>
  <c r="V329"/>
  <c r="X329"/>
  <c r="Z329"/>
  <c r="A334"/>
  <c r="Q334"/>
  <c r="S334"/>
  <c r="U334"/>
  <c r="Y334"/>
  <c r="AC334"/>
  <c r="R334"/>
  <c r="T334"/>
  <c r="V334"/>
  <c r="X334"/>
  <c r="Z334"/>
  <c r="A355"/>
  <c r="Q355"/>
  <c r="S355"/>
  <c r="U355"/>
  <c r="Y355"/>
  <c r="AC355"/>
  <c r="R355"/>
  <c r="T355"/>
  <c r="V355"/>
  <c r="X355"/>
  <c r="Z355"/>
  <c r="A282"/>
  <c r="Q282"/>
  <c r="S282"/>
  <c r="U282"/>
  <c r="Y282"/>
  <c r="AC282"/>
  <c r="R282"/>
  <c r="T282"/>
  <c r="V282"/>
  <c r="X282"/>
  <c r="Z282"/>
  <c r="A284"/>
  <c r="Q284"/>
  <c r="S284"/>
  <c r="U284"/>
  <c r="Y284"/>
  <c r="AC284"/>
  <c r="R284"/>
  <c r="T284"/>
  <c r="V284"/>
  <c r="X284"/>
  <c r="Z284"/>
  <c r="A286"/>
  <c r="Q286"/>
  <c r="S286"/>
  <c r="U286"/>
  <c r="Y286"/>
  <c r="AC286"/>
  <c r="R286"/>
  <c r="T286"/>
  <c r="V286"/>
  <c r="X286"/>
  <c r="Z286"/>
  <c r="A288"/>
  <c r="Q288"/>
  <c r="S288"/>
  <c r="U288"/>
  <c r="Y288"/>
  <c r="AC288"/>
  <c r="R288"/>
  <c r="T288"/>
  <c r="V288"/>
  <c r="X288"/>
  <c r="Z288"/>
  <c r="A290"/>
  <c r="Q290"/>
  <c r="S290"/>
  <c r="U290"/>
  <c r="Y290"/>
  <c r="AC290"/>
  <c r="R290"/>
  <c r="T290"/>
  <c r="V290"/>
  <c r="X290"/>
  <c r="Z290"/>
  <c r="A292"/>
  <c r="Q292"/>
  <c r="S292"/>
  <c r="U292"/>
  <c r="Y292"/>
  <c r="AC292"/>
  <c r="R292"/>
  <c r="T292"/>
  <c r="V292"/>
  <c r="X292"/>
  <c r="Z292"/>
  <c r="A294"/>
  <c r="Q294"/>
  <c r="S294"/>
  <c r="U294"/>
  <c r="Y294"/>
  <c r="AC294"/>
  <c r="R294"/>
  <c r="T294"/>
  <c r="V294"/>
  <c r="X294"/>
  <c r="Z294"/>
  <c r="A296"/>
  <c r="Q296"/>
  <c r="S296"/>
  <c r="U296"/>
  <c r="Y296"/>
  <c r="AC296"/>
  <c r="R296"/>
  <c r="T296"/>
  <c r="V296"/>
  <c r="X296"/>
  <c r="Z296"/>
  <c r="A298"/>
  <c r="Q298"/>
  <c r="S298"/>
  <c r="U298"/>
  <c r="Y298"/>
  <c r="AC298"/>
  <c r="R298"/>
  <c r="T298"/>
  <c r="V298"/>
  <c r="X298"/>
  <c r="Z298"/>
  <c r="A308"/>
  <c r="Q308"/>
  <c r="S308"/>
  <c r="U308"/>
  <c r="Y308"/>
  <c r="AC308"/>
  <c r="R308"/>
  <c r="T308"/>
  <c r="V308"/>
  <c r="X308"/>
  <c r="Z308"/>
  <c r="A310"/>
  <c r="Q310"/>
  <c r="S310"/>
  <c r="U310"/>
  <c r="Y310"/>
  <c r="AC310"/>
  <c r="R310"/>
  <c r="T310"/>
  <c r="V310"/>
  <c r="X310"/>
  <c r="Z310"/>
  <c r="A315"/>
  <c r="Q315"/>
  <c r="S315"/>
  <c r="U315"/>
  <c r="Y315"/>
  <c r="AC315"/>
  <c r="R315"/>
  <c r="T315"/>
  <c r="V315"/>
  <c r="X315"/>
  <c r="Z315"/>
  <c r="A330"/>
  <c r="Q330"/>
  <c r="S330"/>
  <c r="U330"/>
  <c r="Y330"/>
  <c r="AC330"/>
  <c r="R330"/>
  <c r="T330"/>
  <c r="V330"/>
  <c r="X330"/>
  <c r="Z330"/>
  <c r="A337"/>
  <c r="Q337"/>
  <c r="S337"/>
  <c r="U337"/>
  <c r="Y337"/>
  <c r="AC337"/>
  <c r="R337"/>
  <c r="T337"/>
  <c r="V337"/>
  <c r="X337"/>
  <c r="Z337"/>
  <c r="A339"/>
  <c r="Q339"/>
  <c r="S339"/>
  <c r="U339"/>
  <c r="Y339"/>
  <c r="AC339"/>
  <c r="R339"/>
  <c r="T339"/>
  <c r="V339"/>
  <c r="X339"/>
  <c r="Z339"/>
  <c r="A341"/>
  <c r="Q341"/>
  <c r="S341"/>
  <c r="U341"/>
  <c r="Y341"/>
  <c r="AC341"/>
  <c r="R341"/>
  <c r="T341"/>
  <c r="V341"/>
  <c r="X341"/>
  <c r="Z341"/>
  <c r="A343"/>
  <c r="Q343"/>
  <c r="S343"/>
  <c r="U343"/>
  <c r="Y343"/>
  <c r="AC343"/>
  <c r="R343"/>
  <c r="T343"/>
  <c r="V343"/>
  <c r="X343"/>
  <c r="Z343"/>
  <c r="A345"/>
  <c r="Q345"/>
  <c r="S345"/>
  <c r="U345"/>
  <c r="Y345"/>
  <c r="AC345"/>
  <c r="R345"/>
  <c r="T345"/>
  <c r="V345"/>
  <c r="X345"/>
  <c r="Z345"/>
  <c r="A347"/>
  <c r="Q347"/>
  <c r="S347"/>
  <c r="U347"/>
  <c r="Y347"/>
  <c r="AC347"/>
  <c r="R347"/>
  <c r="T347"/>
  <c r="V347"/>
  <c r="X347"/>
  <c r="Z347"/>
  <c r="A357"/>
  <c r="Q357"/>
  <c r="S357"/>
  <c r="U357"/>
  <c r="Y357"/>
  <c r="AC357"/>
  <c r="R357"/>
  <c r="T357"/>
  <c r="V357"/>
  <c r="X357"/>
  <c r="Z357"/>
  <c r="A364"/>
  <c r="Q364"/>
  <c r="S364"/>
  <c r="U364"/>
  <c r="Y364"/>
  <c r="AC364"/>
  <c r="R364"/>
  <c r="T364"/>
  <c r="V364"/>
  <c r="X364"/>
  <c r="Z364"/>
  <c r="A373"/>
  <c r="Q373"/>
  <c r="S373"/>
  <c r="U373"/>
  <c r="Y373"/>
  <c r="AC373"/>
  <c r="R373"/>
  <c r="T373"/>
  <c r="V373"/>
  <c r="X373"/>
  <c r="Z373"/>
  <c r="A375"/>
  <c r="Q375"/>
  <c r="S375"/>
  <c r="U375"/>
  <c r="Y375"/>
  <c r="AC375"/>
  <c r="R375"/>
  <c r="T375"/>
  <c r="V375"/>
  <c r="X375"/>
  <c r="Z375"/>
  <c r="A311"/>
  <c r="Q311"/>
  <c r="S311"/>
  <c r="U311"/>
  <c r="Y311"/>
  <c r="AC311"/>
  <c r="R311"/>
  <c r="T311"/>
  <c r="V311"/>
  <c r="X311"/>
  <c r="Z311"/>
  <c r="A379"/>
  <c r="Q379"/>
  <c r="S379"/>
  <c r="U379"/>
  <c r="Y379"/>
  <c r="AC379"/>
  <c r="R379"/>
  <c r="T379"/>
  <c r="V379"/>
  <c r="X379"/>
  <c r="Z379"/>
  <c r="A377"/>
  <c r="Q377"/>
  <c r="S377"/>
  <c r="U377"/>
  <c r="Y377"/>
  <c r="AC377"/>
  <c r="R377"/>
  <c r="T377"/>
  <c r="V377"/>
  <c r="X377"/>
  <c r="Z377"/>
  <c r="A381"/>
  <c r="Q381"/>
  <c r="S381"/>
  <c r="U381"/>
  <c r="Y381"/>
  <c r="AC381"/>
  <c r="R381"/>
  <c r="T381"/>
  <c r="V381"/>
  <c r="X381"/>
  <c r="Z381"/>
  <c r="A383"/>
  <c r="Q383"/>
  <c r="S383"/>
  <c r="U383"/>
  <c r="Y383"/>
  <c r="AC383"/>
  <c r="R383"/>
  <c r="T383"/>
  <c r="V383"/>
  <c r="X383"/>
  <c r="Z383"/>
  <c r="A385"/>
  <c r="Q385"/>
  <c r="S385"/>
  <c r="U385"/>
  <c r="Y385"/>
  <c r="AC385"/>
  <c r="R385"/>
  <c r="T385"/>
  <c r="V385"/>
  <c r="X385"/>
  <c r="Z385"/>
  <c r="A387"/>
  <c r="Q387"/>
  <c r="S387"/>
  <c r="U387"/>
  <c r="Y387"/>
  <c r="AC387"/>
  <c r="R387"/>
  <c r="T387"/>
  <c r="V387"/>
  <c r="X387"/>
  <c r="Z387"/>
  <c r="A389"/>
  <c r="Q389"/>
  <c r="S389"/>
  <c r="U389"/>
  <c r="Y389"/>
  <c r="AC389"/>
  <c r="R389"/>
  <c r="V389"/>
  <c r="X389"/>
  <c r="T389"/>
  <c r="Z389"/>
  <c r="A391"/>
  <c r="Q391"/>
  <c r="S391"/>
  <c r="U391"/>
  <c r="Y391"/>
  <c r="AC391"/>
  <c r="R391"/>
  <c r="V391"/>
  <c r="X391"/>
  <c r="T391"/>
  <c r="Z391"/>
  <c r="A394"/>
  <c r="Q394"/>
  <c r="S394"/>
  <c r="U394"/>
  <c r="Y394"/>
  <c r="AC394"/>
  <c r="R394"/>
  <c r="V394"/>
  <c r="X394"/>
  <c r="T394"/>
  <c r="Z394"/>
  <c r="A396"/>
  <c r="Q396"/>
  <c r="S396"/>
  <c r="U396"/>
  <c r="Y396"/>
  <c r="AC396"/>
  <c r="R396"/>
  <c r="V396"/>
  <c r="X396"/>
  <c r="T396"/>
  <c r="Z396"/>
  <c r="A398"/>
  <c r="Q398"/>
  <c r="S398"/>
  <c r="U398"/>
  <c r="Y398"/>
  <c r="AC398"/>
  <c r="R398"/>
  <c r="V398"/>
  <c r="X398"/>
  <c r="T398"/>
  <c r="Z398"/>
  <c r="A400"/>
  <c r="Q400"/>
  <c r="S400"/>
  <c r="U400"/>
  <c r="Y400"/>
  <c r="AC400"/>
  <c r="R400"/>
  <c r="V400"/>
  <c r="X400"/>
  <c r="T400"/>
  <c r="Z400"/>
  <c r="A349"/>
  <c r="Q349"/>
  <c r="S349"/>
  <c r="U349"/>
  <c r="Y349"/>
  <c r="AC349"/>
  <c r="R349"/>
  <c r="T349"/>
  <c r="V349"/>
  <c r="X349"/>
  <c r="Z349"/>
  <c r="A372"/>
  <c r="Q372"/>
  <c r="S372"/>
  <c r="U372"/>
  <c r="Y372"/>
  <c r="AC372"/>
  <c r="R372"/>
  <c r="T372"/>
  <c r="V372"/>
  <c r="X372"/>
  <c r="Z372"/>
  <c r="A367"/>
  <c r="Q367"/>
  <c r="S367"/>
  <c r="U367"/>
  <c r="Y367"/>
  <c r="AC367"/>
  <c r="R367"/>
  <c r="T367"/>
  <c r="V367"/>
  <c r="X367"/>
  <c r="Z367"/>
  <c r="A369"/>
  <c r="Q369"/>
  <c r="S369"/>
  <c r="U369"/>
  <c r="Y369"/>
  <c r="AC369"/>
  <c r="R369"/>
  <c r="T369"/>
  <c r="V369"/>
  <c r="X369"/>
  <c r="Z369"/>
  <c r="A408"/>
  <c r="Q408"/>
  <c r="S408"/>
  <c r="U408"/>
  <c r="Y408"/>
  <c r="AC408"/>
  <c r="R408"/>
  <c r="T408"/>
  <c r="V408"/>
  <c r="X408"/>
  <c r="Z408"/>
  <c r="A406"/>
  <c r="Q406"/>
  <c r="S406"/>
  <c r="U406"/>
  <c r="Y406"/>
  <c r="AC406"/>
  <c r="R406"/>
  <c r="T406"/>
  <c r="V406"/>
  <c r="X406"/>
  <c r="Z406"/>
  <c r="A415"/>
  <c r="Q415"/>
  <c r="S415"/>
  <c r="U415"/>
  <c r="Y415"/>
  <c r="AC415"/>
  <c r="R415"/>
  <c r="T415"/>
  <c r="V415"/>
  <c r="X415"/>
  <c r="Z415"/>
  <c r="A407"/>
  <c r="Q407"/>
  <c r="S407"/>
  <c r="U407"/>
  <c r="Y407"/>
  <c r="AC407"/>
  <c r="R407"/>
  <c r="T407"/>
  <c r="V407"/>
  <c r="X407"/>
  <c r="Z407"/>
  <c r="A411"/>
  <c r="Q411"/>
  <c r="S411"/>
  <c r="U411"/>
  <c r="Y411"/>
  <c r="AC411"/>
  <c r="R411"/>
  <c r="T411"/>
  <c r="V411"/>
  <c r="X411"/>
  <c r="Z411"/>
  <c r="A413"/>
  <c r="Q413"/>
  <c r="S413"/>
  <c r="U413"/>
  <c r="Y413"/>
  <c r="AC413"/>
  <c r="R413"/>
  <c r="T413"/>
  <c r="V413"/>
  <c r="X413"/>
  <c r="Z413"/>
  <c r="A417"/>
  <c r="Q417"/>
  <c r="S417"/>
  <c r="U417"/>
  <c r="Y417"/>
  <c r="AC417"/>
  <c r="R417"/>
  <c r="T417"/>
  <c r="V417"/>
  <c r="X417"/>
  <c r="Z417"/>
  <c r="A429"/>
  <c r="Q429"/>
  <c r="S429"/>
  <c r="U429"/>
  <c r="Y429"/>
  <c r="AC429"/>
  <c r="R429"/>
  <c r="T429"/>
  <c r="V429"/>
  <c r="X429"/>
  <c r="Z429"/>
  <c r="A431"/>
  <c r="Q431"/>
  <c r="S431"/>
  <c r="U431"/>
  <c r="Y431"/>
  <c r="AC431"/>
  <c r="R431"/>
  <c r="T431"/>
  <c r="V431"/>
  <c r="X431"/>
  <c r="Z431"/>
  <c r="A437"/>
  <c r="Q437"/>
  <c r="S437"/>
  <c r="U437"/>
  <c r="Y437"/>
  <c r="AC437"/>
  <c r="R437"/>
  <c r="T437"/>
  <c r="V437"/>
  <c r="X437"/>
  <c r="Z437"/>
  <c r="A439"/>
  <c r="Q439"/>
  <c r="S439"/>
  <c r="U439"/>
  <c r="Y439"/>
  <c r="AC439"/>
  <c r="R439"/>
  <c r="T439"/>
  <c r="V439"/>
  <c r="X439"/>
  <c r="Z439"/>
  <c r="A441"/>
  <c r="Q441"/>
  <c r="S441"/>
  <c r="U441"/>
  <c r="Y441"/>
  <c r="AC441"/>
  <c r="R441"/>
  <c r="T441"/>
  <c r="V441"/>
  <c r="X441"/>
  <c r="Z441"/>
  <c r="A443"/>
  <c r="Q443"/>
  <c r="S443"/>
  <c r="U443"/>
  <c r="Y443"/>
  <c r="AC443"/>
  <c r="R443"/>
  <c r="T443"/>
  <c r="V443"/>
  <c r="X443"/>
  <c r="Z443"/>
  <c r="A445"/>
  <c r="Q445"/>
  <c r="S445"/>
  <c r="U445"/>
  <c r="Y445"/>
  <c r="AC445"/>
  <c r="R445"/>
  <c r="T445"/>
  <c r="V445"/>
  <c r="X445"/>
  <c r="Z445"/>
  <c r="A447"/>
  <c r="Q447"/>
  <c r="S447"/>
  <c r="U447"/>
  <c r="Y447"/>
  <c r="AC447"/>
  <c r="R447"/>
  <c r="T447"/>
  <c r="V447"/>
  <c r="X447"/>
  <c r="Z447"/>
  <c r="A449"/>
  <c r="Q449"/>
  <c r="S449"/>
  <c r="U449"/>
  <c r="Y449"/>
  <c r="AC449"/>
  <c r="R449"/>
  <c r="T449"/>
  <c r="V449"/>
  <c r="X449"/>
  <c r="Z449"/>
  <c r="A451"/>
  <c r="Q451"/>
  <c r="S451"/>
  <c r="U451"/>
  <c r="Y451"/>
  <c r="AC451"/>
  <c r="R451"/>
  <c r="T451"/>
  <c r="V451"/>
  <c r="X451"/>
  <c r="Z451"/>
  <c r="A453"/>
  <c r="Q453"/>
  <c r="S453"/>
  <c r="U453"/>
  <c r="Y453"/>
  <c r="AC453"/>
  <c r="R453"/>
  <c r="T453"/>
  <c r="V453"/>
  <c r="X453"/>
  <c r="Z453"/>
  <c r="A455"/>
  <c r="Q455"/>
  <c r="S455"/>
  <c r="U455"/>
  <c r="Y455"/>
  <c r="AC455"/>
  <c r="R455"/>
  <c r="T455"/>
  <c r="V455"/>
  <c r="X455"/>
  <c r="Z455"/>
  <c r="A457"/>
  <c r="Q457"/>
  <c r="S457"/>
  <c r="U457"/>
  <c r="Y457"/>
  <c r="AC457"/>
  <c r="R457"/>
  <c r="T457"/>
  <c r="V457"/>
  <c r="X457"/>
  <c r="Z457"/>
  <c r="A459"/>
  <c r="Q459"/>
  <c r="S459"/>
  <c r="U459"/>
  <c r="Y459"/>
  <c r="AC459"/>
  <c r="R459"/>
  <c r="T459"/>
  <c r="V459"/>
  <c r="X459"/>
  <c r="Z459"/>
  <c r="A461"/>
  <c r="Q461"/>
  <c r="S461"/>
  <c r="U461"/>
  <c r="Y461"/>
  <c r="AC461"/>
  <c r="R461"/>
  <c r="T461"/>
  <c r="V461"/>
  <c r="X461"/>
  <c r="Z461"/>
  <c r="A463"/>
  <c r="Q463"/>
  <c r="S463"/>
  <c r="U463"/>
  <c r="Y463"/>
  <c r="AC463"/>
  <c r="R463"/>
  <c r="T463"/>
  <c r="V463"/>
  <c r="X463"/>
  <c r="Z463"/>
  <c r="A465"/>
  <c r="Q465"/>
  <c r="S465"/>
  <c r="U465"/>
  <c r="Y465"/>
  <c r="AC465"/>
  <c r="R465"/>
  <c r="T465"/>
  <c r="V465"/>
  <c r="X465"/>
  <c r="Z465"/>
  <c r="A467"/>
  <c r="Q467"/>
  <c r="S467"/>
  <c r="U467"/>
  <c r="Y467"/>
  <c r="AC467"/>
  <c r="R467"/>
  <c r="T467"/>
  <c r="V467"/>
  <c r="X467"/>
  <c r="Z467"/>
  <c r="A469"/>
  <c r="Q469"/>
  <c r="S469"/>
  <c r="U469"/>
  <c r="Y469"/>
  <c r="AC469"/>
  <c r="R469"/>
  <c r="T469"/>
  <c r="V469"/>
  <c r="X469"/>
  <c r="Z469"/>
  <c r="A471"/>
  <c r="Q471"/>
  <c r="S471"/>
  <c r="U471"/>
  <c r="Y471"/>
  <c r="AC471"/>
  <c r="R471"/>
  <c r="T471"/>
  <c r="V471"/>
  <c r="X471"/>
  <c r="Z471"/>
  <c r="A473"/>
  <c r="Q473"/>
  <c r="S473"/>
  <c r="U473"/>
  <c r="Y473"/>
  <c r="AC473"/>
  <c r="R473"/>
  <c r="T473"/>
  <c r="V473"/>
  <c r="X473"/>
  <c r="Z473"/>
  <c r="A475"/>
  <c r="Q475"/>
  <c r="S475"/>
  <c r="U475"/>
  <c r="Y475"/>
  <c r="AC475"/>
  <c r="R475"/>
  <c r="T475"/>
  <c r="V475"/>
  <c r="X475"/>
  <c r="Z475"/>
  <c r="A477"/>
  <c r="Q477"/>
  <c r="S477"/>
  <c r="U477"/>
  <c r="Y477"/>
  <c r="AC477"/>
  <c r="R477"/>
  <c r="T477"/>
  <c r="V477"/>
  <c r="X477"/>
  <c r="Z477"/>
  <c r="A479"/>
  <c r="Q479"/>
  <c r="S479"/>
  <c r="U479"/>
  <c r="Y479"/>
  <c r="AC479"/>
  <c r="R479"/>
  <c r="T479"/>
  <c r="V479"/>
  <c r="X479"/>
  <c r="Z479"/>
  <c r="A481"/>
  <c r="Q481"/>
  <c r="S481"/>
  <c r="U481"/>
  <c r="Y481"/>
  <c r="AC481"/>
  <c r="R481"/>
  <c r="T481"/>
  <c r="V481"/>
  <c r="X481"/>
  <c r="Z481"/>
  <c r="A483"/>
  <c r="Q483"/>
  <c r="S483"/>
  <c r="U483"/>
  <c r="Y483"/>
  <c r="AC483"/>
  <c r="R483"/>
  <c r="T483"/>
  <c r="V483"/>
  <c r="X483"/>
  <c r="Z483"/>
  <c r="A485"/>
  <c r="Q485"/>
  <c r="S485"/>
  <c r="U485"/>
  <c r="Y485"/>
  <c r="AC485"/>
  <c r="R485"/>
  <c r="T485"/>
  <c r="V485"/>
  <c r="X485"/>
  <c r="Z485"/>
  <c r="A487"/>
  <c r="Q487"/>
  <c r="S487"/>
  <c r="U487"/>
  <c r="Y487"/>
  <c r="AC487"/>
  <c r="R487"/>
  <c r="T487"/>
  <c r="V487"/>
  <c r="X487"/>
  <c r="Z487"/>
  <c r="A489"/>
  <c r="Q489"/>
  <c r="S489"/>
  <c r="U489"/>
  <c r="Y489"/>
  <c r="AC489"/>
  <c r="R489"/>
  <c r="T489"/>
  <c r="V489"/>
  <c r="X489"/>
  <c r="Z489"/>
  <c r="A491"/>
  <c r="Q491"/>
  <c r="S491"/>
  <c r="U491"/>
  <c r="Y491"/>
  <c r="AC491"/>
  <c r="R491"/>
  <c r="T491"/>
  <c r="V491"/>
  <c r="X491"/>
  <c r="Z491"/>
  <c r="A493"/>
  <c r="Q493"/>
  <c r="S493"/>
  <c r="U493"/>
  <c r="Y493"/>
  <c r="AC493"/>
  <c r="R493"/>
  <c r="T493"/>
  <c r="V493"/>
  <c r="X493"/>
  <c r="Z493"/>
  <c r="A495"/>
  <c r="Q495"/>
  <c r="S495"/>
  <c r="U495"/>
  <c r="Y495"/>
  <c r="AC495"/>
  <c r="R495"/>
  <c r="T495"/>
  <c r="V495"/>
  <c r="X495"/>
  <c r="Z495"/>
  <c r="A497"/>
  <c r="Q497"/>
  <c r="S497"/>
  <c r="U497"/>
  <c r="Y497"/>
  <c r="AC497"/>
  <c r="R497"/>
  <c r="T497"/>
  <c r="V497"/>
  <c r="X497"/>
  <c r="Z497"/>
  <c r="A499"/>
  <c r="Q499"/>
  <c r="S499"/>
  <c r="U499"/>
  <c r="Y499"/>
  <c r="AC499"/>
  <c r="R499"/>
  <c r="T499"/>
  <c r="V499"/>
  <c r="X499"/>
  <c r="Z499"/>
  <c r="A501"/>
  <c r="Q501"/>
  <c r="S501"/>
  <c r="U501"/>
  <c r="Y501"/>
  <c r="AC501"/>
  <c r="R501"/>
  <c r="T501"/>
  <c r="V501"/>
  <c r="X501"/>
  <c r="Z501"/>
  <c r="A503"/>
  <c r="Q503"/>
  <c r="S503"/>
  <c r="U503"/>
  <c r="Y503"/>
  <c r="AC503"/>
  <c r="R503"/>
  <c r="T503"/>
  <c r="V503"/>
  <c r="X503"/>
  <c r="Z503"/>
  <c r="A505"/>
  <c r="Q505"/>
  <c r="S505"/>
  <c r="U505"/>
  <c r="Y505"/>
  <c r="AC505"/>
  <c r="R505"/>
  <c r="T505"/>
  <c r="V505"/>
  <c r="X505"/>
  <c r="Z505"/>
  <c r="A507"/>
  <c r="Q507"/>
  <c r="S507"/>
  <c r="U507"/>
  <c r="Y507"/>
  <c r="AC507"/>
  <c r="R507"/>
  <c r="T507"/>
  <c r="V507"/>
  <c r="X507"/>
  <c r="Z507"/>
  <c r="A509"/>
  <c r="Q509"/>
  <c r="S509"/>
  <c r="U509"/>
  <c r="Y509"/>
  <c r="AC509"/>
  <c r="R509"/>
  <c r="T509"/>
  <c r="V509"/>
  <c r="X509"/>
  <c r="Z509"/>
  <c r="A511"/>
  <c r="Q511"/>
  <c r="S511"/>
  <c r="U511"/>
  <c r="Y511"/>
  <c r="AC511"/>
  <c r="R511"/>
  <c r="T511"/>
  <c r="V511"/>
  <c r="X511"/>
  <c r="Z511"/>
  <c r="A513"/>
  <c r="Q513"/>
  <c r="S513"/>
  <c r="U513"/>
  <c r="Y513"/>
  <c r="AC513"/>
  <c r="R513"/>
  <c r="T513"/>
  <c r="V513"/>
  <c r="X513"/>
  <c r="Z513"/>
  <c r="A515"/>
  <c r="Q515"/>
  <c r="S515"/>
  <c r="U515"/>
  <c r="Y515"/>
  <c r="AC515"/>
  <c r="R515"/>
  <c r="T515"/>
  <c r="V515"/>
  <c r="X515"/>
  <c r="Z515"/>
  <c r="A517"/>
  <c r="Q517"/>
  <c r="S517"/>
  <c r="U517"/>
  <c r="Y517"/>
  <c r="AC517"/>
  <c r="R517"/>
  <c r="T517"/>
  <c r="V517"/>
  <c r="X517"/>
  <c r="Z517"/>
  <c r="A519"/>
  <c r="Q519"/>
  <c r="S519"/>
  <c r="U519"/>
  <c r="Y519"/>
  <c r="AC519"/>
  <c r="R519"/>
  <c r="T519"/>
  <c r="V519"/>
  <c r="X519"/>
  <c r="Z519"/>
  <c r="A521"/>
  <c r="Q521"/>
  <c r="S521"/>
  <c r="U521"/>
  <c r="Y521"/>
  <c r="AC521"/>
  <c r="R521"/>
  <c r="T521"/>
  <c r="V521"/>
  <c r="X521"/>
  <c r="Z521"/>
  <c r="A523"/>
  <c r="Q523"/>
  <c r="S523"/>
  <c r="U523"/>
  <c r="Y523"/>
  <c r="AC523"/>
  <c r="R523"/>
  <c r="T523"/>
  <c r="V523"/>
  <c r="X523"/>
  <c r="Z523"/>
  <c r="A525"/>
  <c r="Q525"/>
  <c r="S525"/>
  <c r="U525"/>
  <c r="Y525"/>
  <c r="AC525"/>
  <c r="R525"/>
  <c r="T525"/>
  <c r="V525"/>
  <c r="X525"/>
  <c r="Z525"/>
  <c r="A527"/>
  <c r="Q527"/>
  <c r="S527"/>
  <c r="U527"/>
  <c r="Y527"/>
  <c r="AC527"/>
  <c r="R527"/>
  <c r="T527"/>
  <c r="V527"/>
  <c r="X527"/>
  <c r="Z527"/>
  <c r="A529"/>
  <c r="Q529"/>
  <c r="S529"/>
  <c r="U529"/>
  <c r="Y529"/>
  <c r="AC529"/>
  <c r="R529"/>
  <c r="T529"/>
  <c r="V529"/>
  <c r="X529"/>
  <c r="Z529"/>
  <c r="A531"/>
  <c r="Q531"/>
  <c r="S531"/>
  <c r="U531"/>
  <c r="Y531"/>
  <c r="AC531"/>
  <c r="R531"/>
  <c r="T531"/>
  <c r="V531"/>
  <c r="X531"/>
  <c r="Z531"/>
  <c r="A533"/>
  <c r="Q533"/>
  <c r="S533"/>
  <c r="U533"/>
  <c r="Y533"/>
  <c r="AC533"/>
  <c r="R533"/>
  <c r="T533"/>
  <c r="V533"/>
  <c r="X533"/>
  <c r="Z533"/>
  <c r="A535"/>
  <c r="Q535"/>
  <c r="S535"/>
  <c r="U535"/>
  <c r="Y535"/>
  <c r="AC535"/>
  <c r="R535"/>
  <c r="T535"/>
  <c r="V535"/>
  <c r="X535"/>
  <c r="Z535"/>
  <c r="A537"/>
  <c r="Q537"/>
  <c r="S537"/>
  <c r="U537"/>
  <c r="Y537"/>
  <c r="AC537"/>
  <c r="R537"/>
  <c r="T537"/>
  <c r="V537"/>
  <c r="X537"/>
  <c r="Z537"/>
  <c r="A539"/>
  <c r="Q539"/>
  <c r="S539"/>
  <c r="U539"/>
  <c r="Y539"/>
  <c r="AC539"/>
  <c r="R539"/>
  <c r="T539"/>
  <c r="V539"/>
  <c r="X539"/>
  <c r="Z539"/>
  <c r="A541"/>
  <c r="Q541"/>
  <c r="S541"/>
  <c r="U541"/>
  <c r="Y541"/>
  <c r="AC541"/>
  <c r="R541"/>
  <c r="T541"/>
  <c r="V541"/>
  <c r="X541"/>
  <c r="Z541"/>
  <c r="A543"/>
  <c r="Q543"/>
  <c r="S543"/>
  <c r="U543"/>
  <c r="Y543"/>
  <c r="AC543"/>
  <c r="R543"/>
  <c r="T543"/>
  <c r="V543"/>
  <c r="X543"/>
  <c r="Z543"/>
  <c r="A545"/>
  <c r="Q545"/>
  <c r="S545"/>
  <c r="U545"/>
  <c r="Y545"/>
  <c r="AC545"/>
  <c r="R545"/>
  <c r="T545"/>
  <c r="V545"/>
  <c r="X545"/>
  <c r="Z545"/>
  <c r="A547"/>
  <c r="Q547"/>
  <c r="S547"/>
  <c r="U547"/>
  <c r="Y547"/>
  <c r="AC547"/>
  <c r="R547"/>
  <c r="T547"/>
  <c r="V547"/>
  <c r="X547"/>
  <c r="Z547"/>
  <c r="A549"/>
  <c r="Q549"/>
  <c r="S549"/>
  <c r="U549"/>
  <c r="Y549"/>
  <c r="AC549"/>
  <c r="R549"/>
  <c r="T549"/>
  <c r="V549"/>
  <c r="X549"/>
  <c r="Z549"/>
  <c r="A551"/>
  <c r="Q551"/>
  <c r="S551"/>
  <c r="U551"/>
  <c r="Y551"/>
  <c r="AC551"/>
  <c r="R551"/>
  <c r="T551"/>
  <c r="V551"/>
  <c r="X551"/>
  <c r="Z551"/>
  <c r="A553"/>
  <c r="Q553"/>
  <c r="S553"/>
  <c r="U553"/>
  <c r="Y553"/>
  <c r="AC553"/>
  <c r="R553"/>
  <c r="T553"/>
  <c r="V553"/>
  <c r="X553"/>
  <c r="Z553"/>
  <c r="A555"/>
  <c r="Q555"/>
  <c r="S555"/>
  <c r="U555"/>
  <c r="Y555"/>
  <c r="AC555"/>
  <c r="R555"/>
  <c r="T555"/>
  <c r="V555"/>
  <c r="X555"/>
  <c r="Z555"/>
  <c r="A557"/>
  <c r="Q557"/>
  <c r="S557"/>
  <c r="U557"/>
  <c r="Y557"/>
  <c r="AC557"/>
  <c r="R557"/>
  <c r="T557"/>
  <c r="V557"/>
  <c r="X557"/>
  <c r="Z557"/>
  <c r="A559"/>
  <c r="Q559"/>
  <c r="S559"/>
  <c r="U559"/>
  <c r="Y559"/>
  <c r="AC559"/>
  <c r="R559"/>
  <c r="T559"/>
  <c r="V559"/>
  <c r="X559"/>
  <c r="Z559"/>
  <c r="A561"/>
  <c r="Q561"/>
  <c r="S561"/>
  <c r="U561"/>
  <c r="Y561"/>
  <c r="AC561"/>
  <c r="R561"/>
  <c r="T561"/>
  <c r="V561"/>
  <c r="X561"/>
  <c r="Z561"/>
  <c r="A563"/>
  <c r="Q563"/>
  <c r="S563"/>
  <c r="U563"/>
  <c r="Y563"/>
  <c r="AC563"/>
  <c r="R563"/>
  <c r="T563"/>
  <c r="V563"/>
  <c r="X563"/>
  <c r="Z563"/>
  <c r="A565"/>
  <c r="Q565"/>
  <c r="S565"/>
  <c r="U565"/>
  <c r="Y565"/>
  <c r="AC565"/>
  <c r="R565"/>
  <c r="T565"/>
  <c r="V565"/>
  <c r="X565"/>
  <c r="Z565"/>
  <c r="A567"/>
  <c r="Q567"/>
  <c r="S567"/>
  <c r="U567"/>
  <c r="Y567"/>
  <c r="AC567"/>
  <c r="R567"/>
  <c r="T567"/>
  <c r="V567"/>
  <c r="X567"/>
  <c r="Z567"/>
  <c r="A569"/>
  <c r="Q569"/>
  <c r="S569"/>
  <c r="U569"/>
  <c r="Y569"/>
  <c r="AC569"/>
  <c r="R569"/>
  <c r="T569"/>
  <c r="V569"/>
  <c r="X569"/>
  <c r="Z569"/>
  <c r="A571"/>
  <c r="Q571"/>
  <c r="S571"/>
  <c r="U571"/>
  <c r="Y571"/>
  <c r="AC571"/>
  <c r="R571"/>
  <c r="T571"/>
  <c r="V571"/>
  <c r="X571"/>
  <c r="Z571"/>
  <c r="A573"/>
  <c r="Q573"/>
  <c r="S573"/>
  <c r="U573"/>
  <c r="Y573"/>
  <c r="AC573"/>
  <c r="R573"/>
  <c r="T573"/>
  <c r="V573"/>
  <c r="X573"/>
  <c r="Z573"/>
  <c r="A575"/>
  <c r="Q575"/>
  <c r="S575"/>
  <c r="U575"/>
  <c r="Y575"/>
  <c r="AC575"/>
  <c r="R575"/>
  <c r="T575"/>
  <c r="V575"/>
  <c r="X575"/>
  <c r="Z575"/>
  <c r="A577"/>
  <c r="Q577"/>
  <c r="S577"/>
  <c r="U577"/>
  <c r="Y577"/>
  <c r="AC577"/>
  <c r="R577"/>
  <c r="T577"/>
  <c r="V577"/>
  <c r="X577"/>
  <c r="Z577"/>
  <c r="A579"/>
  <c r="Q579"/>
  <c r="S579"/>
  <c r="U579"/>
  <c r="Y579"/>
  <c r="AC579"/>
  <c r="R579"/>
  <c r="T579"/>
  <c r="V579"/>
  <c r="X579"/>
  <c r="Z579"/>
  <c r="A581"/>
  <c r="Q581"/>
  <c r="S581"/>
  <c r="U581"/>
  <c r="Y581"/>
  <c r="AC581"/>
  <c r="R581"/>
  <c r="T581"/>
  <c r="V581"/>
  <c r="X581"/>
  <c r="Z581"/>
  <c r="Q583"/>
  <c r="S583"/>
  <c r="U583"/>
  <c r="Y583"/>
  <c r="AC583"/>
  <c r="R583"/>
  <c r="T583"/>
  <c r="V583"/>
  <c r="X583"/>
  <c r="Z583"/>
  <c r="Q585"/>
  <c r="S585"/>
  <c r="U585"/>
  <c r="Y585"/>
  <c r="AC585"/>
  <c r="R585"/>
  <c r="T585"/>
  <c r="V585"/>
  <c r="X585"/>
  <c r="Z585"/>
  <c r="Q587"/>
  <c r="S587"/>
  <c r="U587"/>
  <c r="Y587"/>
  <c r="AC587"/>
  <c r="R587"/>
  <c r="T587"/>
  <c r="V587"/>
  <c r="X587"/>
  <c r="Z587"/>
  <c r="Q589"/>
  <c r="S589"/>
  <c r="U589"/>
  <c r="Y589"/>
  <c r="AC589"/>
  <c r="R589"/>
  <c r="T589"/>
  <c r="V589"/>
  <c r="X589"/>
  <c r="Z589"/>
  <c r="Q591"/>
  <c r="S591"/>
  <c r="U591"/>
  <c r="Y591"/>
  <c r="AC591"/>
  <c r="R591"/>
  <c r="T591"/>
  <c r="V591"/>
  <c r="X591"/>
  <c r="Z591"/>
  <c r="Q593"/>
  <c r="S593"/>
  <c r="U593"/>
  <c r="Y593"/>
  <c r="AC593"/>
  <c r="R593"/>
  <c r="T593"/>
  <c r="V593"/>
  <c r="X593"/>
  <c r="Z593"/>
  <c r="Q595"/>
  <c r="S595"/>
  <c r="U595"/>
  <c r="Y595"/>
  <c r="AC595"/>
  <c r="R595"/>
  <c r="T595"/>
  <c r="V595"/>
  <c r="X595"/>
  <c r="Z595"/>
  <c r="Q597"/>
  <c r="S597"/>
  <c r="U597"/>
  <c r="Y597"/>
  <c r="AC597"/>
  <c r="R597"/>
  <c r="T597"/>
  <c r="V597"/>
  <c r="X597"/>
  <c r="Z597"/>
  <c r="Q599"/>
  <c r="S599"/>
  <c r="U599"/>
  <c r="Y599"/>
  <c r="AC599"/>
  <c r="R599"/>
  <c r="T599"/>
  <c r="V599"/>
  <c r="X599"/>
  <c r="Z599"/>
  <c r="Q601"/>
  <c r="S601"/>
  <c r="U601"/>
  <c r="Y601"/>
  <c r="AC601"/>
  <c r="R601"/>
  <c r="T601"/>
  <c r="V601"/>
  <c r="X601"/>
  <c r="Z601"/>
  <c r="Q603"/>
  <c r="S603"/>
  <c r="U603"/>
  <c r="Y603"/>
  <c r="AC603"/>
  <c r="R603"/>
  <c r="T603"/>
  <c r="V603"/>
  <c r="X603"/>
  <c r="Z603"/>
  <c r="Q605"/>
  <c r="S605"/>
  <c r="U605"/>
  <c r="Y605"/>
  <c r="AC605"/>
  <c r="R605"/>
  <c r="T605"/>
  <c r="V605"/>
  <c r="X605"/>
  <c r="Z605"/>
  <c r="Q607"/>
  <c r="S607"/>
  <c r="U607"/>
  <c r="Y607"/>
  <c r="AC607"/>
  <c r="R607"/>
  <c r="T607"/>
  <c r="Z607"/>
  <c r="X607"/>
  <c r="V607"/>
  <c r="Q609"/>
  <c r="S609"/>
  <c r="U609"/>
  <c r="Y609"/>
  <c r="AC609"/>
  <c r="T609"/>
  <c r="Z609"/>
  <c r="R609"/>
  <c r="V609"/>
  <c r="X609"/>
  <c r="T611"/>
  <c r="V611"/>
  <c r="X611"/>
  <c r="Z611"/>
  <c r="U611"/>
  <c r="Y611"/>
  <c r="AC611"/>
  <c r="T613"/>
  <c r="V613"/>
  <c r="X613"/>
  <c r="Z613"/>
  <c r="U613"/>
  <c r="Y613"/>
  <c r="AC613"/>
  <c r="T615"/>
  <c r="V615"/>
  <c r="X615"/>
  <c r="Z615"/>
  <c r="U615"/>
  <c r="Y615"/>
  <c r="AC615"/>
  <c r="T617"/>
  <c r="V617"/>
  <c r="X617"/>
  <c r="Z617"/>
  <c r="U617"/>
  <c r="Y617"/>
  <c r="AC617"/>
  <c r="T619"/>
  <c r="V619"/>
  <c r="X619"/>
  <c r="Z619"/>
  <c r="U619"/>
  <c r="Y619"/>
  <c r="AC619"/>
  <c r="T621"/>
  <c r="V621"/>
  <c r="X621"/>
  <c r="Z621"/>
  <c r="U621"/>
  <c r="Y621"/>
  <c r="AC621"/>
  <c r="T623"/>
  <c r="V623"/>
  <c r="X623"/>
  <c r="Z623"/>
  <c r="U623"/>
  <c r="Y623"/>
  <c r="AC623"/>
  <c r="T625"/>
  <c r="V625"/>
  <c r="X625"/>
  <c r="Z625"/>
  <c r="U625"/>
  <c r="Y625"/>
  <c r="AC625"/>
  <c r="T627"/>
  <c r="V627"/>
  <c r="X627"/>
  <c r="Z627"/>
  <c r="U627"/>
  <c r="Y627"/>
  <c r="AC627"/>
  <c r="T629"/>
  <c r="V629"/>
  <c r="X629"/>
  <c r="Z629"/>
  <c r="U629"/>
  <c r="Y629"/>
  <c r="AC629"/>
  <c r="T631"/>
  <c r="V631"/>
  <c r="X631"/>
  <c r="Z631"/>
  <c r="U631"/>
  <c r="Y631"/>
  <c r="AC631"/>
  <c r="T633"/>
  <c r="V633"/>
  <c r="X633"/>
  <c r="Z633"/>
  <c r="U633"/>
  <c r="Y633"/>
  <c r="AC633"/>
  <c r="T635"/>
  <c r="V635"/>
  <c r="X635"/>
  <c r="Z635"/>
  <c r="U635"/>
  <c r="Y635"/>
  <c r="AC635"/>
  <c r="T637"/>
  <c r="V637"/>
  <c r="X637"/>
  <c r="Z637"/>
  <c r="U637"/>
  <c r="Y637"/>
  <c r="AC637"/>
  <c r="T639"/>
  <c r="V639"/>
  <c r="X639"/>
  <c r="Z639"/>
  <c r="U639"/>
  <c r="Y639"/>
  <c r="AC639"/>
  <c r="T641"/>
  <c r="V641"/>
  <c r="X641"/>
  <c r="Z641"/>
  <c r="U641"/>
  <c r="Y641"/>
  <c r="AC641"/>
  <c r="T643"/>
  <c r="V643"/>
  <c r="X643"/>
  <c r="Z643"/>
  <c r="U643"/>
  <c r="Y643"/>
  <c r="AC643"/>
  <c r="T645"/>
  <c r="V645"/>
  <c r="X645"/>
  <c r="Z645"/>
  <c r="U645"/>
  <c r="Y645"/>
  <c r="AC645"/>
  <c r="T647"/>
  <c r="V647"/>
  <c r="X647"/>
  <c r="Z647"/>
  <c r="U647"/>
  <c r="Y647"/>
  <c r="AC647"/>
  <c r="T649"/>
  <c r="V649"/>
  <c r="X649"/>
  <c r="Z649"/>
  <c r="U649"/>
  <c r="Y649"/>
  <c r="AC649"/>
  <c r="T651"/>
  <c r="V651"/>
  <c r="X651"/>
  <c r="Z651"/>
  <c r="U651"/>
  <c r="Y651"/>
  <c r="AC651"/>
  <c r="T653"/>
  <c r="V653"/>
  <c r="X653"/>
  <c r="Z653"/>
  <c r="U653"/>
  <c r="Y653"/>
  <c r="AC653"/>
  <c r="T655"/>
  <c r="V655"/>
  <c r="X655"/>
  <c r="Z655"/>
  <c r="U655"/>
  <c r="Y655"/>
  <c r="AC655"/>
  <c r="T657"/>
  <c r="V657"/>
  <c r="X657"/>
  <c r="Z657"/>
  <c r="U657"/>
  <c r="Y657"/>
  <c r="AC657"/>
  <c r="T659"/>
  <c r="V659"/>
  <c r="X659"/>
  <c r="Z659"/>
  <c r="U659"/>
  <c r="Y659"/>
  <c r="AC659"/>
  <c r="T661"/>
  <c r="V661"/>
  <c r="X661"/>
  <c r="Z661"/>
  <c r="U661"/>
  <c r="Y661"/>
  <c r="AC661"/>
  <c r="T663"/>
  <c r="V663"/>
  <c r="X663"/>
  <c r="Z663"/>
  <c r="U663"/>
  <c r="Y663"/>
  <c r="AC663"/>
  <c r="T665"/>
  <c r="V665"/>
  <c r="X665"/>
  <c r="Z665"/>
  <c r="U665"/>
  <c r="Y665"/>
  <c r="AC665"/>
  <c r="T667"/>
  <c r="V667"/>
  <c r="X667"/>
  <c r="Z667"/>
  <c r="U667"/>
  <c r="Y667"/>
  <c r="AC667"/>
  <c r="T669"/>
  <c r="V669"/>
  <c r="X669"/>
  <c r="Z669"/>
  <c r="U669"/>
  <c r="Y669"/>
  <c r="AC669"/>
  <c r="T671"/>
  <c r="V671"/>
  <c r="X671"/>
  <c r="Z671"/>
  <c r="U671"/>
  <c r="Y671"/>
  <c r="AC671"/>
  <c r="T673"/>
  <c r="V673"/>
  <c r="X673"/>
  <c r="Z673"/>
  <c r="U673"/>
  <c r="Y673"/>
  <c r="AC673"/>
  <c r="T675"/>
  <c r="V675"/>
  <c r="X675"/>
  <c r="Z675"/>
  <c r="U675"/>
  <c r="Y675"/>
  <c r="AC675"/>
  <c r="T677"/>
  <c r="V677"/>
  <c r="X677"/>
  <c r="Z677"/>
  <c r="U677"/>
  <c r="Y677"/>
  <c r="AC677"/>
  <c r="T679"/>
  <c r="V679"/>
  <c r="X679"/>
  <c r="Z679"/>
  <c r="U679"/>
  <c r="Y679"/>
  <c r="AC679"/>
  <c r="T681"/>
  <c r="V681"/>
  <c r="X681"/>
  <c r="Z681"/>
  <c r="U681"/>
  <c r="Y681"/>
  <c r="AC681"/>
  <c r="T683"/>
  <c r="V683"/>
  <c r="X683"/>
  <c r="Z683"/>
  <c r="U683"/>
  <c r="Y683"/>
  <c r="AC683"/>
  <c r="T685"/>
  <c r="V685"/>
  <c r="X685"/>
  <c r="Z685"/>
  <c r="U685"/>
  <c r="Y685"/>
  <c r="AC685"/>
  <c r="T687"/>
  <c r="V687"/>
  <c r="X687"/>
  <c r="Z687"/>
  <c r="U687"/>
  <c r="Y687"/>
  <c r="AC687"/>
  <c r="T689"/>
  <c r="V689"/>
  <c r="X689"/>
  <c r="Z689"/>
  <c r="U689"/>
  <c r="Y689"/>
  <c r="AC689"/>
  <c r="T691"/>
  <c r="V691"/>
  <c r="X691"/>
  <c r="Z691"/>
  <c r="U691"/>
  <c r="Y691"/>
  <c r="AC691"/>
  <c r="T693"/>
  <c r="V693"/>
  <c r="X693"/>
  <c r="Z693"/>
  <c r="U693"/>
  <c r="Y693"/>
  <c r="AC693"/>
  <c r="T695"/>
  <c r="V695"/>
  <c r="X695"/>
  <c r="Z695"/>
  <c r="U695"/>
  <c r="Y695"/>
  <c r="AC695"/>
  <c r="T697"/>
  <c r="V697"/>
  <c r="X697"/>
  <c r="Z697"/>
  <c r="U697"/>
  <c r="Y697"/>
  <c r="AC697"/>
  <c r="T699"/>
  <c r="V699"/>
  <c r="X699"/>
  <c r="Z699"/>
  <c r="U699"/>
  <c r="Y699"/>
  <c r="AC699"/>
  <c r="T701"/>
  <c r="V701"/>
  <c r="X701"/>
  <c r="Z701"/>
  <c r="U701"/>
  <c r="Y701"/>
  <c r="AC701"/>
  <c r="T703"/>
  <c r="V703"/>
  <c r="X703"/>
  <c r="Z703"/>
  <c r="U703"/>
  <c r="Y703"/>
  <c r="AC703"/>
  <c r="T705"/>
  <c r="V705"/>
  <c r="X705"/>
  <c r="Z705"/>
  <c r="U705"/>
  <c r="Y705"/>
  <c r="AC705"/>
  <c r="T707"/>
  <c r="V707"/>
  <c r="X707"/>
  <c r="Z707"/>
  <c r="U707"/>
  <c r="Y707"/>
  <c r="AC707"/>
  <c r="T709"/>
  <c r="V709"/>
  <c r="X709"/>
  <c r="Z709"/>
  <c r="U709"/>
  <c r="Y709"/>
  <c r="AC709"/>
  <c r="T711"/>
  <c r="V711"/>
  <c r="X711"/>
  <c r="Z711"/>
  <c r="U711"/>
  <c r="Y711"/>
  <c r="AC711"/>
  <c r="T713"/>
  <c r="V713"/>
  <c r="X713"/>
  <c r="Z713"/>
  <c r="U713"/>
  <c r="Y713"/>
  <c r="AC713"/>
  <c r="T715"/>
  <c r="V715"/>
  <c r="X715"/>
  <c r="Z715"/>
  <c r="U715"/>
  <c r="Y715"/>
  <c r="AC715"/>
  <c r="T717"/>
  <c r="V717"/>
  <c r="X717"/>
  <c r="Z717"/>
  <c r="U717"/>
  <c r="Y717"/>
  <c r="AC717"/>
  <c r="T719"/>
  <c r="V719"/>
  <c r="X719"/>
  <c r="Z719"/>
  <c r="U719"/>
  <c r="Y719"/>
  <c r="AC719"/>
  <c r="T721"/>
  <c r="V721"/>
  <c r="X721"/>
  <c r="Z721"/>
  <c r="U721"/>
  <c r="Y721"/>
  <c r="AC721"/>
  <c r="T723"/>
  <c r="V723"/>
  <c r="X723"/>
  <c r="Z723"/>
  <c r="U723"/>
  <c r="Y723"/>
  <c r="AC723"/>
  <c r="T725"/>
  <c r="V725"/>
  <c r="X725"/>
  <c r="Z725"/>
  <c r="U725"/>
  <c r="Y725"/>
  <c r="AC725"/>
  <c r="T727"/>
  <c r="V727"/>
  <c r="X727"/>
  <c r="Z727"/>
  <c r="U727"/>
  <c r="Y727"/>
  <c r="AC727"/>
  <c r="T729"/>
  <c r="V729"/>
  <c r="X729"/>
  <c r="Z729"/>
  <c r="U729"/>
  <c r="Y729"/>
  <c r="AC729"/>
  <c r="T731"/>
  <c r="V731"/>
  <c r="X731"/>
  <c r="Z731"/>
  <c r="U731"/>
  <c r="Y731"/>
  <c r="AC731"/>
  <c r="T733"/>
  <c r="V733"/>
  <c r="X733"/>
  <c r="Z733"/>
  <c r="U733"/>
  <c r="Y733"/>
  <c r="AC733"/>
  <c r="T735"/>
  <c r="V735"/>
  <c r="X735"/>
  <c r="Z735"/>
  <c r="U735"/>
  <c r="Y735"/>
  <c r="AC735"/>
  <c r="T737"/>
  <c r="V737"/>
  <c r="X737"/>
  <c r="Z737"/>
  <c r="U737"/>
  <c r="Y737"/>
  <c r="AC737"/>
  <c r="T739"/>
  <c r="V739"/>
  <c r="X739"/>
  <c r="Z739"/>
  <c r="U739"/>
  <c r="Y739"/>
  <c r="AC739"/>
  <c r="T741"/>
  <c r="V741"/>
  <c r="X741"/>
  <c r="Z741"/>
  <c r="U741"/>
  <c r="Y741"/>
  <c r="AC741"/>
  <c r="T743"/>
  <c r="V743"/>
  <c r="X743"/>
  <c r="Z743"/>
  <c r="U743"/>
  <c r="Y743"/>
  <c r="AC743"/>
  <c r="T745"/>
  <c r="V745"/>
  <c r="X745"/>
  <c r="Z745"/>
  <c r="U745"/>
  <c r="Y745"/>
  <c r="AC745"/>
  <c r="T747"/>
  <c r="V747"/>
  <c r="X747"/>
  <c r="Z747"/>
  <c r="U747"/>
  <c r="Y747"/>
  <c r="AC747"/>
  <c r="T749"/>
  <c r="V749"/>
  <c r="X749"/>
  <c r="Z749"/>
  <c r="U749"/>
  <c r="Y749"/>
  <c r="AC749"/>
  <c r="T751"/>
  <c r="V751"/>
  <c r="X751"/>
  <c r="Z751"/>
  <c r="U751"/>
  <c r="Y751"/>
  <c r="AC751"/>
  <c r="T753"/>
  <c r="V753"/>
  <c r="X753"/>
  <c r="Z753"/>
  <c r="U753"/>
  <c r="Y753"/>
  <c r="AC753"/>
  <c r="T755"/>
  <c r="V755"/>
  <c r="X755"/>
  <c r="Z755"/>
  <c r="U755"/>
  <c r="Y755"/>
  <c r="AC755"/>
  <c r="T757"/>
  <c r="V757"/>
  <c r="X757"/>
  <c r="Z757"/>
  <c r="U757"/>
  <c r="Y757"/>
  <c r="AC757"/>
  <c r="T759"/>
  <c r="V759"/>
  <c r="X759"/>
  <c r="Z759"/>
  <c r="U759"/>
  <c r="Y759"/>
  <c r="AC759"/>
  <c r="T761"/>
  <c r="V761"/>
  <c r="X761"/>
  <c r="Z761"/>
  <c r="U761"/>
  <c r="Y761"/>
  <c r="AC761"/>
  <c r="T763"/>
  <c r="V763"/>
  <c r="X763"/>
  <c r="Z763"/>
  <c r="U763"/>
  <c r="Y763"/>
  <c r="AC763"/>
  <c r="T765"/>
  <c r="V765"/>
  <c r="X765"/>
  <c r="Z765"/>
  <c r="U765"/>
  <c r="Y765"/>
  <c r="AC765"/>
  <c r="T767"/>
  <c r="V767"/>
  <c r="X767"/>
  <c r="Z767"/>
  <c r="U767"/>
  <c r="Y767"/>
  <c r="AC767"/>
  <c r="T769"/>
  <c r="V769"/>
  <c r="X769"/>
  <c r="Z769"/>
  <c r="U769"/>
  <c r="Y769"/>
  <c r="AC769"/>
  <c r="T771"/>
  <c r="V771"/>
  <c r="X771"/>
  <c r="Z771"/>
  <c r="U771"/>
  <c r="Y771"/>
  <c r="AC771"/>
  <c r="T773"/>
  <c r="V773"/>
  <c r="X773"/>
  <c r="Z773"/>
  <c r="U773"/>
  <c r="Y773"/>
  <c r="AC773"/>
  <c r="T775"/>
  <c r="V775"/>
  <c r="X775"/>
  <c r="Z775"/>
  <c r="U775"/>
  <c r="Y775"/>
  <c r="AC775"/>
  <c r="T777"/>
  <c r="V777"/>
  <c r="X777"/>
  <c r="Z777"/>
  <c r="U777"/>
  <c r="Y777"/>
  <c r="AC777"/>
  <c r="T779"/>
  <c r="V779"/>
  <c r="X779"/>
  <c r="Z779"/>
  <c r="U779"/>
  <c r="Y779"/>
  <c r="AC779"/>
  <c r="T781"/>
  <c r="V781"/>
  <c r="X781"/>
  <c r="Z781"/>
  <c r="U781"/>
  <c r="Y781"/>
  <c r="AC781"/>
  <c r="T783"/>
  <c r="V783"/>
  <c r="X783"/>
  <c r="Z783"/>
  <c r="U783"/>
  <c r="Y783"/>
  <c r="AC783"/>
  <c r="T785"/>
  <c r="V785"/>
  <c r="X785"/>
  <c r="Z785"/>
  <c r="U785"/>
  <c r="Y785"/>
  <c r="AC785"/>
  <c r="T787"/>
  <c r="V787"/>
  <c r="X787"/>
  <c r="Z787"/>
  <c r="U787"/>
  <c r="Y787"/>
  <c r="AC787"/>
  <c r="T789"/>
  <c r="V789"/>
  <c r="X789"/>
  <c r="Z789"/>
  <c r="U789"/>
  <c r="Y789"/>
  <c r="AC789"/>
  <c r="T791"/>
  <c r="V791"/>
  <c r="X791"/>
  <c r="Z791"/>
  <c r="U791"/>
  <c r="Y791"/>
  <c r="AC791"/>
  <c r="T793"/>
  <c r="V793"/>
  <c r="X793"/>
  <c r="Z793"/>
  <c r="U793"/>
  <c r="Y793"/>
  <c r="AC793"/>
  <c r="T795"/>
  <c r="V795"/>
  <c r="X795"/>
  <c r="Z795"/>
  <c r="U795"/>
  <c r="Y795"/>
  <c r="AC795"/>
  <c r="T797"/>
  <c r="V797"/>
  <c r="X797"/>
  <c r="Z797"/>
  <c r="U797"/>
  <c r="Y797"/>
  <c r="AC797"/>
  <c r="T799"/>
  <c r="V799"/>
  <c r="X799"/>
  <c r="Z799"/>
  <c r="U799"/>
  <c r="Y799"/>
  <c r="AC799"/>
  <c r="T801"/>
  <c r="V801"/>
  <c r="X801"/>
  <c r="Z801"/>
  <c r="U801"/>
  <c r="Y801"/>
  <c r="AC801"/>
  <c r="T803"/>
  <c r="V803"/>
  <c r="X803"/>
  <c r="Z803"/>
  <c r="U803"/>
  <c r="Y803"/>
  <c r="AC803"/>
  <c r="T805"/>
  <c r="V805"/>
  <c r="X805"/>
  <c r="Z805"/>
  <c r="U805"/>
  <c r="Y805"/>
  <c r="AC805"/>
  <c r="T807"/>
  <c r="V807"/>
  <c r="X807"/>
  <c r="Z807"/>
  <c r="U807"/>
  <c r="Y807"/>
  <c r="AC807"/>
  <c r="T809"/>
  <c r="V809"/>
  <c r="X809"/>
  <c r="Z809"/>
  <c r="U809"/>
  <c r="Y809"/>
  <c r="AC809"/>
  <c r="T811"/>
  <c r="V811"/>
  <c r="X811"/>
  <c r="Z811"/>
  <c r="U811"/>
  <c r="Y811"/>
  <c r="AC811"/>
  <c r="T813"/>
  <c r="V813"/>
  <c r="X813"/>
  <c r="Z813"/>
  <c r="U813"/>
  <c r="Y813"/>
  <c r="AC813"/>
  <c r="A318"/>
  <c r="Q318"/>
  <c r="S318"/>
  <c r="U318"/>
  <c r="Y318"/>
  <c r="AC318"/>
  <c r="R318"/>
  <c r="T318"/>
  <c r="V318"/>
  <c r="X318"/>
  <c r="Z318"/>
  <c r="A361"/>
  <c r="Q361"/>
  <c r="S361"/>
  <c r="U361"/>
  <c r="Y361"/>
  <c r="AC361"/>
  <c r="R361"/>
  <c r="T361"/>
  <c r="V361"/>
  <c r="X361"/>
  <c r="Z361"/>
  <c r="A359"/>
  <c r="Q359"/>
  <c r="S359"/>
  <c r="U359"/>
  <c r="Y359"/>
  <c r="AC359"/>
  <c r="R359"/>
  <c r="T359"/>
  <c r="V359"/>
  <c r="X359"/>
  <c r="Z359"/>
  <c r="A331"/>
  <c r="Q331"/>
  <c r="S331"/>
  <c r="U331"/>
  <c r="Y331"/>
  <c r="AC331"/>
  <c r="R331"/>
  <c r="T331"/>
  <c r="V331"/>
  <c r="X331"/>
  <c r="Z331"/>
  <c r="A350"/>
  <c r="Q350"/>
  <c r="S350"/>
  <c r="U350"/>
  <c r="Y350"/>
  <c r="AC350"/>
  <c r="R350"/>
  <c r="T350"/>
  <c r="V350"/>
  <c r="X350"/>
  <c r="Z350"/>
  <c r="A319"/>
  <c r="Q319"/>
  <c r="S319"/>
  <c r="U319"/>
  <c r="Y319"/>
  <c r="AC319"/>
  <c r="R319"/>
  <c r="T319"/>
  <c r="V319"/>
  <c r="X319"/>
  <c r="Z319"/>
  <c r="A419"/>
  <c r="Q419"/>
  <c r="S419"/>
  <c r="U419"/>
  <c r="Y419"/>
  <c r="AC419"/>
  <c r="R419"/>
  <c r="T419"/>
  <c r="V419"/>
  <c r="X419"/>
  <c r="Z419"/>
  <c r="A421"/>
  <c r="Q421"/>
  <c r="S421"/>
  <c r="U421"/>
  <c r="Y421"/>
  <c r="AC421"/>
  <c r="R421"/>
  <c r="T421"/>
  <c r="V421"/>
  <c r="X421"/>
  <c r="Z421"/>
  <c r="A266"/>
  <c r="Q266"/>
  <c r="S266"/>
  <c r="U266"/>
  <c r="Y266"/>
  <c r="AC266"/>
  <c r="R266"/>
  <c r="T266"/>
  <c r="V266"/>
  <c r="X266"/>
  <c r="Z266"/>
  <c r="A304"/>
  <c r="Q304"/>
  <c r="S304"/>
  <c r="U304"/>
  <c r="Y304"/>
  <c r="AC304"/>
  <c r="R304"/>
  <c r="T304"/>
  <c r="V304"/>
  <c r="X304"/>
  <c r="Z304"/>
  <c r="A321"/>
  <c r="Q321"/>
  <c r="S321"/>
  <c r="U321"/>
  <c r="Y321"/>
  <c r="AC321"/>
  <c r="R321"/>
  <c r="T321"/>
  <c r="V321"/>
  <c r="X321"/>
  <c r="Z321"/>
  <c r="A352"/>
  <c r="Q352"/>
  <c r="S352"/>
  <c r="U352"/>
  <c r="Y352"/>
  <c r="AC352"/>
  <c r="R352"/>
  <c r="T352"/>
  <c r="V352"/>
  <c r="X352"/>
  <c r="Z352"/>
  <c r="A278"/>
  <c r="Q278"/>
  <c r="S278"/>
  <c r="U278"/>
  <c r="Y278"/>
  <c r="AC278"/>
  <c r="R278"/>
  <c r="T278"/>
  <c r="V278"/>
  <c r="X278"/>
  <c r="Z278"/>
  <c r="A281"/>
  <c r="Q281"/>
  <c r="S281"/>
  <c r="U281"/>
  <c r="Y281"/>
  <c r="AC281"/>
  <c r="R281"/>
  <c r="T281"/>
  <c r="V281"/>
  <c r="X281"/>
  <c r="Z281"/>
  <c r="A312"/>
  <c r="Q312"/>
  <c r="S312"/>
  <c r="U312"/>
  <c r="Y312"/>
  <c r="AC312"/>
  <c r="R312"/>
  <c r="T312"/>
  <c r="V312"/>
  <c r="X312"/>
  <c r="Z312"/>
  <c r="A328"/>
  <c r="Q328"/>
  <c r="S328"/>
  <c r="U328"/>
  <c r="Y328"/>
  <c r="AC328"/>
  <c r="R328"/>
  <c r="T328"/>
  <c r="V328"/>
  <c r="X328"/>
  <c r="Z328"/>
  <c r="A333"/>
  <c r="Q333"/>
  <c r="S333"/>
  <c r="U333"/>
  <c r="Y333"/>
  <c r="AC333"/>
  <c r="R333"/>
  <c r="T333"/>
  <c r="V333"/>
  <c r="X333"/>
  <c r="Z333"/>
  <c r="A335"/>
  <c r="Q335"/>
  <c r="S335"/>
  <c r="U335"/>
  <c r="Y335"/>
  <c r="AC335"/>
  <c r="R335"/>
  <c r="T335"/>
  <c r="V335"/>
  <c r="X335"/>
  <c r="Z335"/>
  <c r="A362"/>
  <c r="Q362"/>
  <c r="S362"/>
  <c r="U362"/>
  <c r="Y362"/>
  <c r="AC362"/>
  <c r="R362"/>
  <c r="T362"/>
  <c r="V362"/>
  <c r="X362"/>
  <c r="Z362"/>
  <c r="A283"/>
  <c r="Q283"/>
  <c r="S283"/>
  <c r="U283"/>
  <c r="Y283"/>
  <c r="AC283"/>
  <c r="R283"/>
  <c r="T283"/>
  <c r="V283"/>
  <c r="X283"/>
  <c r="Z283"/>
  <c r="A285"/>
  <c r="Q285"/>
  <c r="S285"/>
  <c r="U285"/>
  <c r="Y285"/>
  <c r="AC285"/>
  <c r="R285"/>
  <c r="T285"/>
  <c r="V285"/>
  <c r="X285"/>
  <c r="Z285"/>
  <c r="A287"/>
  <c r="Q287"/>
  <c r="S287"/>
  <c r="U287"/>
  <c r="Y287"/>
  <c r="AC287"/>
  <c r="R287"/>
  <c r="T287"/>
  <c r="V287"/>
  <c r="X287"/>
  <c r="Z287"/>
  <c r="A289"/>
  <c r="Q289"/>
  <c r="S289"/>
  <c r="U289"/>
  <c r="Y289"/>
  <c r="AC289"/>
  <c r="R289"/>
  <c r="T289"/>
  <c r="V289"/>
  <c r="X289"/>
  <c r="Z289"/>
  <c r="A291"/>
  <c r="Q291"/>
  <c r="S291"/>
  <c r="U291"/>
  <c r="Y291"/>
  <c r="AC291"/>
  <c r="R291"/>
  <c r="T291"/>
  <c r="V291"/>
  <c r="X291"/>
  <c r="Z291"/>
  <c r="A293"/>
  <c r="Q293"/>
  <c r="S293"/>
  <c r="U293"/>
  <c r="Y293"/>
  <c r="AC293"/>
  <c r="R293"/>
  <c r="T293"/>
  <c r="V293"/>
  <c r="X293"/>
  <c r="Z293"/>
  <c r="A295"/>
  <c r="Q295"/>
  <c r="S295"/>
  <c r="U295"/>
  <c r="Y295"/>
  <c r="AC295"/>
  <c r="R295"/>
  <c r="T295"/>
  <c r="V295"/>
  <c r="X295"/>
  <c r="Z295"/>
  <c r="A297"/>
  <c r="Q297"/>
  <c r="S297"/>
  <c r="U297"/>
  <c r="Y297"/>
  <c r="AC297"/>
  <c r="R297"/>
  <c r="T297"/>
  <c r="V297"/>
  <c r="X297"/>
  <c r="Z297"/>
  <c r="A299"/>
  <c r="Q299"/>
  <c r="S299"/>
  <c r="U299"/>
  <c r="Y299"/>
  <c r="AC299"/>
  <c r="R299"/>
  <c r="T299"/>
  <c r="V299"/>
  <c r="X299"/>
  <c r="Z299"/>
  <c r="A309"/>
  <c r="Q309"/>
  <c r="S309"/>
  <c r="U309"/>
  <c r="Y309"/>
  <c r="AC309"/>
  <c r="R309"/>
  <c r="T309"/>
  <c r="V309"/>
  <c r="X309"/>
  <c r="Z309"/>
  <c r="A314"/>
  <c r="Q314"/>
  <c r="S314"/>
  <c r="U314"/>
  <c r="Y314"/>
  <c r="AC314"/>
  <c r="R314"/>
  <c r="T314"/>
  <c r="V314"/>
  <c r="X314"/>
  <c r="Z314"/>
  <c r="A316"/>
  <c r="Q316"/>
  <c r="S316"/>
  <c r="U316"/>
  <c r="Y316"/>
  <c r="AC316"/>
  <c r="R316"/>
  <c r="T316"/>
  <c r="V316"/>
  <c r="X316"/>
  <c r="Z316"/>
  <c r="A336"/>
  <c r="Q336"/>
  <c r="S336"/>
  <c r="U336"/>
  <c r="Y336"/>
  <c r="AC336"/>
  <c r="R336"/>
  <c r="T336"/>
  <c r="V336"/>
  <c r="X336"/>
  <c r="Z336"/>
  <c r="A338"/>
  <c r="Q338"/>
  <c r="S338"/>
  <c r="U338"/>
  <c r="Y338"/>
  <c r="AC338"/>
  <c r="R338"/>
  <c r="T338"/>
  <c r="V338"/>
  <c r="X338"/>
  <c r="Z338"/>
  <c r="A340"/>
  <c r="Q340"/>
  <c r="S340"/>
  <c r="U340"/>
  <c r="Y340"/>
  <c r="AC340"/>
  <c r="R340"/>
  <c r="T340"/>
  <c r="V340"/>
  <c r="X340"/>
  <c r="Z340"/>
  <c r="A342"/>
  <c r="Q342"/>
  <c r="S342"/>
  <c r="U342"/>
  <c r="Y342"/>
  <c r="AC342"/>
  <c r="R342"/>
  <c r="T342"/>
  <c r="V342"/>
  <c r="X342"/>
  <c r="Z342"/>
  <c r="A344"/>
  <c r="Q344"/>
  <c r="S344"/>
  <c r="U344"/>
  <c r="Y344"/>
  <c r="AC344"/>
  <c r="R344"/>
  <c r="T344"/>
  <c r="V344"/>
  <c r="X344"/>
  <c r="Z344"/>
  <c r="A346"/>
  <c r="Q346"/>
  <c r="S346"/>
  <c r="U346"/>
  <c r="Y346"/>
  <c r="AC346"/>
  <c r="R346"/>
  <c r="T346"/>
  <c r="V346"/>
  <c r="X346"/>
  <c r="Z346"/>
  <c r="A356"/>
  <c r="Q356"/>
  <c r="S356"/>
  <c r="U356"/>
  <c r="Y356"/>
  <c r="AC356"/>
  <c r="R356"/>
  <c r="T356"/>
  <c r="V356"/>
  <c r="X356"/>
  <c r="Z356"/>
  <c r="A363"/>
  <c r="Q363"/>
  <c r="S363"/>
  <c r="U363"/>
  <c r="Y363"/>
  <c r="AC363"/>
  <c r="R363"/>
  <c r="T363"/>
  <c r="V363"/>
  <c r="X363"/>
  <c r="Z363"/>
  <c r="A365"/>
  <c r="Q365"/>
  <c r="S365"/>
  <c r="U365"/>
  <c r="Y365"/>
  <c r="AC365"/>
  <c r="R365"/>
  <c r="T365"/>
  <c r="V365"/>
  <c r="X365"/>
  <c r="Z365"/>
  <c r="A374"/>
  <c r="Q374"/>
  <c r="S374"/>
  <c r="U374"/>
  <c r="Y374"/>
  <c r="AC374"/>
  <c r="R374"/>
  <c r="T374"/>
  <c r="V374"/>
  <c r="X374"/>
  <c r="Z374"/>
  <c r="A376"/>
  <c r="Q376"/>
  <c r="S376"/>
  <c r="U376"/>
  <c r="Y376"/>
  <c r="AC376"/>
  <c r="R376"/>
  <c r="T376"/>
  <c r="V376"/>
  <c r="X376"/>
  <c r="Z376"/>
  <c r="A378"/>
  <c r="Q378"/>
  <c r="S378"/>
  <c r="U378"/>
  <c r="Y378"/>
  <c r="AC378"/>
  <c r="R378"/>
  <c r="T378"/>
  <c r="V378"/>
  <c r="X378"/>
  <c r="Z378"/>
  <c r="A393"/>
  <c r="Q393"/>
  <c r="S393"/>
  <c r="U393"/>
  <c r="Y393"/>
  <c r="AC393"/>
  <c r="R393"/>
  <c r="V393"/>
  <c r="X393"/>
  <c r="T393"/>
  <c r="Z393"/>
  <c r="A380"/>
  <c r="Q380"/>
  <c r="S380"/>
  <c r="U380"/>
  <c r="Y380"/>
  <c r="AC380"/>
  <c r="R380"/>
  <c r="T380"/>
  <c r="V380"/>
  <c r="X380"/>
  <c r="Z380"/>
  <c r="A382"/>
  <c r="Q382"/>
  <c r="S382"/>
  <c r="U382"/>
  <c r="Y382"/>
  <c r="AC382"/>
  <c r="R382"/>
  <c r="T382"/>
  <c r="V382"/>
  <c r="X382"/>
  <c r="Z382"/>
  <c r="A384"/>
  <c r="Q384"/>
  <c r="S384"/>
  <c r="U384"/>
  <c r="Y384"/>
  <c r="AC384"/>
  <c r="R384"/>
  <c r="T384"/>
  <c r="V384"/>
  <c r="X384"/>
  <c r="Z384"/>
  <c r="A386"/>
  <c r="Q386"/>
  <c r="S386"/>
  <c r="U386"/>
  <c r="Y386"/>
  <c r="AC386"/>
  <c r="R386"/>
  <c r="T386"/>
  <c r="V386"/>
  <c r="X386"/>
  <c r="Z386"/>
  <c r="A388"/>
  <c r="Q388"/>
  <c r="S388"/>
  <c r="U388"/>
  <c r="Y388"/>
  <c r="AC388"/>
  <c r="R388"/>
  <c r="V388"/>
  <c r="X388"/>
  <c r="T388"/>
  <c r="Z388"/>
  <c r="A390"/>
  <c r="Q390"/>
  <c r="S390"/>
  <c r="U390"/>
  <c r="Y390"/>
  <c r="AC390"/>
  <c r="R390"/>
  <c r="V390"/>
  <c r="X390"/>
  <c r="T390"/>
  <c r="Z390"/>
  <c r="A392"/>
  <c r="Q392"/>
  <c r="S392"/>
  <c r="U392"/>
  <c r="Y392"/>
  <c r="AC392"/>
  <c r="R392"/>
  <c r="V392"/>
  <c r="X392"/>
  <c r="T392"/>
  <c r="Z392"/>
  <c r="A395"/>
  <c r="Q395"/>
  <c r="S395"/>
  <c r="U395"/>
  <c r="Y395"/>
  <c r="AC395"/>
  <c r="R395"/>
  <c r="V395"/>
  <c r="X395"/>
  <c r="T395"/>
  <c r="Z395"/>
  <c r="A397"/>
  <c r="Q397"/>
  <c r="S397"/>
  <c r="U397"/>
  <c r="Y397"/>
  <c r="AC397"/>
  <c r="R397"/>
  <c r="V397"/>
  <c r="X397"/>
  <c r="T397"/>
  <c r="Z397"/>
  <c r="A399"/>
  <c r="Q399"/>
  <c r="S399"/>
  <c r="U399"/>
  <c r="Y399"/>
  <c r="AC399"/>
  <c r="R399"/>
  <c r="V399"/>
  <c r="X399"/>
  <c r="T399"/>
  <c r="Z399"/>
  <c r="A348"/>
  <c r="Q348"/>
  <c r="S348"/>
  <c r="U348"/>
  <c r="Y348"/>
  <c r="AC348"/>
  <c r="R348"/>
  <c r="T348"/>
  <c r="V348"/>
  <c r="X348"/>
  <c r="Z348"/>
  <c r="A371"/>
  <c r="Q371"/>
  <c r="S371"/>
  <c r="U371"/>
  <c r="Y371"/>
  <c r="AC371"/>
  <c r="R371"/>
  <c r="T371"/>
  <c r="V371"/>
  <c r="X371"/>
  <c r="Z371"/>
  <c r="A366"/>
  <c r="Q366"/>
  <c r="S366"/>
  <c r="U366"/>
  <c r="Y366"/>
  <c r="AC366"/>
  <c r="R366"/>
  <c r="T366"/>
  <c r="V366"/>
  <c r="X366"/>
  <c r="Z366"/>
  <c r="A368"/>
  <c r="Q368"/>
  <c r="S368"/>
  <c r="U368"/>
  <c r="Y368"/>
  <c r="AC368"/>
  <c r="R368"/>
  <c r="T368"/>
  <c r="V368"/>
  <c r="X368"/>
  <c r="Z368"/>
  <c r="A370"/>
  <c r="Q370"/>
  <c r="S370"/>
  <c r="U370"/>
  <c r="Y370"/>
  <c r="AC370"/>
  <c r="R370"/>
  <c r="T370"/>
  <c r="V370"/>
  <c r="X370"/>
  <c r="Z370"/>
  <c r="A409"/>
  <c r="Q409"/>
  <c r="S409"/>
  <c r="U409"/>
  <c r="Y409"/>
  <c r="AC409"/>
  <c r="R409"/>
  <c r="T409"/>
  <c r="V409"/>
  <c r="X409"/>
  <c r="Z409"/>
  <c r="A414"/>
  <c r="Q414"/>
  <c r="S414"/>
  <c r="U414"/>
  <c r="Y414"/>
  <c r="AC414"/>
  <c r="R414"/>
  <c r="T414"/>
  <c r="V414"/>
  <c r="X414"/>
  <c r="Z414"/>
  <c r="A428"/>
  <c r="Q428"/>
  <c r="S428"/>
  <c r="U428"/>
  <c r="Y428"/>
  <c r="AC428"/>
  <c r="R428"/>
  <c r="T428"/>
  <c r="V428"/>
  <c r="X428"/>
  <c r="Z428"/>
  <c r="A410"/>
  <c r="Q410"/>
  <c r="S410"/>
  <c r="U410"/>
  <c r="Y410"/>
  <c r="AC410"/>
  <c r="R410"/>
  <c r="T410"/>
  <c r="V410"/>
  <c r="X410"/>
  <c r="Z410"/>
  <c r="A412"/>
  <c r="Q412"/>
  <c r="S412"/>
  <c r="U412"/>
  <c r="Y412"/>
  <c r="AC412"/>
  <c r="R412"/>
  <c r="T412"/>
  <c r="V412"/>
  <c r="X412"/>
  <c r="Z412"/>
  <c r="A416"/>
  <c r="Q416"/>
  <c r="S416"/>
  <c r="U416"/>
  <c r="Y416"/>
  <c r="AC416"/>
  <c r="R416"/>
  <c r="T416"/>
  <c r="V416"/>
  <c r="X416"/>
  <c r="Z416"/>
  <c r="A418"/>
  <c r="Q418"/>
  <c r="S418"/>
  <c r="U418"/>
  <c r="Y418"/>
  <c r="AC418"/>
  <c r="R418"/>
  <c r="T418"/>
  <c r="V418"/>
  <c r="X418"/>
  <c r="Z418"/>
  <c r="A430"/>
  <c r="Q430"/>
  <c r="S430"/>
  <c r="U430"/>
  <c r="Y430"/>
  <c r="AC430"/>
  <c r="R430"/>
  <c r="T430"/>
  <c r="V430"/>
  <c r="X430"/>
  <c r="Z430"/>
  <c r="A436"/>
  <c r="Q436"/>
  <c r="S436"/>
  <c r="U436"/>
  <c r="Y436"/>
  <c r="AC436"/>
  <c r="R436"/>
  <c r="T436"/>
  <c r="V436"/>
  <c r="X436"/>
  <c r="Z436"/>
  <c r="A438"/>
  <c r="Q438"/>
  <c r="S438"/>
  <c r="U438"/>
  <c r="Y438"/>
  <c r="AC438"/>
  <c r="R438"/>
  <c r="T438"/>
  <c r="V438"/>
  <c r="X438"/>
  <c r="Z438"/>
  <c r="A440"/>
  <c r="Q440"/>
  <c r="S440"/>
  <c r="U440"/>
  <c r="Y440"/>
  <c r="AC440"/>
  <c r="R440"/>
  <c r="T440"/>
  <c r="V440"/>
  <c r="X440"/>
  <c r="Z440"/>
  <c r="A442"/>
  <c r="Q442"/>
  <c r="S442"/>
  <c r="U442"/>
  <c r="Y442"/>
  <c r="AC442"/>
  <c r="R442"/>
  <c r="T442"/>
  <c r="V442"/>
  <c r="X442"/>
  <c r="Z442"/>
  <c r="A444"/>
  <c r="Q444"/>
  <c r="S444"/>
  <c r="U444"/>
  <c r="Y444"/>
  <c r="AC444"/>
  <c r="R444"/>
  <c r="T444"/>
  <c r="V444"/>
  <c r="X444"/>
  <c r="Z444"/>
  <c r="A446"/>
  <c r="Q446"/>
  <c r="S446"/>
  <c r="U446"/>
  <c r="Y446"/>
  <c r="AC446"/>
  <c r="R446"/>
  <c r="T446"/>
  <c r="V446"/>
  <c r="X446"/>
  <c r="Z446"/>
  <c r="A448"/>
  <c r="Q448"/>
  <c r="S448"/>
  <c r="U448"/>
  <c r="Y448"/>
  <c r="AC448"/>
  <c r="R448"/>
  <c r="T448"/>
  <c r="V448"/>
  <c r="X448"/>
  <c r="Z448"/>
  <c r="A450"/>
  <c r="Q450"/>
  <c r="S450"/>
  <c r="U450"/>
  <c r="Y450"/>
  <c r="AC450"/>
  <c r="R450"/>
  <c r="T450"/>
  <c r="V450"/>
  <c r="X450"/>
  <c r="Z450"/>
  <c r="A452"/>
  <c r="Q452"/>
  <c r="S452"/>
  <c r="U452"/>
  <c r="Y452"/>
  <c r="AC452"/>
  <c r="R452"/>
  <c r="T452"/>
  <c r="V452"/>
  <c r="X452"/>
  <c r="Z452"/>
  <c r="A454"/>
  <c r="Q454"/>
  <c r="S454"/>
  <c r="U454"/>
  <c r="Y454"/>
  <c r="AC454"/>
  <c r="R454"/>
  <c r="T454"/>
  <c r="V454"/>
  <c r="X454"/>
  <c r="Z454"/>
  <c r="A456"/>
  <c r="Q456"/>
  <c r="S456"/>
  <c r="U456"/>
  <c r="Y456"/>
  <c r="AC456"/>
  <c r="R456"/>
  <c r="T456"/>
  <c r="V456"/>
  <c r="X456"/>
  <c r="Z456"/>
  <c r="A458"/>
  <c r="Q458"/>
  <c r="S458"/>
  <c r="U458"/>
  <c r="Y458"/>
  <c r="AC458"/>
  <c r="R458"/>
  <c r="T458"/>
  <c r="V458"/>
  <c r="X458"/>
  <c r="Z458"/>
  <c r="A460"/>
  <c r="Q460"/>
  <c r="S460"/>
  <c r="U460"/>
  <c r="Y460"/>
  <c r="AC460"/>
  <c r="R460"/>
  <c r="T460"/>
  <c r="V460"/>
  <c r="X460"/>
  <c r="Z460"/>
  <c r="A462"/>
  <c r="Q462"/>
  <c r="S462"/>
  <c r="U462"/>
  <c r="Y462"/>
  <c r="AC462"/>
  <c r="R462"/>
  <c r="T462"/>
  <c r="V462"/>
  <c r="X462"/>
  <c r="Z462"/>
  <c r="A464"/>
  <c r="Q464"/>
  <c r="S464"/>
  <c r="U464"/>
  <c r="Y464"/>
  <c r="AC464"/>
  <c r="R464"/>
  <c r="T464"/>
  <c r="V464"/>
  <c r="X464"/>
  <c r="Z464"/>
  <c r="A466"/>
  <c r="Q466"/>
  <c r="S466"/>
  <c r="U466"/>
  <c r="Y466"/>
  <c r="AC466"/>
  <c r="R466"/>
  <c r="T466"/>
  <c r="V466"/>
  <c r="X466"/>
  <c r="Z466"/>
  <c r="A468"/>
  <c r="Q468"/>
  <c r="S468"/>
  <c r="U468"/>
  <c r="Y468"/>
  <c r="AC468"/>
  <c r="R468"/>
  <c r="T468"/>
  <c r="V468"/>
  <c r="X468"/>
  <c r="Z468"/>
  <c r="A470"/>
  <c r="Q470"/>
  <c r="S470"/>
  <c r="U470"/>
  <c r="Y470"/>
  <c r="AC470"/>
  <c r="R470"/>
  <c r="T470"/>
  <c r="V470"/>
  <c r="X470"/>
  <c r="Z470"/>
  <c r="A472"/>
  <c r="Q472"/>
  <c r="S472"/>
  <c r="U472"/>
  <c r="Y472"/>
  <c r="AC472"/>
  <c r="R472"/>
  <c r="T472"/>
  <c r="V472"/>
  <c r="X472"/>
  <c r="Z472"/>
  <c r="A474"/>
  <c r="Q474"/>
  <c r="S474"/>
  <c r="U474"/>
  <c r="Y474"/>
  <c r="AC474"/>
  <c r="R474"/>
  <c r="T474"/>
  <c r="V474"/>
  <c r="X474"/>
  <c r="Z474"/>
  <c r="A476"/>
  <c r="Q476"/>
  <c r="S476"/>
  <c r="U476"/>
  <c r="Y476"/>
  <c r="AC476"/>
  <c r="R476"/>
  <c r="T476"/>
  <c r="V476"/>
  <c r="X476"/>
  <c r="Z476"/>
  <c r="A478"/>
  <c r="Q478"/>
  <c r="S478"/>
  <c r="U478"/>
  <c r="Y478"/>
  <c r="AC478"/>
  <c r="R478"/>
  <c r="T478"/>
  <c r="V478"/>
  <c r="X478"/>
  <c r="Z478"/>
  <c r="A480"/>
  <c r="Q480"/>
  <c r="S480"/>
  <c r="U480"/>
  <c r="Y480"/>
  <c r="AC480"/>
  <c r="R480"/>
  <c r="T480"/>
  <c r="V480"/>
  <c r="X480"/>
  <c r="Z480"/>
  <c r="A482"/>
  <c r="Q482"/>
  <c r="S482"/>
  <c r="U482"/>
  <c r="Y482"/>
  <c r="AC482"/>
  <c r="R482"/>
  <c r="T482"/>
  <c r="V482"/>
  <c r="X482"/>
  <c r="Z482"/>
  <c r="A484"/>
  <c r="Q484"/>
  <c r="S484"/>
  <c r="U484"/>
  <c r="Y484"/>
  <c r="AC484"/>
  <c r="R484"/>
  <c r="T484"/>
  <c r="V484"/>
  <c r="X484"/>
  <c r="Z484"/>
  <c r="A486"/>
  <c r="Q486"/>
  <c r="S486"/>
  <c r="U486"/>
  <c r="Y486"/>
  <c r="AC486"/>
  <c r="R486"/>
  <c r="T486"/>
  <c r="V486"/>
  <c r="X486"/>
  <c r="Z486"/>
  <c r="A488"/>
  <c r="Q488"/>
  <c r="S488"/>
  <c r="U488"/>
  <c r="Y488"/>
  <c r="AC488"/>
  <c r="R488"/>
  <c r="T488"/>
  <c r="V488"/>
  <c r="X488"/>
  <c r="Z488"/>
  <c r="A490"/>
  <c r="Q490"/>
  <c r="S490"/>
  <c r="U490"/>
  <c r="Y490"/>
  <c r="AC490"/>
  <c r="R490"/>
  <c r="T490"/>
  <c r="V490"/>
  <c r="X490"/>
  <c r="Z490"/>
  <c r="A492"/>
  <c r="Q492"/>
  <c r="S492"/>
  <c r="U492"/>
  <c r="Y492"/>
  <c r="AC492"/>
  <c r="R492"/>
  <c r="T492"/>
  <c r="V492"/>
  <c r="X492"/>
  <c r="Z492"/>
  <c r="A494"/>
  <c r="Q494"/>
  <c r="S494"/>
  <c r="U494"/>
  <c r="Y494"/>
  <c r="AC494"/>
  <c r="R494"/>
  <c r="T494"/>
  <c r="V494"/>
  <c r="X494"/>
  <c r="Z494"/>
  <c r="A496"/>
  <c r="Q496"/>
  <c r="S496"/>
  <c r="U496"/>
  <c r="Y496"/>
  <c r="AC496"/>
  <c r="R496"/>
  <c r="T496"/>
  <c r="V496"/>
  <c r="X496"/>
  <c r="Z496"/>
  <c r="A498"/>
  <c r="Q498"/>
  <c r="S498"/>
  <c r="U498"/>
  <c r="Y498"/>
  <c r="AC498"/>
  <c r="R498"/>
  <c r="T498"/>
  <c r="V498"/>
  <c r="X498"/>
  <c r="Z498"/>
  <c r="A500"/>
  <c r="Q500"/>
  <c r="S500"/>
  <c r="U500"/>
  <c r="Y500"/>
  <c r="AC500"/>
  <c r="R500"/>
  <c r="T500"/>
  <c r="V500"/>
  <c r="X500"/>
  <c r="Z500"/>
  <c r="A502"/>
  <c r="Q502"/>
  <c r="S502"/>
  <c r="U502"/>
  <c r="Y502"/>
  <c r="AC502"/>
  <c r="R502"/>
  <c r="T502"/>
  <c r="V502"/>
  <c r="X502"/>
  <c r="Z502"/>
  <c r="A504"/>
  <c r="Q504"/>
  <c r="S504"/>
  <c r="U504"/>
  <c r="Y504"/>
  <c r="AC504"/>
  <c r="R504"/>
  <c r="T504"/>
  <c r="V504"/>
  <c r="X504"/>
  <c r="Z504"/>
  <c r="A506"/>
  <c r="Q506"/>
  <c r="S506"/>
  <c r="U506"/>
  <c r="Y506"/>
  <c r="AC506"/>
  <c r="R506"/>
  <c r="T506"/>
  <c r="V506"/>
  <c r="X506"/>
  <c r="Z506"/>
  <c r="A508"/>
  <c r="Q508"/>
  <c r="S508"/>
  <c r="U508"/>
  <c r="Y508"/>
  <c r="AC508"/>
  <c r="R508"/>
  <c r="T508"/>
  <c r="V508"/>
  <c r="X508"/>
  <c r="Z508"/>
  <c r="A510"/>
  <c r="Q510"/>
  <c r="S510"/>
  <c r="U510"/>
  <c r="Y510"/>
  <c r="AC510"/>
  <c r="R510"/>
  <c r="T510"/>
  <c r="V510"/>
  <c r="X510"/>
  <c r="Z510"/>
  <c r="A512"/>
  <c r="Q512"/>
  <c r="S512"/>
  <c r="U512"/>
  <c r="Y512"/>
  <c r="AC512"/>
  <c r="R512"/>
  <c r="T512"/>
  <c r="V512"/>
  <c r="X512"/>
  <c r="Z512"/>
  <c r="A514"/>
  <c r="Q514"/>
  <c r="S514"/>
  <c r="U514"/>
  <c r="Y514"/>
  <c r="AC514"/>
  <c r="R514"/>
  <c r="T514"/>
  <c r="V514"/>
  <c r="X514"/>
  <c r="Z514"/>
  <c r="A516"/>
  <c r="Q516"/>
  <c r="S516"/>
  <c r="U516"/>
  <c r="Y516"/>
  <c r="AC516"/>
  <c r="R516"/>
  <c r="T516"/>
  <c r="V516"/>
  <c r="X516"/>
  <c r="Z516"/>
  <c r="A518"/>
  <c r="Q518"/>
  <c r="S518"/>
  <c r="U518"/>
  <c r="Y518"/>
  <c r="AC518"/>
  <c r="R518"/>
  <c r="T518"/>
  <c r="V518"/>
  <c r="X518"/>
  <c r="Z518"/>
  <c r="A520"/>
  <c r="Q520"/>
  <c r="S520"/>
  <c r="U520"/>
  <c r="Y520"/>
  <c r="AC520"/>
  <c r="R520"/>
  <c r="T520"/>
  <c r="V520"/>
  <c r="X520"/>
  <c r="Z520"/>
  <c r="A522"/>
  <c r="Q522"/>
  <c r="S522"/>
  <c r="U522"/>
  <c r="Y522"/>
  <c r="AC522"/>
  <c r="R522"/>
  <c r="T522"/>
  <c r="V522"/>
  <c r="X522"/>
  <c r="Z522"/>
  <c r="A524"/>
  <c r="Q524"/>
  <c r="S524"/>
  <c r="U524"/>
  <c r="Y524"/>
  <c r="AC524"/>
  <c r="R524"/>
  <c r="T524"/>
  <c r="V524"/>
  <c r="X524"/>
  <c r="Z524"/>
  <c r="A526"/>
  <c r="Q526"/>
  <c r="S526"/>
  <c r="U526"/>
  <c r="Y526"/>
  <c r="AC526"/>
  <c r="R526"/>
  <c r="T526"/>
  <c r="V526"/>
  <c r="X526"/>
  <c r="Z526"/>
  <c r="A528"/>
  <c r="Q528"/>
  <c r="S528"/>
  <c r="U528"/>
  <c r="Y528"/>
  <c r="AC528"/>
  <c r="R528"/>
  <c r="T528"/>
  <c r="V528"/>
  <c r="X528"/>
  <c r="Z528"/>
  <c r="A530"/>
  <c r="Q530"/>
  <c r="S530"/>
  <c r="U530"/>
  <c r="Y530"/>
  <c r="AC530"/>
  <c r="R530"/>
  <c r="T530"/>
  <c r="V530"/>
  <c r="X530"/>
  <c r="Z530"/>
  <c r="A532"/>
  <c r="Q532"/>
  <c r="S532"/>
  <c r="U532"/>
  <c r="Y532"/>
  <c r="AC532"/>
  <c r="R532"/>
  <c r="T532"/>
  <c r="V532"/>
  <c r="X532"/>
  <c r="Z532"/>
  <c r="A534"/>
  <c r="Q534"/>
  <c r="S534"/>
  <c r="U534"/>
  <c r="Y534"/>
  <c r="AC534"/>
  <c r="R534"/>
  <c r="T534"/>
  <c r="V534"/>
  <c r="X534"/>
  <c r="Z534"/>
  <c r="A536"/>
  <c r="Q536"/>
  <c r="S536"/>
  <c r="U536"/>
  <c r="Y536"/>
  <c r="AC536"/>
  <c r="R536"/>
  <c r="T536"/>
  <c r="V536"/>
  <c r="X536"/>
  <c r="Z536"/>
  <c r="A538"/>
  <c r="Q538"/>
  <c r="S538"/>
  <c r="U538"/>
  <c r="Y538"/>
  <c r="AC538"/>
  <c r="R538"/>
  <c r="T538"/>
  <c r="V538"/>
  <c r="X538"/>
  <c r="Z538"/>
  <c r="A540"/>
  <c r="Q540"/>
  <c r="S540"/>
  <c r="U540"/>
  <c r="Y540"/>
  <c r="AC540"/>
  <c r="R540"/>
  <c r="T540"/>
  <c r="V540"/>
  <c r="X540"/>
  <c r="Z540"/>
  <c r="A542"/>
  <c r="Q542"/>
  <c r="S542"/>
  <c r="U542"/>
  <c r="Y542"/>
  <c r="AC542"/>
  <c r="R542"/>
  <c r="T542"/>
  <c r="V542"/>
  <c r="X542"/>
  <c r="Z542"/>
  <c r="A544"/>
  <c r="Q544"/>
  <c r="S544"/>
  <c r="U544"/>
  <c r="Y544"/>
  <c r="AC544"/>
  <c r="R544"/>
  <c r="T544"/>
  <c r="V544"/>
  <c r="X544"/>
  <c r="Z544"/>
  <c r="A546"/>
  <c r="Q546"/>
  <c r="S546"/>
  <c r="U546"/>
  <c r="Y546"/>
  <c r="AC546"/>
  <c r="R546"/>
  <c r="T546"/>
  <c r="V546"/>
  <c r="X546"/>
  <c r="Z546"/>
  <c r="A548"/>
  <c r="Q548"/>
  <c r="S548"/>
  <c r="U548"/>
  <c r="Y548"/>
  <c r="AC548"/>
  <c r="R548"/>
  <c r="T548"/>
  <c r="V548"/>
  <c r="X548"/>
  <c r="Z548"/>
  <c r="A550"/>
  <c r="Q550"/>
  <c r="S550"/>
  <c r="U550"/>
  <c r="Y550"/>
  <c r="AC550"/>
  <c r="R550"/>
  <c r="T550"/>
  <c r="V550"/>
  <c r="X550"/>
  <c r="Z550"/>
  <c r="A552"/>
  <c r="Q552"/>
  <c r="S552"/>
  <c r="U552"/>
  <c r="Y552"/>
  <c r="AC552"/>
  <c r="R552"/>
  <c r="T552"/>
  <c r="V552"/>
  <c r="X552"/>
  <c r="Z552"/>
  <c r="A554"/>
  <c r="Q554"/>
  <c r="S554"/>
  <c r="U554"/>
  <c r="Y554"/>
  <c r="AC554"/>
  <c r="R554"/>
  <c r="T554"/>
  <c r="V554"/>
  <c r="X554"/>
  <c r="Z554"/>
  <c r="A556"/>
  <c r="Q556"/>
  <c r="S556"/>
  <c r="U556"/>
  <c r="Y556"/>
  <c r="AC556"/>
  <c r="R556"/>
  <c r="T556"/>
  <c r="V556"/>
  <c r="X556"/>
  <c r="Z556"/>
  <c r="A558"/>
  <c r="Q558"/>
  <c r="S558"/>
  <c r="U558"/>
  <c r="Y558"/>
  <c r="AC558"/>
  <c r="R558"/>
  <c r="T558"/>
  <c r="V558"/>
  <c r="X558"/>
  <c r="Z558"/>
  <c r="A560"/>
  <c r="Q560"/>
  <c r="S560"/>
  <c r="U560"/>
  <c r="Y560"/>
  <c r="AC560"/>
  <c r="R560"/>
  <c r="T560"/>
  <c r="V560"/>
  <c r="X560"/>
  <c r="Z560"/>
  <c r="A562"/>
  <c r="Q562"/>
  <c r="S562"/>
  <c r="U562"/>
  <c r="Y562"/>
  <c r="AC562"/>
  <c r="R562"/>
  <c r="T562"/>
  <c r="V562"/>
  <c r="X562"/>
  <c r="Z562"/>
  <c r="A564"/>
  <c r="Q564"/>
  <c r="S564"/>
  <c r="U564"/>
  <c r="Y564"/>
  <c r="AC564"/>
  <c r="R564"/>
  <c r="T564"/>
  <c r="V564"/>
  <c r="X564"/>
  <c r="Z564"/>
  <c r="A566"/>
  <c r="Q566"/>
  <c r="S566"/>
  <c r="U566"/>
  <c r="Y566"/>
  <c r="AC566"/>
  <c r="R566"/>
  <c r="T566"/>
  <c r="V566"/>
  <c r="X566"/>
  <c r="Z566"/>
  <c r="A568"/>
  <c r="Q568"/>
  <c r="S568"/>
  <c r="U568"/>
  <c r="Y568"/>
  <c r="AC568"/>
  <c r="R568"/>
  <c r="T568"/>
  <c r="V568"/>
  <c r="X568"/>
  <c r="Z568"/>
  <c r="A570"/>
  <c r="Q570"/>
  <c r="S570"/>
  <c r="U570"/>
  <c r="Y570"/>
  <c r="AC570"/>
  <c r="R570"/>
  <c r="T570"/>
  <c r="V570"/>
  <c r="X570"/>
  <c r="Z570"/>
  <c r="A572"/>
  <c r="Q572"/>
  <c r="S572"/>
  <c r="U572"/>
  <c r="Y572"/>
  <c r="AC572"/>
  <c r="R572"/>
  <c r="T572"/>
  <c r="V572"/>
  <c r="X572"/>
  <c r="Z572"/>
  <c r="A574"/>
  <c r="Q574"/>
  <c r="S574"/>
  <c r="U574"/>
  <c r="Y574"/>
  <c r="AC574"/>
  <c r="R574"/>
  <c r="T574"/>
  <c r="V574"/>
  <c r="X574"/>
  <c r="Z574"/>
  <c r="A576"/>
  <c r="Q576"/>
  <c r="S576"/>
  <c r="U576"/>
  <c r="Y576"/>
  <c r="AC576"/>
  <c r="R576"/>
  <c r="T576"/>
  <c r="V576"/>
  <c r="X576"/>
  <c r="Z576"/>
  <c r="A578"/>
  <c r="Q578"/>
  <c r="S578"/>
  <c r="U578"/>
  <c r="Y578"/>
  <c r="AC578"/>
  <c r="R578"/>
  <c r="T578"/>
  <c r="V578"/>
  <c r="X578"/>
  <c r="Z578"/>
  <c r="A580"/>
  <c r="Q580"/>
  <c r="S580"/>
  <c r="U580"/>
  <c r="Y580"/>
  <c r="AC580"/>
  <c r="R580"/>
  <c r="T580"/>
  <c r="V580"/>
  <c r="X580"/>
  <c r="Z580"/>
  <c r="Q582"/>
  <c r="S582"/>
  <c r="U582"/>
  <c r="Y582"/>
  <c r="AC582"/>
  <c r="R582"/>
  <c r="T582"/>
  <c r="V582"/>
  <c r="X582"/>
  <c r="Z582"/>
  <c r="Q584"/>
  <c r="S584"/>
  <c r="U584"/>
  <c r="Y584"/>
  <c r="AC584"/>
  <c r="R584"/>
  <c r="T584"/>
  <c r="V584"/>
  <c r="X584"/>
  <c r="Z584"/>
  <c r="Q586"/>
  <c r="S586"/>
  <c r="U586"/>
  <c r="Y586"/>
  <c r="AC586"/>
  <c r="R586"/>
  <c r="T586"/>
  <c r="V586"/>
  <c r="X586"/>
  <c r="Z586"/>
  <c r="Q588"/>
  <c r="S588"/>
  <c r="U588"/>
  <c r="Y588"/>
  <c r="AC588"/>
  <c r="R588"/>
  <c r="T588"/>
  <c r="V588"/>
  <c r="X588"/>
  <c r="Z588"/>
  <c r="Q590"/>
  <c r="S590"/>
  <c r="U590"/>
  <c r="Y590"/>
  <c r="AC590"/>
  <c r="R590"/>
  <c r="T590"/>
  <c r="V590"/>
  <c r="X590"/>
  <c r="Z590"/>
  <c r="Q592"/>
  <c r="S592"/>
  <c r="U592"/>
  <c r="Y592"/>
  <c r="AC592"/>
  <c r="R592"/>
  <c r="T592"/>
  <c r="V592"/>
  <c r="X592"/>
  <c r="Z592"/>
  <c r="Q594"/>
  <c r="S594"/>
  <c r="U594"/>
  <c r="Y594"/>
  <c r="AC594"/>
  <c r="R594"/>
  <c r="T594"/>
  <c r="V594"/>
  <c r="X594"/>
  <c r="Z594"/>
  <c r="Q596"/>
  <c r="S596"/>
  <c r="U596"/>
  <c r="Y596"/>
  <c r="AC596"/>
  <c r="R596"/>
  <c r="T596"/>
  <c r="V596"/>
  <c r="X596"/>
  <c r="Z596"/>
  <c r="Q598"/>
  <c r="S598"/>
  <c r="U598"/>
  <c r="Y598"/>
  <c r="AC598"/>
  <c r="R598"/>
  <c r="T598"/>
  <c r="V598"/>
  <c r="X598"/>
  <c r="Z598"/>
  <c r="Q600"/>
  <c r="S600"/>
  <c r="U600"/>
  <c r="Y600"/>
  <c r="AC600"/>
  <c r="R600"/>
  <c r="T600"/>
  <c r="V600"/>
  <c r="X600"/>
  <c r="Z600"/>
  <c r="Q602"/>
  <c r="S602"/>
  <c r="U602"/>
  <c r="Y602"/>
  <c r="AC602"/>
  <c r="R602"/>
  <c r="T602"/>
  <c r="V602"/>
  <c r="X602"/>
  <c r="Z602"/>
  <c r="Q604"/>
  <c r="S604"/>
  <c r="U604"/>
  <c r="Y604"/>
  <c r="AC604"/>
  <c r="R604"/>
  <c r="T604"/>
  <c r="V604"/>
  <c r="X604"/>
  <c r="Z604"/>
  <c r="Q606"/>
  <c r="S606"/>
  <c r="U606"/>
  <c r="Y606"/>
  <c r="AC606"/>
  <c r="R606"/>
  <c r="T606"/>
  <c r="X606"/>
  <c r="Z606"/>
  <c r="V606"/>
  <c r="Q608"/>
  <c r="S608"/>
  <c r="U608"/>
  <c r="Y608"/>
  <c r="AC608"/>
  <c r="R608"/>
  <c r="V608"/>
  <c r="X608"/>
  <c r="T608"/>
  <c r="Z608"/>
  <c r="Q610"/>
  <c r="S610"/>
  <c r="U610"/>
  <c r="Y610"/>
  <c r="AC610"/>
  <c r="R610"/>
  <c r="V610"/>
  <c r="X610"/>
  <c r="T610"/>
  <c r="Z610"/>
  <c r="U612"/>
  <c r="Y612"/>
  <c r="AC612"/>
  <c r="T612"/>
  <c r="V612"/>
  <c r="X612"/>
  <c r="Z612"/>
  <c r="U614"/>
  <c r="Y614"/>
  <c r="AC614"/>
  <c r="T614"/>
  <c r="V614"/>
  <c r="X614"/>
  <c r="Z614"/>
  <c r="U616"/>
  <c r="Y616"/>
  <c r="AC616"/>
  <c r="T616"/>
  <c r="V616"/>
  <c r="X616"/>
  <c r="Z616"/>
  <c r="U618"/>
  <c r="Y618"/>
  <c r="AC618"/>
  <c r="T618"/>
  <c r="V618"/>
  <c r="X618"/>
  <c r="Z618"/>
  <c r="U620"/>
  <c r="Y620"/>
  <c r="AC620"/>
  <c r="T620"/>
  <c r="V620"/>
  <c r="X620"/>
  <c r="Z620"/>
  <c r="U622"/>
  <c r="Y622"/>
  <c r="AC622"/>
  <c r="T622"/>
  <c r="V622"/>
  <c r="X622"/>
  <c r="Z622"/>
  <c r="U624"/>
  <c r="Y624"/>
  <c r="AC624"/>
  <c r="T624"/>
  <c r="V624"/>
  <c r="X624"/>
  <c r="Z624"/>
  <c r="U626"/>
  <c r="Y626"/>
  <c r="AC626"/>
  <c r="T626"/>
  <c r="V626"/>
  <c r="X626"/>
  <c r="Z626"/>
  <c r="U628"/>
  <c r="Y628"/>
  <c r="AC628"/>
  <c r="T628"/>
  <c r="V628"/>
  <c r="X628"/>
  <c r="Z628"/>
  <c r="U630"/>
  <c r="Y630"/>
  <c r="AC630"/>
  <c r="T630"/>
  <c r="V630"/>
  <c r="X630"/>
  <c r="Z630"/>
  <c r="U632"/>
  <c r="Y632"/>
  <c r="AC632"/>
  <c r="T632"/>
  <c r="V632"/>
  <c r="X632"/>
  <c r="Z632"/>
  <c r="U634"/>
  <c r="Y634"/>
  <c r="AC634"/>
  <c r="T634"/>
  <c r="V634"/>
  <c r="X634"/>
  <c r="Z634"/>
  <c r="U636"/>
  <c r="Y636"/>
  <c r="AC636"/>
  <c r="T636"/>
  <c r="V636"/>
  <c r="X636"/>
  <c r="Z636"/>
  <c r="U638"/>
  <c r="Y638"/>
  <c r="AC638"/>
  <c r="T638"/>
  <c r="V638"/>
  <c r="X638"/>
  <c r="Z638"/>
  <c r="U640"/>
  <c r="Y640"/>
  <c r="AC640"/>
  <c r="T640"/>
  <c r="V640"/>
  <c r="X640"/>
  <c r="Z640"/>
  <c r="U642"/>
  <c r="Y642"/>
  <c r="AC642"/>
  <c r="T642"/>
  <c r="V642"/>
  <c r="X642"/>
  <c r="Z642"/>
  <c r="U644"/>
  <c r="Y644"/>
  <c r="AC644"/>
  <c r="T644"/>
  <c r="V644"/>
  <c r="X644"/>
  <c r="Z644"/>
  <c r="U646"/>
  <c r="Y646"/>
  <c r="AC646"/>
  <c r="T646"/>
  <c r="V646"/>
  <c r="X646"/>
  <c r="Z646"/>
  <c r="U648"/>
  <c r="Y648"/>
  <c r="AC648"/>
  <c r="T648"/>
  <c r="V648"/>
  <c r="X648"/>
  <c r="Z648"/>
  <c r="U650"/>
  <c r="Y650"/>
  <c r="AC650"/>
  <c r="T650"/>
  <c r="V650"/>
  <c r="X650"/>
  <c r="Z650"/>
  <c r="U652"/>
  <c r="Y652"/>
  <c r="AC652"/>
  <c r="T652"/>
  <c r="V652"/>
  <c r="X652"/>
  <c r="Z652"/>
  <c r="U654"/>
  <c r="Y654"/>
  <c r="AC654"/>
  <c r="T654"/>
  <c r="V654"/>
  <c r="X654"/>
  <c r="Z654"/>
  <c r="U656"/>
  <c r="Y656"/>
  <c r="AC656"/>
  <c r="T656"/>
  <c r="V656"/>
  <c r="X656"/>
  <c r="Z656"/>
  <c r="U658"/>
  <c r="Y658"/>
  <c r="AC658"/>
  <c r="T658"/>
  <c r="V658"/>
  <c r="X658"/>
  <c r="Z658"/>
  <c r="U660"/>
  <c r="Y660"/>
  <c r="AC660"/>
  <c r="T660"/>
  <c r="V660"/>
  <c r="X660"/>
  <c r="Z660"/>
  <c r="U662"/>
  <c r="Y662"/>
  <c r="AC662"/>
  <c r="T662"/>
  <c r="V662"/>
  <c r="X662"/>
  <c r="Z662"/>
  <c r="U664"/>
  <c r="Y664"/>
  <c r="AC664"/>
  <c r="T664"/>
  <c r="V664"/>
  <c r="X664"/>
  <c r="Z664"/>
  <c r="U666"/>
  <c r="Y666"/>
  <c r="AC666"/>
  <c r="T666"/>
  <c r="V666"/>
  <c r="X666"/>
  <c r="Z666"/>
  <c r="U668"/>
  <c r="Y668"/>
  <c r="AC668"/>
  <c r="T668"/>
  <c r="V668"/>
  <c r="X668"/>
  <c r="Z668"/>
  <c r="U670"/>
  <c r="Y670"/>
  <c r="AC670"/>
  <c r="T670"/>
  <c r="V670"/>
  <c r="X670"/>
  <c r="Z670"/>
  <c r="U672"/>
  <c r="Y672"/>
  <c r="AC672"/>
  <c r="T672"/>
  <c r="V672"/>
  <c r="X672"/>
  <c r="Z672"/>
  <c r="U674"/>
  <c r="Y674"/>
  <c r="AC674"/>
  <c r="T674"/>
  <c r="V674"/>
  <c r="X674"/>
  <c r="Z674"/>
  <c r="U676"/>
  <c r="Y676"/>
  <c r="AC676"/>
  <c r="T676"/>
  <c r="V676"/>
  <c r="X676"/>
  <c r="Z676"/>
  <c r="U678"/>
  <c r="Y678"/>
  <c r="AC678"/>
  <c r="T678"/>
  <c r="V678"/>
  <c r="X678"/>
  <c r="Z678"/>
  <c r="U680"/>
  <c r="Y680"/>
  <c r="AC680"/>
  <c r="T680"/>
  <c r="V680"/>
  <c r="X680"/>
  <c r="Z680"/>
  <c r="U682"/>
  <c r="Y682"/>
  <c r="AC682"/>
  <c r="T682"/>
  <c r="V682"/>
  <c r="X682"/>
  <c r="Z682"/>
  <c r="U684"/>
  <c r="Y684"/>
  <c r="AC684"/>
  <c r="T684"/>
  <c r="V684"/>
  <c r="X684"/>
  <c r="Z684"/>
  <c r="U686"/>
  <c r="Y686"/>
  <c r="AC686"/>
  <c r="T686"/>
  <c r="V686"/>
  <c r="X686"/>
  <c r="Z686"/>
  <c r="U688"/>
  <c r="Y688"/>
  <c r="AC688"/>
  <c r="T688"/>
  <c r="V688"/>
  <c r="X688"/>
  <c r="Z688"/>
  <c r="U690"/>
  <c r="Y690"/>
  <c r="AC690"/>
  <c r="T690"/>
  <c r="V690"/>
  <c r="X690"/>
  <c r="Z690"/>
  <c r="U692"/>
  <c r="Y692"/>
  <c r="AC692"/>
  <c r="T692"/>
  <c r="V692"/>
  <c r="X692"/>
  <c r="Z692"/>
  <c r="U694"/>
  <c r="Y694"/>
  <c r="AC694"/>
  <c r="T694"/>
  <c r="V694"/>
  <c r="X694"/>
  <c r="Z694"/>
  <c r="U696"/>
  <c r="Y696"/>
  <c r="AC696"/>
  <c r="T696"/>
  <c r="V696"/>
  <c r="X696"/>
  <c r="Z696"/>
  <c r="U698"/>
  <c r="Y698"/>
  <c r="AC698"/>
  <c r="T698"/>
  <c r="V698"/>
  <c r="X698"/>
  <c r="Z698"/>
  <c r="U700"/>
  <c r="Y700"/>
  <c r="AC700"/>
  <c r="T700"/>
  <c r="V700"/>
  <c r="X700"/>
  <c r="Z700"/>
  <c r="U702"/>
  <c r="Y702"/>
  <c r="AC702"/>
  <c r="T702"/>
  <c r="V702"/>
  <c r="X702"/>
  <c r="Z702"/>
  <c r="U704"/>
  <c r="Y704"/>
  <c r="AC704"/>
  <c r="T704"/>
  <c r="V704"/>
  <c r="X704"/>
  <c r="Z704"/>
  <c r="U706"/>
  <c r="Y706"/>
  <c r="AC706"/>
  <c r="T706"/>
  <c r="V706"/>
  <c r="X706"/>
  <c r="Z706"/>
  <c r="U708"/>
  <c r="Y708"/>
  <c r="AC708"/>
  <c r="T708"/>
  <c r="V708"/>
  <c r="X708"/>
  <c r="Z708"/>
  <c r="U710"/>
  <c r="Y710"/>
  <c r="AC710"/>
  <c r="T710"/>
  <c r="V710"/>
  <c r="X710"/>
  <c r="Z710"/>
  <c r="U712"/>
  <c r="Y712"/>
  <c r="AC712"/>
  <c r="T712"/>
  <c r="V712"/>
  <c r="X712"/>
  <c r="Z712"/>
  <c r="U714"/>
  <c r="Y714"/>
  <c r="AC714"/>
  <c r="T714"/>
  <c r="V714"/>
  <c r="X714"/>
  <c r="Z714"/>
  <c r="U716"/>
  <c r="Y716"/>
  <c r="AC716"/>
  <c r="T716"/>
  <c r="V716"/>
  <c r="X716"/>
  <c r="Z716"/>
  <c r="U718"/>
  <c r="Y718"/>
  <c r="AC718"/>
  <c r="T718"/>
  <c r="V718"/>
  <c r="X718"/>
  <c r="Z718"/>
  <c r="U720"/>
  <c r="Y720"/>
  <c r="AC720"/>
  <c r="T720"/>
  <c r="V720"/>
  <c r="X720"/>
  <c r="Z720"/>
  <c r="U722"/>
  <c r="Y722"/>
  <c r="AC722"/>
  <c r="T722"/>
  <c r="V722"/>
  <c r="X722"/>
  <c r="Z722"/>
  <c r="U724"/>
  <c r="Y724"/>
  <c r="AC724"/>
  <c r="T724"/>
  <c r="V724"/>
  <c r="X724"/>
  <c r="Z724"/>
  <c r="U726"/>
  <c r="Y726"/>
  <c r="AC726"/>
  <c r="T726"/>
  <c r="V726"/>
  <c r="X726"/>
  <c r="Z726"/>
  <c r="U728"/>
  <c r="Y728"/>
  <c r="AC728"/>
  <c r="T728"/>
  <c r="V728"/>
  <c r="X728"/>
  <c r="Z728"/>
  <c r="U730"/>
  <c r="Y730"/>
  <c r="AC730"/>
  <c r="T730"/>
  <c r="V730"/>
  <c r="X730"/>
  <c r="Z730"/>
  <c r="U732"/>
  <c r="Y732"/>
  <c r="AC732"/>
  <c r="T732"/>
  <c r="V732"/>
  <c r="X732"/>
  <c r="Z732"/>
  <c r="U734"/>
  <c r="Y734"/>
  <c r="AC734"/>
  <c r="T734"/>
  <c r="V734"/>
  <c r="X734"/>
  <c r="Z734"/>
  <c r="U736"/>
  <c r="Y736"/>
  <c r="AC736"/>
  <c r="T736"/>
  <c r="V736"/>
  <c r="X736"/>
  <c r="Z736"/>
  <c r="U738"/>
  <c r="Y738"/>
  <c r="AC738"/>
  <c r="T738"/>
  <c r="V738"/>
  <c r="X738"/>
  <c r="Z738"/>
  <c r="U740"/>
  <c r="Y740"/>
  <c r="AC740"/>
  <c r="T740"/>
  <c r="V740"/>
  <c r="X740"/>
  <c r="Z740"/>
  <c r="U742"/>
  <c r="Y742"/>
  <c r="AC742"/>
  <c r="T742"/>
  <c r="V742"/>
  <c r="X742"/>
  <c r="Z742"/>
  <c r="U744"/>
  <c r="Y744"/>
  <c r="AC744"/>
  <c r="T744"/>
  <c r="V744"/>
  <c r="X744"/>
  <c r="Z744"/>
  <c r="U746"/>
  <c r="Y746"/>
  <c r="AC746"/>
  <c r="T746"/>
  <c r="V746"/>
  <c r="X746"/>
  <c r="Z746"/>
  <c r="U748"/>
  <c r="Y748"/>
  <c r="AC748"/>
  <c r="T748"/>
  <c r="V748"/>
  <c r="X748"/>
  <c r="Z748"/>
  <c r="U750"/>
  <c r="Y750"/>
  <c r="AC750"/>
  <c r="T750"/>
  <c r="V750"/>
  <c r="X750"/>
  <c r="Z750"/>
  <c r="U752"/>
  <c r="Y752"/>
  <c r="AC752"/>
  <c r="T752"/>
  <c r="V752"/>
  <c r="X752"/>
  <c r="Z752"/>
  <c r="U754"/>
  <c r="Y754"/>
  <c r="AC754"/>
  <c r="T754"/>
  <c r="V754"/>
  <c r="X754"/>
  <c r="Z754"/>
  <c r="U756"/>
  <c r="Y756"/>
  <c r="AC756"/>
  <c r="T756"/>
  <c r="V756"/>
  <c r="X756"/>
  <c r="Z756"/>
  <c r="U758"/>
  <c r="Y758"/>
  <c r="AC758"/>
  <c r="T758"/>
  <c r="V758"/>
  <c r="X758"/>
  <c r="Z758"/>
  <c r="U760"/>
  <c r="Y760"/>
  <c r="AC760"/>
  <c r="T760"/>
  <c r="V760"/>
  <c r="X760"/>
  <c r="Z760"/>
  <c r="U762"/>
  <c r="Y762"/>
  <c r="AC762"/>
  <c r="T762"/>
  <c r="V762"/>
  <c r="X762"/>
  <c r="Z762"/>
  <c r="U764"/>
  <c r="Y764"/>
  <c r="AC764"/>
  <c r="T764"/>
  <c r="V764"/>
  <c r="X764"/>
  <c r="Z764"/>
  <c r="U766"/>
  <c r="Y766"/>
  <c r="AC766"/>
  <c r="T766"/>
  <c r="V766"/>
  <c r="X766"/>
  <c r="Z766"/>
  <c r="U768"/>
  <c r="Y768"/>
  <c r="AC768"/>
  <c r="T768"/>
  <c r="V768"/>
  <c r="X768"/>
  <c r="Z768"/>
  <c r="U770"/>
  <c r="Y770"/>
  <c r="AC770"/>
  <c r="T770"/>
  <c r="V770"/>
  <c r="X770"/>
  <c r="Z770"/>
  <c r="U772"/>
  <c r="Y772"/>
  <c r="AC772"/>
  <c r="T772"/>
  <c r="V772"/>
  <c r="X772"/>
  <c r="Z772"/>
  <c r="U774"/>
  <c r="Y774"/>
  <c r="AC774"/>
  <c r="T774"/>
  <c r="V774"/>
  <c r="X774"/>
  <c r="Z774"/>
  <c r="U776"/>
  <c r="Y776"/>
  <c r="AC776"/>
  <c r="T776"/>
  <c r="V776"/>
  <c r="X776"/>
  <c r="Z776"/>
  <c r="U778"/>
  <c r="Y778"/>
  <c r="AC778"/>
  <c r="T778"/>
  <c r="V778"/>
  <c r="X778"/>
  <c r="Z778"/>
  <c r="U780"/>
  <c r="Y780"/>
  <c r="AC780"/>
  <c r="T780"/>
  <c r="V780"/>
  <c r="X780"/>
  <c r="Z780"/>
  <c r="U782"/>
  <c r="Y782"/>
  <c r="AC782"/>
  <c r="T782"/>
  <c r="V782"/>
  <c r="X782"/>
  <c r="Z782"/>
  <c r="U784"/>
  <c r="Y784"/>
  <c r="AC784"/>
  <c r="T784"/>
  <c r="V784"/>
  <c r="X784"/>
  <c r="Z784"/>
  <c r="U786"/>
  <c r="Y786"/>
  <c r="AC786"/>
  <c r="T786"/>
  <c r="V786"/>
  <c r="X786"/>
  <c r="Z786"/>
  <c r="U788"/>
  <c r="Y788"/>
  <c r="AC788"/>
  <c r="T788"/>
  <c r="V788"/>
  <c r="X788"/>
  <c r="Z788"/>
  <c r="U790"/>
  <c r="Y790"/>
  <c r="AC790"/>
  <c r="T790"/>
  <c r="V790"/>
  <c r="X790"/>
  <c r="Z790"/>
  <c r="U792"/>
  <c r="Y792"/>
  <c r="AC792"/>
  <c r="T792"/>
  <c r="V792"/>
  <c r="X792"/>
  <c r="Z792"/>
  <c r="U794"/>
  <c r="Y794"/>
  <c r="AC794"/>
  <c r="T794"/>
  <c r="V794"/>
  <c r="X794"/>
  <c r="Z794"/>
  <c r="U796"/>
  <c r="Y796"/>
  <c r="AC796"/>
  <c r="T796"/>
  <c r="V796"/>
  <c r="X796"/>
  <c r="Z796"/>
  <c r="U798"/>
  <c r="Y798"/>
  <c r="AC798"/>
  <c r="T798"/>
  <c r="V798"/>
  <c r="X798"/>
  <c r="Z798"/>
  <c r="U800"/>
  <c r="Y800"/>
  <c r="AC800"/>
  <c r="T800"/>
  <c r="V800"/>
  <c r="X800"/>
  <c r="Z800"/>
  <c r="U802"/>
  <c r="Y802"/>
  <c r="AC802"/>
  <c r="T802"/>
  <c r="V802"/>
  <c r="X802"/>
  <c r="Z802"/>
  <c r="U804"/>
  <c r="Y804"/>
  <c r="AC804"/>
  <c r="T804"/>
  <c r="V804"/>
  <c r="X804"/>
  <c r="Z804"/>
  <c r="U806"/>
  <c r="Y806"/>
  <c r="AC806"/>
  <c r="T806"/>
  <c r="V806"/>
  <c r="X806"/>
  <c r="Z806"/>
  <c r="U808"/>
  <c r="Y808"/>
  <c r="AC808"/>
  <c r="T808"/>
  <c r="V808"/>
  <c r="X808"/>
  <c r="Z808"/>
  <c r="U810"/>
  <c r="Y810"/>
  <c r="AC810"/>
  <c r="T810"/>
  <c r="V810"/>
  <c r="X810"/>
  <c r="Z810"/>
  <c r="U812"/>
  <c r="Y812"/>
  <c r="AC812"/>
  <c r="T812"/>
  <c r="V812"/>
  <c r="X812"/>
  <c r="Z812"/>
  <c r="A434"/>
  <c r="R434"/>
  <c r="T434"/>
  <c r="V434"/>
  <c r="X434"/>
  <c r="Z434"/>
  <c r="Q434"/>
  <c r="S434"/>
  <c r="U434"/>
  <c r="Y434"/>
  <c r="AC434"/>
  <c r="R435"/>
  <c r="T435"/>
  <c r="V435"/>
  <c r="X435"/>
  <c r="Z435"/>
  <c r="A435"/>
  <c r="Q435"/>
  <c r="S435"/>
  <c r="U435"/>
  <c r="Y435"/>
  <c r="AC435"/>
  <c r="A433"/>
  <c r="Q433"/>
  <c r="S433"/>
  <c r="U433"/>
  <c r="Y433"/>
  <c r="AC433"/>
  <c r="R433"/>
  <c r="T433"/>
  <c r="V433"/>
  <c r="X433"/>
  <c r="Z433"/>
  <c r="A432"/>
  <c r="R432"/>
  <c r="T432"/>
  <c r="V432"/>
  <c r="X432"/>
  <c r="Z432"/>
  <c r="Q432"/>
  <c r="S432"/>
  <c r="U432"/>
  <c r="Y432"/>
  <c r="AC432"/>
  <c r="S611"/>
  <c r="Q612"/>
  <c r="S613"/>
  <c r="Q614"/>
  <c r="S615"/>
  <c r="R612"/>
  <c r="R614"/>
  <c r="R616"/>
  <c r="R618"/>
  <c r="R620"/>
  <c r="R622"/>
  <c r="R624"/>
  <c r="R626"/>
  <c r="R628"/>
  <c r="R630"/>
  <c r="R632"/>
  <c r="R634"/>
  <c r="R636"/>
  <c r="R611"/>
  <c r="R613"/>
  <c r="R615"/>
  <c r="R617"/>
  <c r="R619"/>
  <c r="R621"/>
  <c r="R623"/>
  <c r="R625"/>
  <c r="R627"/>
  <c r="R629"/>
  <c r="R631"/>
  <c r="R633"/>
  <c r="R635"/>
  <c r="R637"/>
  <c r="R639"/>
  <c r="R641"/>
  <c r="R643"/>
  <c r="R645"/>
  <c r="R647"/>
  <c r="R649"/>
  <c r="R651"/>
  <c r="R653"/>
  <c r="R655"/>
  <c r="R657"/>
  <c r="R659"/>
  <c r="R661"/>
  <c r="R663"/>
  <c r="R665"/>
  <c r="R667"/>
  <c r="R669"/>
  <c r="R671"/>
  <c r="R673"/>
  <c r="R675"/>
  <c r="R677"/>
  <c r="R679"/>
  <c r="R681"/>
  <c r="R683"/>
  <c r="R685"/>
  <c r="R687"/>
  <c r="R689"/>
  <c r="S616"/>
  <c r="Q617"/>
  <c r="S620"/>
  <c r="Q621"/>
  <c r="S624"/>
  <c r="Q625"/>
  <c r="S628"/>
  <c r="Q629"/>
  <c r="S632"/>
  <c r="Q633"/>
  <c r="S636"/>
  <c r="Q637"/>
  <c r="S639"/>
  <c r="Q640"/>
  <c r="R642"/>
  <c r="S644"/>
  <c r="Q645"/>
  <c r="S647"/>
  <c r="Q648"/>
  <c r="R650"/>
  <c r="S652"/>
  <c r="Q653"/>
  <c r="S655"/>
  <c r="Q656"/>
  <c r="R658"/>
  <c r="S660"/>
  <c r="Q661"/>
  <c r="S663"/>
  <c r="Q664"/>
  <c r="R666"/>
  <c r="S668"/>
  <c r="Q669"/>
  <c r="S671"/>
  <c r="Q672"/>
  <c r="R674"/>
  <c r="S676"/>
  <c r="Q677"/>
  <c r="S679"/>
  <c r="Q680"/>
  <c r="R682"/>
  <c r="S684"/>
  <c r="Q685"/>
  <c r="S687"/>
  <c r="Q688"/>
  <c r="R690"/>
  <c r="R692"/>
  <c r="R694"/>
  <c r="R696"/>
  <c r="R698"/>
  <c r="R700"/>
  <c r="R702"/>
  <c r="R704"/>
  <c r="R706"/>
  <c r="R708"/>
  <c r="R710"/>
  <c r="R712"/>
  <c r="R714"/>
  <c r="R716"/>
  <c r="R718"/>
  <c r="R720"/>
  <c r="R722"/>
  <c r="R724"/>
  <c r="R726"/>
  <c r="R728"/>
  <c r="R730"/>
  <c r="R732"/>
  <c r="R734"/>
  <c r="R736"/>
  <c r="R738"/>
  <c r="R740"/>
  <c r="R742"/>
  <c r="R744"/>
  <c r="R746"/>
  <c r="R748"/>
  <c r="R750"/>
  <c r="R752"/>
  <c r="R754"/>
  <c r="R756"/>
  <c r="R758"/>
  <c r="R760"/>
  <c r="R762"/>
  <c r="R764"/>
  <c r="R766"/>
  <c r="R768"/>
  <c r="R770"/>
  <c r="R772"/>
  <c r="R774"/>
  <c r="R776"/>
  <c r="R778"/>
  <c r="R780"/>
  <c r="R782"/>
  <c r="R784"/>
  <c r="R786"/>
  <c r="R788"/>
  <c r="R790"/>
  <c r="R792"/>
  <c r="R794"/>
  <c r="R796"/>
  <c r="R798"/>
  <c r="R800"/>
  <c r="R802"/>
  <c r="R804"/>
  <c r="R806"/>
  <c r="R808"/>
  <c r="R810"/>
  <c r="R812"/>
  <c r="S617"/>
  <c r="Q618"/>
  <c r="S621"/>
  <c r="Q622"/>
  <c r="S625"/>
  <c r="Q626"/>
  <c r="S629"/>
  <c r="Q630"/>
  <c r="S633"/>
  <c r="Q634"/>
  <c r="S637"/>
  <c r="Q638"/>
  <c r="R640"/>
  <c r="S642"/>
  <c r="Q643"/>
  <c r="S645"/>
  <c r="Q646"/>
  <c r="R648"/>
  <c r="S650"/>
  <c r="Q651"/>
  <c r="S653"/>
  <c r="Q654"/>
  <c r="R656"/>
  <c r="S658"/>
  <c r="Q659"/>
  <c r="S661"/>
  <c r="Q662"/>
  <c r="R664"/>
  <c r="S666"/>
  <c r="Q667"/>
  <c r="S669"/>
  <c r="Q670"/>
  <c r="R672"/>
  <c r="S674"/>
  <c r="Q675"/>
  <c r="S677"/>
  <c r="Q678"/>
  <c r="R680"/>
  <c r="S682"/>
  <c r="Q683"/>
  <c r="S685"/>
  <c r="Q686"/>
  <c r="R688"/>
  <c r="S690"/>
  <c r="Q691"/>
  <c r="S692"/>
  <c r="Q693"/>
  <c r="S694"/>
  <c r="Q695"/>
  <c r="S696"/>
  <c r="Q697"/>
  <c r="S698"/>
  <c r="Q699"/>
  <c r="S700"/>
  <c r="Q701"/>
  <c r="S702"/>
  <c r="Q703"/>
  <c r="S704"/>
  <c r="Q705"/>
  <c r="S706"/>
  <c r="Q707"/>
  <c r="S708"/>
  <c r="Q709"/>
  <c r="S710"/>
  <c r="Q711"/>
  <c r="S712"/>
  <c r="Q713"/>
  <c r="S714"/>
  <c r="Q715"/>
  <c r="S716"/>
  <c r="Q717"/>
  <c r="S718"/>
  <c r="Q719"/>
  <c r="S720"/>
  <c r="Q721"/>
  <c r="S722"/>
  <c r="Q723"/>
  <c r="S724"/>
  <c r="Q725"/>
  <c r="S726"/>
  <c r="Q727"/>
  <c r="S728"/>
  <c r="Q729"/>
  <c r="S730"/>
  <c r="Q731"/>
  <c r="S732"/>
  <c r="Q733"/>
  <c r="S734"/>
  <c r="Q735"/>
  <c r="S736"/>
  <c r="Q737"/>
  <c r="S738"/>
  <c r="Q739"/>
  <c r="S740"/>
  <c r="Q741"/>
  <c r="S742"/>
  <c r="Q743"/>
  <c r="S744"/>
  <c r="Q745"/>
  <c r="S746"/>
  <c r="Q747"/>
  <c r="S748"/>
  <c r="Q749"/>
  <c r="S750"/>
  <c r="Q751"/>
  <c r="S752"/>
  <c r="Q753"/>
  <c r="S754"/>
  <c r="Q755"/>
  <c r="S756"/>
  <c r="Q757"/>
  <c r="S758"/>
  <c r="Q759"/>
  <c r="S760"/>
  <c r="Q761"/>
  <c r="S762"/>
  <c r="Q763"/>
  <c r="S764"/>
  <c r="Q765"/>
  <c r="S766"/>
  <c r="Q767"/>
  <c r="S768"/>
  <c r="Q769"/>
  <c r="S770"/>
  <c r="Q771"/>
  <c r="S772"/>
  <c r="Q773"/>
  <c r="S774"/>
  <c r="Q775"/>
  <c r="S776"/>
  <c r="Q777"/>
  <c r="S778"/>
  <c r="Q779"/>
  <c r="S780"/>
  <c r="Q781"/>
  <c r="S618"/>
  <c r="Q619"/>
  <c r="S622"/>
  <c r="Q623"/>
  <c r="S626"/>
  <c r="Q627"/>
  <c r="S630"/>
  <c r="Q631"/>
  <c r="S634"/>
  <c r="Q635"/>
  <c r="R638"/>
  <c r="S640"/>
  <c r="Q641"/>
  <c r="S643"/>
  <c r="Q644"/>
  <c r="R646"/>
  <c r="S648"/>
  <c r="Q649"/>
  <c r="S651"/>
  <c r="Q652"/>
  <c r="R654"/>
  <c r="S656"/>
  <c r="Q657"/>
  <c r="S659"/>
  <c r="Q660"/>
  <c r="R662"/>
  <c r="S664"/>
  <c r="Q665"/>
  <c r="S667"/>
  <c r="Q668"/>
  <c r="R670"/>
  <c r="S672"/>
  <c r="Q673"/>
  <c r="S675"/>
  <c r="Q676"/>
  <c r="R678"/>
  <c r="S680"/>
  <c r="Q681"/>
  <c r="S683"/>
  <c r="Q684"/>
  <c r="R686"/>
  <c r="S688"/>
  <c r="Q689"/>
  <c r="R691"/>
  <c r="R693"/>
  <c r="R695"/>
  <c r="R697"/>
  <c r="R699"/>
  <c r="R701"/>
  <c r="R703"/>
  <c r="R705"/>
  <c r="R707"/>
  <c r="R709"/>
  <c r="R711"/>
  <c r="R713"/>
  <c r="R715"/>
  <c r="R717"/>
  <c r="R719"/>
  <c r="R721"/>
  <c r="R723"/>
  <c r="R725"/>
  <c r="R727"/>
  <c r="R729"/>
  <c r="R731"/>
  <c r="R733"/>
  <c r="R735"/>
  <c r="R737"/>
  <c r="R739"/>
  <c r="R741"/>
  <c r="R743"/>
  <c r="R745"/>
  <c r="R747"/>
  <c r="R749"/>
  <c r="R751"/>
  <c r="R753"/>
  <c r="R755"/>
  <c r="R757"/>
  <c r="R759"/>
  <c r="R761"/>
  <c r="R763"/>
  <c r="R765"/>
  <c r="R767"/>
  <c r="R769"/>
  <c r="R771"/>
  <c r="R773"/>
  <c r="R775"/>
  <c r="R777"/>
  <c r="R779"/>
  <c r="R781"/>
  <c r="R783"/>
  <c r="R785"/>
  <c r="R787"/>
  <c r="R789"/>
  <c r="R791"/>
  <c r="R793"/>
  <c r="R795"/>
  <c r="R797"/>
  <c r="R799"/>
  <c r="R801"/>
  <c r="R803"/>
  <c r="Q611"/>
  <c r="S612"/>
  <c r="Q613"/>
  <c r="S614"/>
  <c r="Q615"/>
  <c r="Q616"/>
  <c r="S619"/>
  <c r="Q620"/>
  <c r="S623"/>
  <c r="Q624"/>
  <c r="S627"/>
  <c r="Q628"/>
  <c r="S631"/>
  <c r="Q632"/>
  <c r="S635"/>
  <c r="Q636"/>
  <c r="S638"/>
  <c r="Q639"/>
  <c r="S641"/>
  <c r="Q642"/>
  <c r="R644"/>
  <c r="S646"/>
  <c r="Q647"/>
  <c r="S649"/>
  <c r="Q650"/>
  <c r="R652"/>
  <c r="S654"/>
  <c r="Q655"/>
  <c r="S657"/>
  <c r="Q658"/>
  <c r="R660"/>
  <c r="S662"/>
  <c r="Q663"/>
  <c r="S665"/>
  <c r="Q666"/>
  <c r="R668"/>
  <c r="S670"/>
  <c r="Q671"/>
  <c r="S673"/>
  <c r="Q674"/>
  <c r="R676"/>
  <c r="S678"/>
  <c r="Q679"/>
  <c r="S681"/>
  <c r="Q682"/>
  <c r="R684"/>
  <c r="S686"/>
  <c r="Q687"/>
  <c r="S689"/>
  <c r="Q690"/>
  <c r="S691"/>
  <c r="Q692"/>
  <c r="S693"/>
  <c r="Q694"/>
  <c r="S695"/>
  <c r="Q696"/>
  <c r="S697"/>
  <c r="Q698"/>
  <c r="S699"/>
  <c r="Q700"/>
  <c r="S701"/>
  <c r="Q702"/>
  <c r="S703"/>
  <c r="Q704"/>
  <c r="S705"/>
  <c r="Q706"/>
  <c r="S707"/>
  <c r="Q708"/>
  <c r="S709"/>
  <c r="Q710"/>
  <c r="S711"/>
  <c r="Q712"/>
  <c r="S713"/>
  <c r="Q714"/>
  <c r="S715"/>
  <c r="Q716"/>
  <c r="S717"/>
  <c r="Q718"/>
  <c r="S719"/>
  <c r="Q720"/>
  <c r="S721"/>
  <c r="Q722"/>
  <c r="S723"/>
  <c r="Q724"/>
  <c r="S725"/>
  <c r="Q726"/>
  <c r="S727"/>
  <c r="Q728"/>
  <c r="S729"/>
  <c r="Q730"/>
  <c r="S731"/>
  <c r="Q732"/>
  <c r="S733"/>
  <c r="Q734"/>
  <c r="S735"/>
  <c r="Q736"/>
  <c r="S737"/>
  <c r="Q738"/>
  <c r="S739"/>
  <c r="Q740"/>
  <c r="S741"/>
  <c r="Q742"/>
  <c r="S743"/>
  <c r="Q744"/>
  <c r="S745"/>
  <c r="Q746"/>
  <c r="S747"/>
  <c r="Q748"/>
  <c r="S749"/>
  <c r="Q750"/>
  <c r="S751"/>
  <c r="Q752"/>
  <c r="S753"/>
  <c r="Q754"/>
  <c r="S755"/>
  <c r="Q756"/>
  <c r="S757"/>
  <c r="Q758"/>
  <c r="S759"/>
  <c r="Q760"/>
  <c r="S761"/>
  <c r="Q762"/>
  <c r="S763"/>
  <c r="Q764"/>
  <c r="S765"/>
  <c r="Q766"/>
  <c r="S767"/>
  <c r="Q768"/>
  <c r="S769"/>
  <c r="Q770"/>
  <c r="S771"/>
  <c r="Q772"/>
  <c r="S773"/>
  <c r="Q774"/>
  <c r="S775"/>
  <c r="Q776"/>
  <c r="S777"/>
  <c r="Q778"/>
  <c r="S779"/>
  <c r="Q780"/>
  <c r="S781"/>
  <c r="Q782"/>
  <c r="S783"/>
  <c r="Q784"/>
  <c r="S785"/>
  <c r="Q786"/>
  <c r="S787"/>
  <c r="Q788"/>
  <c r="S789"/>
  <c r="Q790"/>
  <c r="S791"/>
  <c r="Q792"/>
  <c r="S793"/>
  <c r="Q794"/>
  <c r="S795"/>
  <c r="Q796"/>
  <c r="S797"/>
  <c r="Q798"/>
  <c r="S799"/>
  <c r="Q800"/>
  <c r="S801"/>
  <c r="Q802"/>
  <c r="S803"/>
  <c r="S805"/>
  <c r="Q806"/>
  <c r="S808"/>
  <c r="Q809"/>
  <c r="R811"/>
  <c r="S813"/>
  <c r="S782"/>
  <c r="Q783"/>
  <c r="S784"/>
  <c r="Q785"/>
  <c r="S786"/>
  <c r="Q787"/>
  <c r="S788"/>
  <c r="Q789"/>
  <c r="S790"/>
  <c r="Q791"/>
  <c r="S792"/>
  <c r="Q793"/>
  <c r="S794"/>
  <c r="Q795"/>
  <c r="S796"/>
  <c r="Q797"/>
  <c r="S798"/>
  <c r="Q799"/>
  <c r="S800"/>
  <c r="Q801"/>
  <c r="S802"/>
  <c r="Q803"/>
  <c r="Q804"/>
  <c r="S806"/>
  <c r="Q807"/>
  <c r="R809"/>
  <c r="S811"/>
  <c r="Q812"/>
  <c r="S804"/>
  <c r="Q805"/>
  <c r="R807"/>
  <c r="S809"/>
  <c r="Q810"/>
  <c r="S812"/>
  <c r="Q813"/>
  <c r="R805"/>
  <c r="S807"/>
  <c r="Q808"/>
  <c r="S810"/>
  <c r="Q811"/>
  <c r="R813"/>
  <c r="Y14"/>
  <c r="Y13"/>
  <c r="V172" i="60"/>
  <c r="I165" s="1"/>
  <c r="V79"/>
  <c r="I70" s="1"/>
  <c r="V97"/>
  <c r="I92" s="1"/>
  <c r="D193"/>
  <c r="K187" s="1"/>
  <c r="V276"/>
  <c r="I272" s="1"/>
  <c r="V251"/>
  <c r="I247" s="1"/>
  <c r="A11" i="56"/>
  <c r="AD11" i="34"/>
  <c r="AD15"/>
  <c r="A10" i="56"/>
  <c r="AD12" i="34"/>
  <c r="AD17"/>
  <c r="AD13"/>
  <c r="AD14"/>
  <c r="AD16"/>
  <c r="AD10"/>
  <c r="F15" i="56"/>
  <c r="H30"/>
  <c r="D114" i="60"/>
  <c r="V258"/>
  <c r="G2" i="56"/>
  <c r="F36"/>
  <c r="L9" i="60"/>
  <c r="V55"/>
  <c r="I50" s="1"/>
  <c r="G110"/>
  <c r="G114" s="1"/>
  <c r="V123"/>
  <c r="I114" s="1"/>
  <c r="V148"/>
  <c r="I141" s="1"/>
  <c r="H188"/>
  <c r="H189"/>
  <c r="V284"/>
  <c r="L274" s="1"/>
  <c r="AO66" i="48"/>
  <c r="F29" i="56"/>
  <c r="L247" i="60"/>
  <c r="A12" i="55"/>
  <c r="F30" i="56"/>
  <c r="H187" i="60"/>
  <c r="V225"/>
  <c r="I221" s="1"/>
  <c r="A12" i="34"/>
  <c r="Q12"/>
  <c r="A14"/>
  <c r="Q14"/>
  <c r="A16"/>
  <c r="Q16"/>
  <c r="Z13"/>
  <c r="A11"/>
  <c r="Q11"/>
  <c r="Z12"/>
  <c r="A13"/>
  <c r="Q13"/>
  <c r="Z14"/>
  <c r="A15"/>
  <c r="Q15"/>
  <c r="Z16"/>
  <c r="Z11"/>
  <c r="Z15"/>
  <c r="Y17"/>
  <c r="U11"/>
  <c r="U12"/>
  <c r="U13"/>
  <c r="U14"/>
  <c r="U15"/>
  <c r="U16"/>
  <c r="T17"/>
  <c r="A772"/>
  <c r="A773"/>
  <c r="A774"/>
  <c r="A775"/>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S11"/>
  <c r="X11"/>
  <c r="S12"/>
  <c r="X12"/>
  <c r="S13"/>
  <c r="X13"/>
  <c r="S14"/>
  <c r="X14"/>
  <c r="S15"/>
  <c r="X15"/>
  <c r="S16"/>
  <c r="X16"/>
  <c r="R17"/>
  <c r="V17"/>
  <c r="A582"/>
  <c r="A584"/>
  <c r="A586"/>
  <c r="A588"/>
  <c r="A590"/>
  <c r="A592"/>
  <c r="A594"/>
  <c r="A596"/>
  <c r="A598"/>
  <c r="A600"/>
  <c r="A602"/>
  <c r="A604"/>
  <c r="A606"/>
  <c r="A608"/>
  <c r="A610"/>
  <c r="A612"/>
  <c r="A614"/>
  <c r="A616"/>
  <c r="A618"/>
  <c r="A620"/>
  <c r="A583"/>
  <c r="A585"/>
  <c r="A587"/>
  <c r="A589"/>
  <c r="A591"/>
  <c r="A593"/>
  <c r="A595"/>
  <c r="A597"/>
  <c r="A599"/>
  <c r="A601"/>
  <c r="A603"/>
  <c r="A605"/>
  <c r="A607"/>
  <c r="A609"/>
  <c r="A611"/>
  <c r="A613"/>
  <c r="A615"/>
  <c r="A617"/>
  <c r="A619"/>
  <c r="A621"/>
  <c r="A715"/>
  <c r="A717"/>
  <c r="A719"/>
  <c r="A721"/>
  <c r="A723"/>
  <c r="A725"/>
  <c r="A727"/>
  <c r="A729"/>
  <c r="A731"/>
  <c r="A733"/>
  <c r="A735"/>
  <c r="A737"/>
  <c r="A739"/>
  <c r="A741"/>
  <c r="A743"/>
  <c r="A745"/>
  <c r="A747"/>
  <c r="A749"/>
  <c r="A751"/>
  <c r="A753"/>
  <c r="A755"/>
  <c r="A757"/>
  <c r="A759"/>
  <c r="A761"/>
  <c r="A763"/>
  <c r="A765"/>
  <c r="A767"/>
  <c r="A769"/>
  <c r="A77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6"/>
  <c r="A718"/>
  <c r="A720"/>
  <c r="A722"/>
  <c r="A724"/>
  <c r="A726"/>
  <c r="A728"/>
  <c r="A730"/>
  <c r="A732"/>
  <c r="A734"/>
  <c r="A736"/>
  <c r="A738"/>
  <c r="A740"/>
  <c r="A742"/>
  <c r="A744"/>
  <c r="A746"/>
  <c r="A748"/>
  <c r="A750"/>
  <c r="A752"/>
  <c r="A754"/>
  <c r="A756"/>
  <c r="A758"/>
  <c r="A760"/>
  <c r="A762"/>
  <c r="A764"/>
  <c r="A766"/>
  <c r="A768"/>
  <c r="A770"/>
  <c r="A10"/>
  <c r="R10"/>
  <c r="T10"/>
  <c r="V10"/>
  <c r="Y10"/>
  <c r="R11"/>
  <c r="T11"/>
  <c r="V11"/>
  <c r="R12"/>
  <c r="T12"/>
  <c r="V12"/>
  <c r="R13"/>
  <c r="T13"/>
  <c r="V13"/>
  <c r="R14"/>
  <c r="T14"/>
  <c r="V14"/>
  <c r="R15"/>
  <c r="T15"/>
  <c r="V15"/>
  <c r="R16"/>
  <c r="T16"/>
  <c r="V16"/>
  <c r="Q17"/>
  <c r="S17"/>
  <c r="U17"/>
  <c r="X17"/>
  <c r="Z17"/>
  <c r="Q10"/>
  <c r="S10"/>
  <c r="U10"/>
  <c r="X10"/>
  <c r="AB11"/>
  <c r="AB13"/>
  <c r="AB15"/>
  <c r="AB10"/>
  <c r="AB12"/>
  <c r="AB14"/>
  <c r="AB16"/>
  <c r="AB17"/>
  <c r="B14" i="55"/>
  <c r="A13"/>
  <c r="G35"/>
  <c r="I35"/>
  <c r="G141" i="60"/>
  <c r="D70"/>
  <c r="G67"/>
  <c r="H112"/>
  <c r="K111"/>
  <c r="J110"/>
  <c r="J109"/>
  <c r="J112"/>
  <c r="H110"/>
  <c r="I109"/>
  <c r="I112"/>
  <c r="J111"/>
  <c r="H109"/>
  <c r="I111"/>
  <c r="K110"/>
  <c r="K112"/>
  <c r="H111"/>
  <c r="I110"/>
  <c r="K109"/>
  <c r="G165"/>
  <c r="G92"/>
  <c r="L7"/>
  <c r="L11" s="1"/>
  <c r="D50"/>
  <c r="H48" s="1"/>
  <c r="D165"/>
  <c r="K188"/>
  <c r="J190"/>
  <c r="D92"/>
  <c r="D221"/>
  <c r="G214"/>
  <c r="G247"/>
  <c r="V17"/>
  <c r="I11" s="1"/>
  <c r="D141"/>
  <c r="K190"/>
  <c r="J189"/>
  <c r="I188"/>
  <c r="I187"/>
  <c r="J191"/>
  <c r="I190"/>
  <c r="I191"/>
  <c r="K189"/>
  <c r="J188"/>
  <c r="J187"/>
  <c r="I189"/>
  <c r="K191"/>
  <c r="V37"/>
  <c r="I31" s="1"/>
  <c r="G187"/>
  <c r="V198"/>
  <c r="I193" s="1"/>
  <c r="D272"/>
  <c r="G265"/>
  <c r="H190"/>
  <c r="D247"/>
  <c r="G31"/>
  <c r="D31"/>
  <c r="D11"/>
  <c r="I7" s="1"/>
  <c r="G8"/>
  <c r="B14" i="58"/>
  <c r="F14" s="1"/>
  <c r="K33" i="55"/>
  <c r="K40"/>
  <c r="K26"/>
  <c r="K30"/>
  <c r="I43"/>
  <c r="I54"/>
  <c r="M10" i="34"/>
  <c r="M817" s="1"/>
  <c r="O6" i="45"/>
  <c r="M10"/>
  <c r="M14"/>
  <c r="O21"/>
  <c r="K15" i="55"/>
  <c r="K18"/>
  <c r="K21"/>
  <c r="K25"/>
  <c r="K29"/>
  <c r="K32"/>
  <c r="K41"/>
  <c r="K49"/>
  <c r="O5" i="45"/>
  <c r="O13"/>
  <c r="K13" i="55"/>
  <c r="K19"/>
  <c r="K22"/>
  <c r="K38"/>
  <c r="K46"/>
  <c r="K50"/>
  <c r="O17" i="45"/>
  <c r="M18"/>
  <c r="M19"/>
  <c r="K16" i="55"/>
  <c r="K23"/>
  <c r="K27"/>
  <c r="K31"/>
  <c r="K39"/>
  <c r="K47"/>
  <c r="K51"/>
  <c r="M11" i="45"/>
  <c r="M15"/>
  <c r="K14" i="55"/>
  <c r="K17"/>
  <c r="K20"/>
  <c r="K24"/>
  <c r="K28"/>
  <c r="K48"/>
  <c r="K52"/>
  <c r="O9" i="45"/>
  <c r="M9"/>
  <c r="G19" i="52"/>
  <c r="B19"/>
  <c r="H18"/>
  <c r="C18"/>
  <c r="I17"/>
  <c r="D17"/>
  <c r="E19"/>
  <c r="J18"/>
  <c r="D18"/>
  <c r="H17"/>
  <c r="B17"/>
  <c r="J19"/>
  <c r="D19"/>
  <c r="I18"/>
  <c r="B18"/>
  <c r="G17"/>
  <c r="A17"/>
  <c r="I19"/>
  <c r="C19"/>
  <c r="M19" s="1"/>
  <c r="G18"/>
  <c r="A18"/>
  <c r="E17"/>
  <c r="H19"/>
  <c r="A19"/>
  <c r="E18"/>
  <c r="J17"/>
  <c r="C17"/>
  <c r="G14" i="57"/>
  <c r="D14"/>
  <c r="I14"/>
  <c r="E30"/>
  <c r="I29"/>
  <c r="D29"/>
  <c r="K29" s="1"/>
  <c r="G28"/>
  <c r="C28"/>
  <c r="F27"/>
  <c r="B27"/>
  <c r="A27" s="1"/>
  <c r="E26"/>
  <c r="I25"/>
  <c r="D25"/>
  <c r="K25" s="1"/>
  <c r="G24"/>
  <c r="C24"/>
  <c r="F23"/>
  <c r="B23"/>
  <c r="A23" s="1"/>
  <c r="I30"/>
  <c r="D30"/>
  <c r="K30" s="1"/>
  <c r="G29"/>
  <c r="C29"/>
  <c r="F28"/>
  <c r="B28"/>
  <c r="A28" s="1"/>
  <c r="E27"/>
  <c r="I26"/>
  <c r="D26"/>
  <c r="K26" s="1"/>
  <c r="G25"/>
  <c r="C25"/>
  <c r="F24"/>
  <c r="G30"/>
  <c r="C30"/>
  <c r="F29"/>
  <c r="B29"/>
  <c r="A29" s="1"/>
  <c r="E28"/>
  <c r="I27"/>
  <c r="D27"/>
  <c r="K27" s="1"/>
  <c r="G26"/>
  <c r="C26"/>
  <c r="F25"/>
  <c r="H25" s="1"/>
  <c r="B25"/>
  <c r="A25" s="1"/>
  <c r="F30"/>
  <c r="B30"/>
  <c r="A30" s="1"/>
  <c r="E29"/>
  <c r="I28"/>
  <c r="D28"/>
  <c r="K28" s="1"/>
  <c r="G27"/>
  <c r="C27"/>
  <c r="F26"/>
  <c r="B26"/>
  <c r="A26" s="1"/>
  <c r="E25"/>
  <c r="I24"/>
  <c r="D24"/>
  <c r="K24" s="1"/>
  <c r="I23"/>
  <c r="C23"/>
  <c r="E22"/>
  <c r="I21"/>
  <c r="D21"/>
  <c r="K21" s="1"/>
  <c r="G20"/>
  <c r="C20"/>
  <c r="F19"/>
  <c r="B19"/>
  <c r="A19" s="1"/>
  <c r="E18"/>
  <c r="I17"/>
  <c r="D17"/>
  <c r="L17" s="1"/>
  <c r="G16"/>
  <c r="C16"/>
  <c r="F15"/>
  <c r="B15"/>
  <c r="A15" s="1"/>
  <c r="B14"/>
  <c r="A14" s="1"/>
  <c r="G23"/>
  <c r="I22"/>
  <c r="D22"/>
  <c r="K22" s="1"/>
  <c r="G21"/>
  <c r="C21"/>
  <c r="F20"/>
  <c r="B20"/>
  <c r="A20" s="1"/>
  <c r="E19"/>
  <c r="I18"/>
  <c r="D18"/>
  <c r="L18" s="1"/>
  <c r="G17"/>
  <c r="C17"/>
  <c r="F16"/>
  <c r="B16"/>
  <c r="E15"/>
  <c r="F14"/>
  <c r="H14" s="1"/>
  <c r="E24"/>
  <c r="E23"/>
  <c r="G22"/>
  <c r="C22"/>
  <c r="F21"/>
  <c r="B21"/>
  <c r="A21" s="1"/>
  <c r="E20"/>
  <c r="I19"/>
  <c r="D19"/>
  <c r="L19" s="1"/>
  <c r="G18"/>
  <c r="C18"/>
  <c r="F17"/>
  <c r="B17"/>
  <c r="A17" s="1"/>
  <c r="E16"/>
  <c r="I15"/>
  <c r="D15"/>
  <c r="E14"/>
  <c r="B24"/>
  <c r="A24" s="1"/>
  <c r="D23"/>
  <c r="K23" s="1"/>
  <c r="F22"/>
  <c r="B22"/>
  <c r="A22" s="1"/>
  <c r="E21"/>
  <c r="I20"/>
  <c r="D20"/>
  <c r="K20" s="1"/>
  <c r="G19"/>
  <c r="C19"/>
  <c r="F18"/>
  <c r="B18"/>
  <c r="A18" s="1"/>
  <c r="E17"/>
  <c r="I16"/>
  <c r="D16"/>
  <c r="G15"/>
  <c r="C15"/>
  <c r="C14"/>
  <c r="B34" s="1"/>
  <c r="C15" i="47"/>
  <c r="G15"/>
  <c r="D16"/>
  <c r="A17"/>
  <c r="E17"/>
  <c r="B18"/>
  <c r="F18"/>
  <c r="C19"/>
  <c r="G19"/>
  <c r="D20"/>
  <c r="A21"/>
  <c r="E21"/>
  <c r="B22"/>
  <c r="F22"/>
  <c r="C23"/>
  <c r="G23"/>
  <c r="D24"/>
  <c r="A25"/>
  <c r="E25"/>
  <c r="B26"/>
  <c r="F26"/>
  <c r="C27"/>
  <c r="G27"/>
  <c r="D28"/>
  <c r="A29"/>
  <c r="E29"/>
  <c r="B30"/>
  <c r="F30"/>
  <c r="C31"/>
  <c r="G31"/>
  <c r="D32"/>
  <c r="A33"/>
  <c r="E33"/>
  <c r="B34"/>
  <c r="F34"/>
  <c r="C35"/>
  <c r="G35"/>
  <c r="D36"/>
  <c r="H36" s="1"/>
  <c r="A37"/>
  <c r="E37"/>
  <c r="B38"/>
  <c r="F38"/>
  <c r="C39"/>
  <c r="G39"/>
  <c r="D40"/>
  <c r="H40" s="1"/>
  <c r="A41"/>
  <c r="E41"/>
  <c r="B42"/>
  <c r="F42"/>
  <c r="C43"/>
  <c r="G43"/>
  <c r="D44"/>
  <c r="H44" s="1"/>
  <c r="A45"/>
  <c r="E45"/>
  <c r="B46"/>
  <c r="F46"/>
  <c r="C47"/>
  <c r="G47"/>
  <c r="D48"/>
  <c r="H48" s="1"/>
  <c r="A49"/>
  <c r="E49"/>
  <c r="B50"/>
  <c r="F50"/>
  <c r="D15"/>
  <c r="A16"/>
  <c r="E16"/>
  <c r="B17"/>
  <c r="F17"/>
  <c r="C18"/>
  <c r="G18"/>
  <c r="D19"/>
  <c r="A20"/>
  <c r="E20"/>
  <c r="B21"/>
  <c r="F21"/>
  <c r="C22"/>
  <c r="G22"/>
  <c r="D23"/>
  <c r="A24"/>
  <c r="E24"/>
  <c r="B25"/>
  <c r="F25"/>
  <c r="C26"/>
  <c r="G26"/>
  <c r="D27"/>
  <c r="A28"/>
  <c r="E28"/>
  <c r="B29"/>
  <c r="F29"/>
  <c r="C30"/>
  <c r="G30"/>
  <c r="D31"/>
  <c r="A32"/>
  <c r="E32"/>
  <c r="B33"/>
  <c r="F33"/>
  <c r="C34"/>
  <c r="G34"/>
  <c r="D35"/>
  <c r="A36"/>
  <c r="E36"/>
  <c r="B37"/>
  <c r="F37"/>
  <c r="C38"/>
  <c r="G38"/>
  <c r="D39"/>
  <c r="H39" s="1"/>
  <c r="A40"/>
  <c r="E40"/>
  <c r="B41"/>
  <c r="F41"/>
  <c r="C42"/>
  <c r="G42"/>
  <c r="D43"/>
  <c r="H43" s="1"/>
  <c r="A44"/>
  <c r="E44"/>
  <c r="B45"/>
  <c r="F45"/>
  <c r="C46"/>
  <c r="G46"/>
  <c r="D47"/>
  <c r="H47" s="1"/>
  <c r="A48"/>
  <c r="E48"/>
  <c r="B49"/>
  <c r="F49"/>
  <c r="C50"/>
  <c r="G50"/>
  <c r="H38" i="14"/>
  <c r="C38"/>
  <c r="A38" s="1"/>
  <c r="E37"/>
  <c r="H36"/>
  <c r="C36"/>
  <c r="A36" s="1"/>
  <c r="E35"/>
  <c r="H34"/>
  <c r="C34"/>
  <c r="A34" s="1"/>
  <c r="E33"/>
  <c r="H32"/>
  <c r="C32"/>
  <c r="A32" s="1"/>
  <c r="E31"/>
  <c r="H30"/>
  <c r="C30"/>
  <c r="A30" s="1"/>
  <c r="E29"/>
  <c r="H28"/>
  <c r="C28"/>
  <c r="A28" s="1"/>
  <c r="E27"/>
  <c r="H26"/>
  <c r="C26"/>
  <c r="A26" s="1"/>
  <c r="E25"/>
  <c r="H24"/>
  <c r="C24"/>
  <c r="A24" s="1"/>
  <c r="E23"/>
  <c r="H22"/>
  <c r="C22"/>
  <c r="A22" s="1"/>
  <c r="E21"/>
  <c r="H20"/>
  <c r="C20"/>
  <c r="A20" s="1"/>
  <c r="E19"/>
  <c r="H18"/>
  <c r="B38"/>
  <c r="C37"/>
  <c r="A37" s="1"/>
  <c r="D36"/>
  <c r="D35"/>
  <c r="E34"/>
  <c r="G33"/>
  <c r="G32"/>
  <c r="H31"/>
  <c r="B31"/>
  <c r="B30"/>
  <c r="C29"/>
  <c r="A29" s="1"/>
  <c r="D28"/>
  <c r="D27"/>
  <c r="E26"/>
  <c r="G25"/>
  <c r="G24"/>
  <c r="H23"/>
  <c r="B23"/>
  <c r="B22"/>
  <c r="C21"/>
  <c r="A21" s="1"/>
  <c r="D20"/>
  <c r="D19"/>
  <c r="E18"/>
  <c r="H17"/>
  <c r="C17"/>
  <c r="A17" s="1"/>
  <c r="E16"/>
  <c r="H15"/>
  <c r="C15"/>
  <c r="A15" s="1"/>
  <c r="E14"/>
  <c r="H37"/>
  <c r="G36"/>
  <c r="G35"/>
  <c r="D34"/>
  <c r="C33"/>
  <c r="A33" s="1"/>
  <c r="B32"/>
  <c r="G30"/>
  <c r="G29"/>
  <c r="E28"/>
  <c r="C27"/>
  <c r="A27" s="1"/>
  <c r="B26"/>
  <c r="B25"/>
  <c r="G23"/>
  <c r="E22"/>
  <c r="D21"/>
  <c r="B20"/>
  <c r="B19"/>
  <c r="B18"/>
  <c r="B17"/>
  <c r="C16"/>
  <c r="A16" s="1"/>
  <c r="D15"/>
  <c r="D14"/>
  <c r="G38"/>
  <c r="G37"/>
  <c r="E36"/>
  <c r="C35"/>
  <c r="A35" s="1"/>
  <c r="B34"/>
  <c r="B33"/>
  <c r="G31"/>
  <c r="E30"/>
  <c r="D29"/>
  <c r="B28"/>
  <c r="B27"/>
  <c r="H25"/>
  <c r="E24"/>
  <c r="D23"/>
  <c r="D22"/>
  <c r="B21"/>
  <c r="H19"/>
  <c r="G18"/>
  <c r="G17"/>
  <c r="H16"/>
  <c r="B16"/>
  <c r="B15"/>
  <c r="C14"/>
  <c r="A14" s="1"/>
  <c r="E38"/>
  <c r="D37"/>
  <c r="B36"/>
  <c r="B35"/>
  <c r="H33"/>
  <c r="E32"/>
  <c r="D31"/>
  <c r="D30"/>
  <c r="B29"/>
  <c r="H27"/>
  <c r="G26"/>
  <c r="D25"/>
  <c r="D24"/>
  <c r="C23"/>
  <c r="A23" s="1"/>
  <c r="H21"/>
  <c r="G20"/>
  <c r="G19"/>
  <c r="D18"/>
  <c r="E17"/>
  <c r="G16"/>
  <c r="G15"/>
  <c r="H14"/>
  <c r="B14"/>
  <c r="D38"/>
  <c r="B37"/>
  <c r="H35"/>
  <c r="G34"/>
  <c r="D33"/>
  <c r="D32"/>
  <c r="C31"/>
  <c r="A31" s="1"/>
  <c r="H29"/>
  <c r="G28"/>
  <c r="G27"/>
  <c r="D26"/>
  <c r="C25"/>
  <c r="A25" s="1"/>
  <c r="B24"/>
  <c r="G22"/>
  <c r="G21"/>
  <c r="E20"/>
  <c r="C19"/>
  <c r="A19" s="1"/>
  <c r="C18"/>
  <c r="A18" s="1"/>
  <c r="D17"/>
  <c r="D16"/>
  <c r="E15"/>
  <c r="G14"/>
  <c r="A15" i="47"/>
  <c r="E15"/>
  <c r="B16"/>
  <c r="F16"/>
  <c r="C17"/>
  <c r="G17"/>
  <c r="D18"/>
  <c r="A19"/>
  <c r="E19"/>
  <c r="B20"/>
  <c r="F20"/>
  <c r="C21"/>
  <c r="G21"/>
  <c r="D22"/>
  <c r="A23"/>
  <c r="E23"/>
  <c r="B24"/>
  <c r="F24"/>
  <c r="C25"/>
  <c r="G25"/>
  <c r="D26"/>
  <c r="A27"/>
  <c r="E27"/>
  <c r="B28"/>
  <c r="F28"/>
  <c r="C29"/>
  <c r="G29"/>
  <c r="D30"/>
  <c r="A31"/>
  <c r="E31"/>
  <c r="B32"/>
  <c r="F32"/>
  <c r="C33"/>
  <c r="G33"/>
  <c r="D34"/>
  <c r="A35"/>
  <c r="E35"/>
  <c r="B36"/>
  <c r="F36"/>
  <c r="C37"/>
  <c r="G37"/>
  <c r="D38"/>
  <c r="I38" s="1"/>
  <c r="A39"/>
  <c r="E39"/>
  <c r="B40"/>
  <c r="F40"/>
  <c r="C41"/>
  <c r="G41"/>
  <c r="D42"/>
  <c r="I42" s="1"/>
  <c r="A43"/>
  <c r="E43"/>
  <c r="B44"/>
  <c r="F44"/>
  <c r="C45"/>
  <c r="G45"/>
  <c r="D46"/>
  <c r="I46" s="1"/>
  <c r="A47"/>
  <c r="E47"/>
  <c r="B48"/>
  <c r="F48"/>
  <c r="C49"/>
  <c r="G49"/>
  <c r="M5" i="45"/>
  <c r="M6"/>
  <c r="O16"/>
  <c r="M16"/>
  <c r="O8"/>
  <c r="M8"/>
  <c r="O12"/>
  <c r="M12"/>
  <c r="M7"/>
  <c r="O7"/>
  <c r="O20"/>
  <c r="M20"/>
  <c r="K12" i="55"/>
  <c r="O10" i="45"/>
  <c r="O14"/>
  <c r="O18"/>
  <c r="O11"/>
  <c r="M13"/>
  <c r="O15"/>
  <c r="M17"/>
  <c r="O19"/>
  <c r="M21"/>
  <c r="K45" i="55"/>
  <c r="G54"/>
  <c r="K37"/>
  <c r="G43"/>
  <c r="B15" i="58"/>
  <c r="F15" s="1"/>
  <c r="B16"/>
  <c r="F16" s="1"/>
  <c r="B17"/>
  <c r="B18"/>
  <c r="F18" s="1"/>
  <c r="B19"/>
  <c r="F19" s="1"/>
  <c r="B20"/>
  <c r="F20" s="1"/>
  <c r="B21"/>
  <c r="B22"/>
  <c r="F22" s="1"/>
  <c r="B23"/>
  <c r="F23" s="1"/>
  <c r="B24"/>
  <c r="F24" s="1"/>
  <c r="B25"/>
  <c r="B26"/>
  <c r="F26" s="1"/>
  <c r="B27"/>
  <c r="F27" s="1"/>
  <c r="B28"/>
  <c r="F28" s="1"/>
  <c r="B29"/>
  <c r="B30"/>
  <c r="F30" s="1"/>
  <c r="H14"/>
  <c r="E14"/>
  <c r="C24"/>
  <c r="C25"/>
  <c r="C26"/>
  <c r="C27"/>
  <c r="C28"/>
  <c r="C29"/>
  <c r="C30"/>
  <c r="C15"/>
  <c r="G15"/>
  <c r="C16"/>
  <c r="G16"/>
  <c r="C17"/>
  <c r="G17"/>
  <c r="C18"/>
  <c r="G18"/>
  <c r="C19"/>
  <c r="G19"/>
  <c r="C20"/>
  <c r="G20"/>
  <c r="C21"/>
  <c r="G21"/>
  <c r="C22"/>
  <c r="G22"/>
  <c r="C23"/>
  <c r="G23"/>
  <c r="G24"/>
  <c r="G25"/>
  <c r="G26"/>
  <c r="G27"/>
  <c r="G28"/>
  <c r="G29"/>
  <c r="G30"/>
  <c r="D15"/>
  <c r="H15"/>
  <c r="D16"/>
  <c r="H16"/>
  <c r="D17"/>
  <c r="H17"/>
  <c r="D18"/>
  <c r="H18"/>
  <c r="D19"/>
  <c r="H19"/>
  <c r="D20"/>
  <c r="H20"/>
  <c r="D21"/>
  <c r="H21"/>
  <c r="D22"/>
  <c r="H22"/>
  <c r="D23"/>
  <c r="H23"/>
  <c r="D24"/>
  <c r="H24"/>
  <c r="D25"/>
  <c r="H25"/>
  <c r="D26"/>
  <c r="H26"/>
  <c r="D27"/>
  <c r="H27"/>
  <c r="D28"/>
  <c r="H28"/>
  <c r="D29"/>
  <c r="H29"/>
  <c r="D30"/>
  <c r="H30"/>
  <c r="G14"/>
  <c r="D14"/>
  <c r="C14"/>
  <c r="E15"/>
  <c r="E16"/>
  <c r="E17"/>
  <c r="I17" s="1"/>
  <c r="E18"/>
  <c r="I18" s="1"/>
  <c r="E19"/>
  <c r="I19" s="1"/>
  <c r="E20"/>
  <c r="I20" s="1"/>
  <c r="E21"/>
  <c r="I21" s="1"/>
  <c r="E22"/>
  <c r="I22" s="1"/>
  <c r="E23"/>
  <c r="I23" s="1"/>
  <c r="E24"/>
  <c r="I24" s="1"/>
  <c r="E25"/>
  <c r="I25" s="1"/>
  <c r="E26"/>
  <c r="I26" s="1"/>
  <c r="E27"/>
  <c r="I27" s="1"/>
  <c r="E28"/>
  <c r="I28" s="1"/>
  <c r="E29"/>
  <c r="I29" s="1"/>
  <c r="E30"/>
  <c r="I30" s="1"/>
  <c r="H13" i="61"/>
  <c r="H14" s="1"/>
  <c r="C13"/>
  <c r="C14" s="1"/>
  <c r="G12"/>
  <c r="B13"/>
  <c r="E12"/>
  <c r="F12"/>
  <c r="D12"/>
  <c r="L23" i="57" l="1"/>
  <c r="N17" i="52"/>
  <c r="L27" i="57"/>
  <c r="N19" i="52"/>
  <c r="L25" i="57"/>
  <c r="A14" i="58"/>
  <c r="L28" i="57"/>
  <c r="J21" i="52"/>
  <c r="F31" i="47"/>
  <c r="A50"/>
  <c r="B27"/>
  <c r="E22"/>
  <c r="G40"/>
  <c r="D45"/>
  <c r="I45" s="1"/>
  <c r="A18"/>
  <c r="C36"/>
  <c r="E47" i="15" a="1"/>
  <c r="E47" s="1"/>
  <c r="F15" i="47"/>
  <c r="I15" s="1"/>
  <c r="F47"/>
  <c r="B43"/>
  <c r="E38"/>
  <c r="A34"/>
  <c r="D29"/>
  <c r="G24"/>
  <c r="C20"/>
  <c r="E5" i="58"/>
  <c r="A35"/>
  <c r="L21" i="57"/>
  <c r="J29"/>
  <c r="I40" i="47"/>
  <c r="H29" i="57"/>
  <c r="L24"/>
  <c r="L22"/>
  <c r="K17"/>
  <c r="L19" i="52"/>
  <c r="K19"/>
  <c r="B15" i="47"/>
  <c r="G48"/>
  <c r="E46"/>
  <c r="C44"/>
  <c r="A42"/>
  <c r="F39"/>
  <c r="D37"/>
  <c r="I37" s="1"/>
  <c r="B35"/>
  <c r="G32"/>
  <c r="E30"/>
  <c r="C28"/>
  <c r="A26"/>
  <c r="F23"/>
  <c r="D21"/>
  <c r="B19"/>
  <c r="G16"/>
  <c r="E50"/>
  <c r="C48"/>
  <c r="A46"/>
  <c r="F43"/>
  <c r="D41"/>
  <c r="I41" s="1"/>
  <c r="B39"/>
  <c r="G36"/>
  <c r="E34"/>
  <c r="C32"/>
  <c r="A30"/>
  <c r="F27"/>
  <c r="D25"/>
  <c r="B23"/>
  <c r="G20"/>
  <c r="E18"/>
  <c r="C16"/>
  <c r="D49"/>
  <c r="B47"/>
  <c r="G44"/>
  <c r="E42"/>
  <c r="C40"/>
  <c r="A38"/>
  <c r="F35"/>
  <c r="D33"/>
  <c r="B31"/>
  <c r="G28"/>
  <c r="E26"/>
  <c r="C24"/>
  <c r="A22"/>
  <c r="F19"/>
  <c r="D17"/>
  <c r="J19" i="57"/>
  <c r="J23"/>
  <c r="H17"/>
  <c r="H26"/>
  <c r="K17" i="52"/>
  <c r="M17"/>
  <c r="J26" i="57"/>
  <c r="L17" i="52"/>
  <c r="L18" s="1"/>
  <c r="G21"/>
  <c r="I36" i="47"/>
  <c r="L20" i="57"/>
  <c r="J28"/>
  <c r="K54" i="55"/>
  <c r="K43"/>
  <c r="K35"/>
  <c r="H23" i="57"/>
  <c r="H18"/>
  <c r="H21" i="52"/>
  <c r="J20" i="57"/>
  <c r="J22"/>
  <c r="J15"/>
  <c r="J24"/>
  <c r="J27"/>
  <c r="K18"/>
  <c r="L30"/>
  <c r="A16"/>
  <c r="J25"/>
  <c r="I44" i="47"/>
  <c r="H28" i="57"/>
  <c r="J18"/>
  <c r="H20"/>
  <c r="J16"/>
  <c r="H30"/>
  <c r="L29"/>
  <c r="I32"/>
  <c r="I43" i="47"/>
  <c r="M9" i="39"/>
  <c r="J21" i="57"/>
  <c r="H15"/>
  <c r="H22"/>
  <c r="J17"/>
  <c r="J14"/>
  <c r="L14" s="1"/>
  <c r="L15" s="1"/>
  <c r="L16" s="1"/>
  <c r="H16"/>
  <c r="H27"/>
  <c r="I21" i="52"/>
  <c r="H21" i="57"/>
  <c r="J30"/>
  <c r="H24"/>
  <c r="K14"/>
  <c r="L26"/>
  <c r="K19"/>
  <c r="K15"/>
  <c r="K16" s="1"/>
  <c r="K46" i="60"/>
  <c r="J46"/>
  <c r="K47"/>
  <c r="C10" i="39"/>
  <c r="H5"/>
  <c r="M16" s="1"/>
  <c r="H19" i="57"/>
  <c r="I48" i="47"/>
  <c r="G32" i="57"/>
  <c r="H9" i="60"/>
  <c r="N190"/>
  <c r="P190" s="1"/>
  <c r="I47" i="47"/>
  <c r="G40" i="14"/>
  <c r="I39" i="47"/>
  <c r="N112" i="60"/>
  <c r="P112" s="1"/>
  <c r="N189"/>
  <c r="P189" s="1"/>
  <c r="H47"/>
  <c r="N47" s="1"/>
  <c r="I48"/>
  <c r="N109"/>
  <c r="P109" s="1"/>
  <c r="N110"/>
  <c r="P110" s="1"/>
  <c r="C12" i="39"/>
  <c r="C15"/>
  <c r="M8"/>
  <c r="D50" i="47"/>
  <c r="I50" s="1"/>
  <c r="J14" i="14"/>
  <c r="H7" i="60"/>
  <c r="K48"/>
  <c r="I47"/>
  <c r="I8"/>
  <c r="I46"/>
  <c r="J48"/>
  <c r="N48" s="1"/>
  <c r="N188"/>
  <c r="P188" s="1"/>
  <c r="N191"/>
  <c r="P191" s="1"/>
  <c r="J7"/>
  <c r="K9"/>
  <c r="N111"/>
  <c r="P111" s="1"/>
  <c r="I14" i="14"/>
  <c r="H40"/>
  <c r="B15" i="55"/>
  <c r="A14"/>
  <c r="H8" i="60"/>
  <c r="J8"/>
  <c r="J47"/>
  <c r="H46"/>
  <c r="I140"/>
  <c r="K139"/>
  <c r="J138"/>
  <c r="J137"/>
  <c r="H139"/>
  <c r="I138"/>
  <c r="K137"/>
  <c r="K140"/>
  <c r="H138"/>
  <c r="I137"/>
  <c r="J140"/>
  <c r="J139"/>
  <c r="H137"/>
  <c r="H140"/>
  <c r="I139"/>
  <c r="K138"/>
  <c r="I219"/>
  <c r="H218"/>
  <c r="K217"/>
  <c r="J216"/>
  <c r="J215"/>
  <c r="I214"/>
  <c r="H219"/>
  <c r="K219"/>
  <c r="J218"/>
  <c r="I217"/>
  <c r="H216"/>
  <c r="H215"/>
  <c r="K214"/>
  <c r="J219"/>
  <c r="I218"/>
  <c r="H217"/>
  <c r="K216"/>
  <c r="K215"/>
  <c r="J214"/>
  <c r="J217"/>
  <c r="I215"/>
  <c r="H214"/>
  <c r="K218"/>
  <c r="I216"/>
  <c r="K245"/>
  <c r="I244"/>
  <c r="I243"/>
  <c r="H242"/>
  <c r="K241"/>
  <c r="K240"/>
  <c r="J245"/>
  <c r="H244"/>
  <c r="H243"/>
  <c r="K242"/>
  <c r="J241"/>
  <c r="J240"/>
  <c r="I245"/>
  <c r="K244"/>
  <c r="K243"/>
  <c r="J242"/>
  <c r="I241"/>
  <c r="I240"/>
  <c r="H245"/>
  <c r="J244"/>
  <c r="J243"/>
  <c r="I242"/>
  <c r="H241"/>
  <c r="H240"/>
  <c r="G272"/>
  <c r="N187"/>
  <c r="G193"/>
  <c r="G70"/>
  <c r="H270"/>
  <c r="K269"/>
  <c r="K268"/>
  <c r="J267"/>
  <c r="I266"/>
  <c r="I265"/>
  <c r="K270"/>
  <c r="J269"/>
  <c r="J268"/>
  <c r="I267"/>
  <c r="H266"/>
  <c r="H265"/>
  <c r="J270"/>
  <c r="I269"/>
  <c r="I268"/>
  <c r="H267"/>
  <c r="K266"/>
  <c r="K265"/>
  <c r="I270"/>
  <c r="H269"/>
  <c r="H268"/>
  <c r="K267"/>
  <c r="J266"/>
  <c r="J265"/>
  <c r="J90"/>
  <c r="J89"/>
  <c r="K90"/>
  <c r="I90"/>
  <c r="K89"/>
  <c r="H90"/>
  <c r="I89"/>
  <c r="H89"/>
  <c r="H163"/>
  <c r="H162"/>
  <c r="K161"/>
  <c r="I163"/>
  <c r="I162"/>
  <c r="H161"/>
  <c r="H160"/>
  <c r="J162"/>
  <c r="I161"/>
  <c r="K160"/>
  <c r="K163"/>
  <c r="J160"/>
  <c r="J163"/>
  <c r="K162"/>
  <c r="J161"/>
  <c r="I160"/>
  <c r="I68"/>
  <c r="I67"/>
  <c r="H68"/>
  <c r="H67"/>
  <c r="K68"/>
  <c r="K67"/>
  <c r="J68"/>
  <c r="J67"/>
  <c r="K7"/>
  <c r="N7" s="1"/>
  <c r="J9"/>
  <c r="G221"/>
  <c r="K29"/>
  <c r="K28"/>
  <c r="J29"/>
  <c r="J28"/>
  <c r="I29"/>
  <c r="I28"/>
  <c r="H29"/>
  <c r="H28"/>
  <c r="K8"/>
  <c r="I9"/>
  <c r="A28" i="58"/>
  <c r="A20"/>
  <c r="E13" i="61"/>
  <c r="E14" s="1"/>
  <c r="B12"/>
  <c r="B14" s="1"/>
  <c r="D13"/>
  <c r="D14" s="1"/>
  <c r="G13"/>
  <c r="G14" s="1"/>
  <c r="F13"/>
  <c r="F14" s="1"/>
  <c r="G11" i="60"/>
  <c r="A24" i="58"/>
  <c r="F47" i="15" a="1"/>
  <c r="F47" s="1"/>
  <c r="F60" a="1"/>
  <c r="F60" s="1"/>
  <c r="A22" i="58"/>
  <c r="H42" i="47"/>
  <c r="H46"/>
  <c r="I14" i="58"/>
  <c r="I15" s="1"/>
  <c r="I16" s="1"/>
  <c r="O23" i="45"/>
  <c r="G32" i="58"/>
  <c r="A26"/>
  <c r="H38" i="47"/>
  <c r="A23" i="58"/>
  <c r="A27"/>
  <c r="A18"/>
  <c r="A19"/>
  <c r="A30"/>
  <c r="A15"/>
  <c r="A16" s="1"/>
  <c r="H32"/>
  <c r="M23" i="45"/>
  <c r="F29" i="58"/>
  <c r="A29"/>
  <c r="F25"/>
  <c r="A25"/>
  <c r="F21"/>
  <c r="A21"/>
  <c r="F17"/>
  <c r="A17"/>
  <c r="L22" i="52" l="1"/>
  <c r="H41" i="47"/>
  <c r="H45"/>
  <c r="H15"/>
  <c r="H16" s="1"/>
  <c r="H37"/>
  <c r="N114" i="60"/>
  <c r="N46"/>
  <c r="P46" s="1"/>
  <c r="F51" i="47"/>
  <c r="G51"/>
  <c r="I49"/>
  <c r="H49"/>
  <c r="M18" i="52"/>
  <c r="K18"/>
  <c r="K22"/>
  <c r="N18"/>
  <c r="N22"/>
  <c r="K32" i="57"/>
  <c r="M22" i="52"/>
  <c r="J32" i="57"/>
  <c r="H32"/>
  <c r="N268" i="60"/>
  <c r="P268" s="1"/>
  <c r="I41" i="14"/>
  <c r="N8" i="60"/>
  <c r="N28"/>
  <c r="N214"/>
  <c r="N161"/>
  <c r="P161" s="1"/>
  <c r="N90"/>
  <c r="P90" s="1"/>
  <c r="H50" i="47"/>
  <c r="J15" i="14"/>
  <c r="J41"/>
  <c r="N265" i="60"/>
  <c r="P265" s="1"/>
  <c r="N215"/>
  <c r="P215" s="1"/>
  <c r="N9"/>
  <c r="N67"/>
  <c r="N137"/>
  <c r="P137" s="1"/>
  <c r="I15" i="14"/>
  <c r="B16" i="55"/>
  <c r="A15"/>
  <c r="P67" i="60"/>
  <c r="P214"/>
  <c r="N162"/>
  <c r="P162" s="1"/>
  <c r="N217"/>
  <c r="P217" s="1"/>
  <c r="N68"/>
  <c r="P68" s="1"/>
  <c r="N163"/>
  <c r="P163" s="1"/>
  <c r="N270"/>
  <c r="P270" s="1"/>
  <c r="P187"/>
  <c r="N193"/>
  <c r="N216"/>
  <c r="P216" s="1"/>
  <c r="N219"/>
  <c r="P219" s="1"/>
  <c r="N29"/>
  <c r="N31" s="1"/>
  <c r="N89"/>
  <c r="N269"/>
  <c r="P269" s="1"/>
  <c r="N267"/>
  <c r="P267" s="1"/>
  <c r="N218"/>
  <c r="P218" s="1"/>
  <c r="N140"/>
  <c r="P140" s="1"/>
  <c r="N160"/>
  <c r="N266"/>
  <c r="P266" s="1"/>
  <c r="N138"/>
  <c r="P138" s="1"/>
  <c r="N139"/>
  <c r="P139" s="1"/>
  <c r="P28"/>
  <c r="H47" i="15"/>
  <c r="G47"/>
  <c r="I32" i="58"/>
  <c r="N11" i="60" l="1"/>
  <c r="I16" i="47"/>
  <c r="H17" s="1"/>
  <c r="I52"/>
  <c r="H52"/>
  <c r="L32" i="57"/>
  <c r="I16" i="14"/>
  <c r="J16"/>
  <c r="B17" i="55"/>
  <c r="A16"/>
  <c r="N165" i="60"/>
  <c r="P160"/>
  <c r="N70"/>
  <c r="P89"/>
  <c r="N92"/>
  <c r="N221"/>
  <c r="N141"/>
  <c r="N272"/>
  <c r="G50"/>
  <c r="I17" i="47" l="1"/>
  <c r="H18" s="1"/>
  <c r="J17" i="14"/>
  <c r="I17"/>
  <c r="B18" i="55"/>
  <c r="A17"/>
  <c r="N50" i="60"/>
  <c r="I18" i="47" l="1"/>
  <c r="I19" s="1"/>
  <c r="J18" i="14"/>
  <c r="I18"/>
  <c r="B19" i="55"/>
  <c r="A18"/>
  <c r="H19" i="47" l="1"/>
  <c r="H20" s="1"/>
  <c r="I19" i="14"/>
  <c r="J19"/>
  <c r="B20" i="55"/>
  <c r="A19"/>
  <c r="I20" i="47" l="1"/>
  <c r="H21" s="1"/>
  <c r="J20" i="14"/>
  <c r="I20"/>
  <c r="B21" i="55"/>
  <c r="A20"/>
  <c r="I21" i="47" l="1"/>
  <c r="H22" s="1"/>
  <c r="J21" i="14"/>
  <c r="I21"/>
  <c r="B22" i="55"/>
  <c r="A21"/>
  <c r="I22" i="47" l="1"/>
  <c r="I23" s="1"/>
  <c r="J22" i="14"/>
  <c r="I22"/>
  <c r="B23" i="55"/>
  <c r="A22"/>
  <c r="H23" i="47" l="1"/>
  <c r="H24" s="1"/>
  <c r="I23" i="14"/>
  <c r="J23"/>
  <c r="B24" i="55"/>
  <c r="A23"/>
  <c r="I24" i="47" l="1"/>
  <c r="I25" s="1"/>
  <c r="J24" i="14"/>
  <c r="I24"/>
  <c r="B25" i="55"/>
  <c r="A24"/>
  <c r="H25" i="47" l="1"/>
  <c r="H26" s="1"/>
  <c r="I25" i="14"/>
  <c r="J25"/>
  <c r="B26" i="55"/>
  <c r="A25"/>
  <c r="I26" i="47" l="1"/>
  <c r="I27" s="1"/>
  <c r="J26" i="14"/>
  <c r="I26"/>
  <c r="B27" i="55"/>
  <c r="A26"/>
  <c r="H27" i="47" l="1"/>
  <c r="H28" s="1"/>
  <c r="I27" i="14"/>
  <c r="J27"/>
  <c r="B28" i="55"/>
  <c r="A27"/>
  <c r="I28" i="47" l="1"/>
  <c r="I29" s="1"/>
  <c r="J28" i="14"/>
  <c r="I28"/>
  <c r="B29" i="55"/>
  <c r="A28"/>
  <c r="H29" i="47" l="1"/>
  <c r="H30" s="1"/>
  <c r="I29" i="14"/>
  <c r="J29"/>
  <c r="B30" i="55"/>
  <c r="A29"/>
  <c r="I30" i="47" l="1"/>
  <c r="I31" s="1"/>
  <c r="J30" i="14"/>
  <c r="I30"/>
  <c r="B31" i="55"/>
  <c r="A30"/>
  <c r="H31" i="47" l="1"/>
  <c r="H32" s="1"/>
  <c r="I31" i="14"/>
  <c r="J31"/>
  <c r="B32" i="55"/>
  <c r="A32" s="1"/>
  <c r="A31"/>
  <c r="C427" i="34"/>
  <c r="AG427" s="1"/>
  <c r="I32" i="47" l="1"/>
  <c r="I33" s="1"/>
  <c r="B427" i="34"/>
  <c r="J32" i="14"/>
  <c r="I32"/>
  <c r="C426" i="34"/>
  <c r="AG426" s="1"/>
  <c r="A427" l="1"/>
  <c r="Q427"/>
  <c r="S427"/>
  <c r="U427"/>
  <c r="Y427"/>
  <c r="AC427"/>
  <c r="R427"/>
  <c r="T427"/>
  <c r="V427"/>
  <c r="X427"/>
  <c r="Z427"/>
  <c r="H33" i="47"/>
  <c r="H34" s="1"/>
  <c r="I33" i="14"/>
  <c r="J33"/>
  <c r="I14" i="59"/>
  <c r="H37"/>
  <c r="A34"/>
  <c r="A33"/>
  <c r="H26"/>
  <c r="A23"/>
  <c r="H24"/>
  <c r="H23"/>
  <c r="H22"/>
  <c r="A19"/>
  <c r="D15"/>
  <c r="H14"/>
  <c r="G38"/>
  <c r="I28"/>
  <c r="I25"/>
  <c r="I26"/>
  <c r="I23"/>
  <c r="G19"/>
  <c r="G16"/>
  <c r="D39"/>
  <c r="D38"/>
  <c r="A32"/>
  <c r="D28"/>
  <c r="A30"/>
  <c r="A29"/>
  <c r="A28"/>
  <c r="D24"/>
  <c r="H20"/>
  <c r="H19"/>
  <c r="A14"/>
  <c r="I36"/>
  <c r="I33"/>
  <c r="I34"/>
  <c r="I31"/>
  <c r="G27"/>
  <c r="G24"/>
  <c r="I22"/>
  <c r="I19"/>
  <c r="D37"/>
  <c r="H33"/>
  <c r="D35"/>
  <c r="D34"/>
  <c r="D33"/>
  <c r="H29"/>
  <c r="A26"/>
  <c r="A25"/>
  <c r="H18"/>
  <c r="A15"/>
  <c r="H16"/>
  <c r="H15"/>
  <c r="I39"/>
  <c r="G35"/>
  <c r="G32"/>
  <c r="I30"/>
  <c r="I27"/>
  <c r="G15"/>
  <c r="A39"/>
  <c r="H40"/>
  <c r="H39"/>
  <c r="H38"/>
  <c r="A35"/>
  <c r="D31"/>
  <c r="D30"/>
  <c r="A24"/>
  <c r="D20"/>
  <c r="A22"/>
  <c r="A21"/>
  <c r="A20"/>
  <c r="D16"/>
  <c r="G40"/>
  <c r="I38"/>
  <c r="I35"/>
  <c r="G23"/>
  <c r="G20"/>
  <c r="G21"/>
  <c r="G18"/>
  <c r="I16"/>
  <c r="D40"/>
  <c r="H36"/>
  <c r="H35"/>
  <c r="D29"/>
  <c r="H25"/>
  <c r="D27"/>
  <c r="D26"/>
  <c r="D25"/>
  <c r="H21"/>
  <c r="A18"/>
  <c r="A17"/>
  <c r="D14"/>
  <c r="G31"/>
  <c r="G28"/>
  <c r="G29"/>
  <c r="G26"/>
  <c r="I24"/>
  <c r="I21"/>
  <c r="G17"/>
  <c r="G14"/>
  <c r="H34"/>
  <c r="A31"/>
  <c r="H32"/>
  <c r="H31"/>
  <c r="H30"/>
  <c r="A27"/>
  <c r="D23"/>
  <c r="D22"/>
  <c r="A16"/>
  <c r="G39"/>
  <c r="G36"/>
  <c r="G37"/>
  <c r="G34"/>
  <c r="I32"/>
  <c r="I29"/>
  <c r="G25"/>
  <c r="G22"/>
  <c r="A40"/>
  <c r="D36"/>
  <c r="A38"/>
  <c r="A37"/>
  <c r="A36"/>
  <c r="D32"/>
  <c r="H28"/>
  <c r="H27"/>
  <c r="D21"/>
  <c r="H17"/>
  <c r="D19"/>
  <c r="D18"/>
  <c r="D17"/>
  <c r="I40"/>
  <c r="I37"/>
  <c r="G33"/>
  <c r="G30"/>
  <c r="I20"/>
  <c r="I17"/>
  <c r="I18"/>
  <c r="I15"/>
  <c r="B34"/>
  <c r="B20"/>
  <c r="B22"/>
  <c r="B24"/>
  <c r="B29"/>
  <c r="B33"/>
  <c r="B15"/>
  <c r="B36"/>
  <c r="B38"/>
  <c r="B16"/>
  <c r="B37"/>
  <c r="B18"/>
  <c r="B30"/>
  <c r="B31"/>
  <c r="B17"/>
  <c r="B19"/>
  <c r="B32"/>
  <c r="B14"/>
  <c r="B23"/>
  <c r="B35"/>
  <c r="B26"/>
  <c r="B39"/>
  <c r="B25"/>
  <c r="B27"/>
  <c r="B21"/>
  <c r="B28"/>
  <c r="B40"/>
  <c r="B426" i="34"/>
  <c r="A9" i="56"/>
  <c r="G8"/>
  <c r="G21"/>
  <c r="G23"/>
  <c r="G7"/>
  <c r="F23"/>
  <c r="H23" s="1"/>
  <c r="G18"/>
  <c r="G19"/>
  <c r="G22"/>
  <c r="G20"/>
  <c r="G17"/>
  <c r="F21"/>
  <c r="H21" s="1"/>
  <c r="F22"/>
  <c r="H22" s="1"/>
  <c r="D6"/>
  <c r="F28" s="1"/>
  <c r="F20"/>
  <c r="H20" s="1"/>
  <c r="B19"/>
  <c r="F17"/>
  <c r="B21"/>
  <c r="B23"/>
  <c r="B20"/>
  <c r="F18"/>
  <c r="B22"/>
  <c r="F19"/>
  <c r="H19" s="1"/>
  <c r="B18"/>
  <c r="B17"/>
  <c r="A426" i="34" l="1"/>
  <c r="Q426"/>
  <c r="S426"/>
  <c r="U426"/>
  <c r="Y426"/>
  <c r="AC426"/>
  <c r="R426"/>
  <c r="T426"/>
  <c r="V426"/>
  <c r="H11" i="43" s="1"/>
  <c r="X426" i="34"/>
  <c r="Z426"/>
  <c r="I34" i="47"/>
  <c r="I35" s="1"/>
  <c r="J34" i="14"/>
  <c r="H18" i="56"/>
  <c r="I34" i="14"/>
  <c r="H17" i="56"/>
  <c r="F21" i="59"/>
  <c r="C21"/>
  <c r="J21"/>
  <c r="E21"/>
  <c r="E26"/>
  <c r="F26"/>
  <c r="J26"/>
  <c r="C26"/>
  <c r="E32"/>
  <c r="C32"/>
  <c r="J32"/>
  <c r="F32"/>
  <c r="C30"/>
  <c r="J30"/>
  <c r="F30"/>
  <c r="E30"/>
  <c r="E38"/>
  <c r="F38"/>
  <c r="C38"/>
  <c r="J38"/>
  <c r="E29"/>
  <c r="F29"/>
  <c r="C29"/>
  <c r="J29"/>
  <c r="C34"/>
  <c r="E34"/>
  <c r="F34"/>
  <c r="J34"/>
  <c r="A18" i="56"/>
  <c r="D18"/>
  <c r="D20"/>
  <c r="A20"/>
  <c r="A19"/>
  <c r="D19"/>
  <c r="D11" i="44"/>
  <c r="J27" i="59"/>
  <c r="F27"/>
  <c r="C27"/>
  <c r="E27"/>
  <c r="C35"/>
  <c r="F35"/>
  <c r="J35"/>
  <c r="E35"/>
  <c r="C19"/>
  <c r="J19"/>
  <c r="F19"/>
  <c r="E19"/>
  <c r="F18"/>
  <c r="J18"/>
  <c r="E18"/>
  <c r="C18"/>
  <c r="C36"/>
  <c r="F36"/>
  <c r="E36"/>
  <c r="J36"/>
  <c r="F24"/>
  <c r="C24"/>
  <c r="J24"/>
  <c r="E24"/>
  <c r="A23" i="56"/>
  <c r="D23"/>
  <c r="J40" i="59"/>
  <c r="E40"/>
  <c r="C40"/>
  <c r="F40"/>
  <c r="J25"/>
  <c r="E25"/>
  <c r="C25"/>
  <c r="F25"/>
  <c r="E23"/>
  <c r="C23"/>
  <c r="J23"/>
  <c r="F23"/>
  <c r="C17"/>
  <c r="J17"/>
  <c r="E17"/>
  <c r="F17"/>
  <c r="F37"/>
  <c r="J37"/>
  <c r="E37"/>
  <c r="C37"/>
  <c r="C15"/>
  <c r="J15"/>
  <c r="E15"/>
  <c r="F15"/>
  <c r="J22"/>
  <c r="F22"/>
  <c r="C22"/>
  <c r="E22"/>
  <c r="D17" i="56"/>
  <c r="A27"/>
  <c r="A17"/>
  <c r="D22"/>
  <c r="A22"/>
  <c r="D21"/>
  <c r="A21"/>
  <c r="J28" i="59"/>
  <c r="F28"/>
  <c r="E28"/>
  <c r="C28"/>
  <c r="E39"/>
  <c r="C39"/>
  <c r="F39"/>
  <c r="J39"/>
  <c r="E14"/>
  <c r="F14"/>
  <c r="C14"/>
  <c r="J14"/>
  <c r="J31"/>
  <c r="C31"/>
  <c r="F31"/>
  <c r="E31"/>
  <c r="J16"/>
  <c r="C16"/>
  <c r="E16"/>
  <c r="F16"/>
  <c r="J33"/>
  <c r="F33"/>
  <c r="E33"/>
  <c r="C33"/>
  <c r="J20"/>
  <c r="C20"/>
  <c r="E20"/>
  <c r="F20"/>
  <c r="E98" i="42" l="1"/>
  <c r="I98" s="1"/>
  <c r="H99"/>
  <c r="G100"/>
  <c r="F98"/>
  <c r="E99"/>
  <c r="I99" s="1"/>
  <c r="H100"/>
  <c r="G98"/>
  <c r="F99"/>
  <c r="E100"/>
  <c r="I100" s="1"/>
  <c r="H98"/>
  <c r="G99"/>
  <c r="F100"/>
  <c r="C84"/>
  <c r="D85"/>
  <c r="D86"/>
  <c r="D87"/>
  <c r="D88"/>
  <c r="D89"/>
  <c r="D90"/>
  <c r="D91"/>
  <c r="D92"/>
  <c r="D93"/>
  <c r="D94"/>
  <c r="D95"/>
  <c r="D96"/>
  <c r="D97"/>
  <c r="A83"/>
  <c r="D84"/>
  <c r="E85"/>
  <c r="E86"/>
  <c r="E87"/>
  <c r="E88"/>
  <c r="E89"/>
  <c r="E90"/>
  <c r="E91"/>
  <c r="E92"/>
  <c r="E93"/>
  <c r="E94"/>
  <c r="E95"/>
  <c r="E96"/>
  <c r="E97"/>
  <c r="H83"/>
  <c r="B85"/>
  <c r="B86"/>
  <c r="B87"/>
  <c r="B88"/>
  <c r="B89"/>
  <c r="B90"/>
  <c r="B91"/>
  <c r="B92"/>
  <c r="B93"/>
  <c r="B94"/>
  <c r="B95"/>
  <c r="B96"/>
  <c r="B97"/>
  <c r="D83"/>
  <c r="G84"/>
  <c r="G85"/>
  <c r="G86"/>
  <c r="G87"/>
  <c r="G88"/>
  <c r="G89"/>
  <c r="G90"/>
  <c r="G91"/>
  <c r="G92"/>
  <c r="G93"/>
  <c r="G94"/>
  <c r="G95"/>
  <c r="G96"/>
  <c r="G97"/>
  <c r="B83"/>
  <c r="B84"/>
  <c r="A98"/>
  <c r="D99"/>
  <c r="C100"/>
  <c r="B98"/>
  <c r="A99"/>
  <c r="D100"/>
  <c r="C98"/>
  <c r="B99"/>
  <c r="A100"/>
  <c r="D98"/>
  <c r="C99"/>
  <c r="B100"/>
  <c r="E83"/>
  <c r="H84"/>
  <c r="H85"/>
  <c r="H86"/>
  <c r="H87"/>
  <c r="H88"/>
  <c r="H89"/>
  <c r="H90"/>
  <c r="H91"/>
  <c r="H92"/>
  <c r="H93"/>
  <c r="H94"/>
  <c r="H95"/>
  <c r="H96"/>
  <c r="H97"/>
  <c r="G83"/>
  <c r="A85"/>
  <c r="A86"/>
  <c r="A87"/>
  <c r="A88"/>
  <c r="A89"/>
  <c r="A90"/>
  <c r="A91"/>
  <c r="A92"/>
  <c r="A93"/>
  <c r="A94"/>
  <c r="A95"/>
  <c r="A96"/>
  <c r="A97"/>
  <c r="C83"/>
  <c r="E84"/>
  <c r="F85"/>
  <c r="F86"/>
  <c r="F87"/>
  <c r="F88"/>
  <c r="F89"/>
  <c r="F90"/>
  <c r="F91"/>
  <c r="F92"/>
  <c r="F93"/>
  <c r="F94"/>
  <c r="F95"/>
  <c r="F96"/>
  <c r="F97"/>
  <c r="A84"/>
  <c r="C85"/>
  <c r="C86"/>
  <c r="C87"/>
  <c r="C88"/>
  <c r="C89"/>
  <c r="C90"/>
  <c r="C91"/>
  <c r="C92"/>
  <c r="C93"/>
  <c r="C94"/>
  <c r="C95"/>
  <c r="C96"/>
  <c r="C97"/>
  <c r="F84"/>
  <c r="F83"/>
  <c r="H35" i="47"/>
  <c r="I13" i="42"/>
  <c r="I35" i="14"/>
  <c r="H24" i="56"/>
  <c r="J35" i="14"/>
  <c r="J47" i="59"/>
  <c r="E41"/>
  <c r="N41"/>
  <c r="D11" i="51"/>
  <c r="B11"/>
  <c r="F11"/>
  <c r="D11" i="48"/>
  <c r="E11" i="51"/>
  <c r="F11" i="49"/>
  <c r="E11" i="48"/>
  <c r="B11" i="49"/>
  <c r="F11" i="50"/>
  <c r="D11"/>
  <c r="D11" i="49"/>
  <c r="E11"/>
  <c r="B11" i="48"/>
  <c r="B11" i="50"/>
  <c r="F11" i="48"/>
  <c r="E11" i="50"/>
  <c r="C11"/>
  <c r="C11" i="51"/>
  <c r="C11" i="48"/>
  <c r="C11" i="49"/>
  <c r="H11"/>
  <c r="G11" i="51"/>
  <c r="G11" i="49"/>
  <c r="H11" i="48"/>
  <c r="H11" i="51"/>
  <c r="G11" i="48"/>
  <c r="H11" i="50"/>
  <c r="G11"/>
  <c r="D57" i="44"/>
  <c r="C34"/>
  <c r="A14"/>
  <c r="D60"/>
  <c r="A44"/>
  <c r="D30"/>
  <c r="A23"/>
  <c r="D35"/>
  <c r="A30"/>
  <c r="D34"/>
  <c r="B26"/>
  <c r="D39"/>
  <c r="C50"/>
  <c r="B35"/>
  <c r="C19"/>
  <c r="A60"/>
  <c r="D54"/>
  <c r="B51"/>
  <c r="D59"/>
  <c r="B58"/>
  <c r="D58"/>
  <c r="A55"/>
  <c r="D17"/>
  <c r="A31"/>
  <c r="B24"/>
  <c r="D36"/>
  <c r="C64"/>
  <c r="B25"/>
  <c r="A19"/>
  <c r="A32"/>
  <c r="A26"/>
  <c r="C30"/>
  <c r="D45"/>
  <c r="C18"/>
  <c r="A21"/>
  <c r="D64"/>
  <c r="B49"/>
  <c r="D38"/>
  <c r="C31"/>
  <c r="D43"/>
  <c r="A39"/>
  <c r="D42"/>
  <c r="A37"/>
  <c r="D47"/>
  <c r="A48"/>
  <c r="B40"/>
  <c r="B62"/>
  <c r="A53"/>
  <c r="A33"/>
  <c r="B27"/>
  <c r="B55"/>
  <c r="A16"/>
  <c r="A59"/>
  <c r="D41"/>
  <c r="A45"/>
  <c r="B38"/>
  <c r="D44"/>
  <c r="C22"/>
  <c r="C46"/>
  <c r="C36"/>
  <c r="B53"/>
  <c r="C43"/>
  <c r="A52"/>
  <c r="A42"/>
  <c r="D53"/>
  <c r="B29"/>
  <c r="C59"/>
  <c r="D56"/>
  <c r="C38"/>
  <c r="D22"/>
  <c r="A65"/>
  <c r="D27"/>
  <c r="B19"/>
  <c r="D26"/>
  <c r="D65"/>
  <c r="B45"/>
  <c r="C56"/>
  <c r="A50"/>
  <c r="D20"/>
  <c r="B36"/>
  <c r="C25"/>
  <c r="A41"/>
  <c r="B34"/>
  <c r="B14"/>
  <c r="C32"/>
  <c r="D29"/>
  <c r="B52"/>
  <c r="C45"/>
  <c r="D48"/>
  <c r="A28"/>
  <c r="B57"/>
  <c r="B47"/>
  <c r="A64"/>
  <c r="B54"/>
  <c r="C62"/>
  <c r="A51"/>
  <c r="C17"/>
  <c r="C55"/>
  <c r="B16"/>
  <c r="D23"/>
  <c r="C15"/>
  <c r="D63"/>
  <c r="B44"/>
  <c r="B22"/>
  <c r="B18"/>
  <c r="C60"/>
  <c r="D25"/>
  <c r="C16"/>
  <c r="C51"/>
  <c r="D28"/>
  <c r="B50"/>
  <c r="A54"/>
  <c r="B64"/>
  <c r="A63"/>
  <c r="C37"/>
  <c r="A61"/>
  <c r="B30"/>
  <c r="D37"/>
  <c r="A38"/>
  <c r="B31"/>
  <c r="D40"/>
  <c r="B17"/>
  <c r="A36"/>
  <c r="C27"/>
  <c r="C42"/>
  <c r="A35"/>
  <c r="B41"/>
  <c r="D49"/>
  <c r="A24"/>
  <c r="B28"/>
  <c r="B39"/>
  <c r="C54"/>
  <c r="D46"/>
  <c r="C40"/>
  <c r="D51"/>
  <c r="C47"/>
  <c r="D50"/>
  <c r="A46"/>
  <c r="B61"/>
  <c r="C23"/>
  <c r="A17"/>
  <c r="D32"/>
  <c r="C57"/>
  <c r="C14"/>
  <c r="C44"/>
  <c r="B21"/>
  <c r="B15"/>
  <c r="A20"/>
  <c r="C13"/>
  <c r="A43"/>
  <c r="A62"/>
  <c r="A25"/>
  <c r="B37"/>
  <c r="C29"/>
  <c r="D15"/>
  <c r="A58"/>
  <c r="D55"/>
  <c r="A56"/>
  <c r="B42"/>
  <c r="B48"/>
  <c r="B65"/>
  <c r="D62"/>
  <c r="B60"/>
  <c r="A18"/>
  <c r="A13"/>
  <c r="B46"/>
  <c r="C65"/>
  <c r="B32"/>
  <c r="D21"/>
  <c r="C63"/>
  <c r="B23"/>
  <c r="D24"/>
  <c r="B43"/>
  <c r="C39"/>
  <c r="C28"/>
  <c r="C48"/>
  <c r="A57"/>
  <c r="A47"/>
  <c r="D33"/>
  <c r="B59"/>
  <c r="C52"/>
  <c r="D52"/>
  <c r="B33"/>
  <c r="D14"/>
  <c r="B56"/>
  <c r="D19"/>
  <c r="B63"/>
  <c r="D18"/>
  <c r="D61"/>
  <c r="A40"/>
  <c r="C49"/>
  <c r="C21"/>
  <c r="D16"/>
  <c r="A29"/>
  <c r="A15"/>
  <c r="C53"/>
  <c r="A22"/>
  <c r="A34"/>
  <c r="B20"/>
  <c r="A27"/>
  <c r="D31"/>
  <c r="C24"/>
  <c r="C61"/>
  <c r="C41"/>
  <c r="C35"/>
  <c r="C26"/>
  <c r="C20"/>
  <c r="C58"/>
  <c r="A49"/>
  <c r="B13"/>
  <c r="B71" s="1"/>
  <c r="C33"/>
  <c r="D13"/>
  <c r="D53" i="42"/>
  <c r="H54"/>
  <c r="D58"/>
  <c r="H67"/>
  <c r="G56"/>
  <c r="G24"/>
  <c r="D59"/>
  <c r="H60"/>
  <c r="D64"/>
  <c r="D73"/>
  <c r="D41"/>
  <c r="H74"/>
  <c r="H42"/>
  <c r="D78"/>
  <c r="D46"/>
  <c r="D29"/>
  <c r="G76"/>
  <c r="D79"/>
  <c r="D47"/>
  <c r="H80"/>
  <c r="H48"/>
  <c r="D52"/>
  <c r="H43"/>
  <c r="G82"/>
  <c r="G50"/>
  <c r="G60"/>
  <c r="F52"/>
  <c r="H41"/>
  <c r="C82"/>
  <c r="C50"/>
  <c r="B64"/>
  <c r="H71"/>
  <c r="G57"/>
  <c r="D77"/>
  <c r="D45"/>
  <c r="H78"/>
  <c r="H46"/>
  <c r="D82"/>
  <c r="D50"/>
  <c r="H35"/>
  <c r="G80"/>
  <c r="G48"/>
  <c r="D51"/>
  <c r="H52"/>
  <c r="D56"/>
  <c r="D65"/>
  <c r="D33"/>
  <c r="H66"/>
  <c r="H34"/>
  <c r="D70"/>
  <c r="D38"/>
  <c r="G68"/>
  <c r="D71"/>
  <c r="D39"/>
  <c r="H72"/>
  <c r="H40"/>
  <c r="D76"/>
  <c r="D44"/>
  <c r="D27"/>
  <c r="G74"/>
  <c r="G42"/>
  <c r="G44"/>
  <c r="F76"/>
  <c r="F44"/>
  <c r="H26"/>
  <c r="C74"/>
  <c r="C42"/>
  <c r="B56"/>
  <c r="H39"/>
  <c r="G81"/>
  <c r="D69"/>
  <c r="D37"/>
  <c r="H70"/>
  <c r="H38"/>
  <c r="D74"/>
  <c r="D42"/>
  <c r="D25"/>
  <c r="G72"/>
  <c r="G40"/>
  <c r="D75"/>
  <c r="D43"/>
  <c r="H76"/>
  <c r="H44"/>
  <c r="D80"/>
  <c r="D48"/>
  <c r="D57"/>
  <c r="H58"/>
  <c r="D62"/>
  <c r="D63"/>
  <c r="H64"/>
  <c r="H32"/>
  <c r="D68"/>
  <c r="D36"/>
  <c r="G66"/>
  <c r="H59"/>
  <c r="G30"/>
  <c r="F68"/>
  <c r="F36"/>
  <c r="C66"/>
  <c r="C34"/>
  <c r="B80"/>
  <c r="B48"/>
  <c r="D26"/>
  <c r="G73"/>
  <c r="D61"/>
  <c r="H62"/>
  <c r="D66"/>
  <c r="D34"/>
  <c r="G64"/>
  <c r="G32"/>
  <c r="F78"/>
  <c r="D67"/>
  <c r="D35"/>
  <c r="H68"/>
  <c r="H36"/>
  <c r="D72"/>
  <c r="D40"/>
  <c r="D81"/>
  <c r="D49"/>
  <c r="H82"/>
  <c r="H50"/>
  <c r="D54"/>
  <c r="H51"/>
  <c r="D55"/>
  <c r="H56"/>
  <c r="D60"/>
  <c r="H75"/>
  <c r="G58"/>
  <c r="F60"/>
  <c r="H73"/>
  <c r="C58"/>
  <c r="C26"/>
  <c r="B72"/>
  <c r="B40"/>
  <c r="G65"/>
  <c r="G25"/>
  <c r="F71"/>
  <c r="F39"/>
  <c r="C67"/>
  <c r="C35"/>
  <c r="B81"/>
  <c r="B49"/>
  <c r="A63"/>
  <c r="A31"/>
  <c r="G38"/>
  <c r="F74"/>
  <c r="F42"/>
  <c r="H24"/>
  <c r="C72"/>
  <c r="C40"/>
  <c r="B54"/>
  <c r="D32"/>
  <c r="G79"/>
  <c r="G47"/>
  <c r="F61"/>
  <c r="H69"/>
  <c r="C57"/>
  <c r="C25"/>
  <c r="B71"/>
  <c r="B39"/>
  <c r="G36"/>
  <c r="F72"/>
  <c r="F40"/>
  <c r="H22"/>
  <c r="C70"/>
  <c r="C38"/>
  <c r="B52"/>
  <c r="D30"/>
  <c r="G77"/>
  <c r="G45"/>
  <c r="F59"/>
  <c r="H61"/>
  <c r="C55"/>
  <c r="C23"/>
  <c r="B69"/>
  <c r="B37"/>
  <c r="G62"/>
  <c r="F54"/>
  <c r="H49"/>
  <c r="C52"/>
  <c r="B66"/>
  <c r="H79"/>
  <c r="G59"/>
  <c r="G27"/>
  <c r="F73"/>
  <c r="F41"/>
  <c r="H21"/>
  <c r="C69"/>
  <c r="C37"/>
  <c r="B51"/>
  <c r="A65"/>
  <c r="A77"/>
  <c r="F17"/>
  <c r="B14"/>
  <c r="A66"/>
  <c r="A34"/>
  <c r="B25"/>
  <c r="H18"/>
  <c r="A17"/>
  <c r="A51"/>
  <c r="C18"/>
  <c r="G16"/>
  <c r="G49"/>
  <c r="F63"/>
  <c r="H77"/>
  <c r="C59"/>
  <c r="C27"/>
  <c r="B73"/>
  <c r="B41"/>
  <c r="A55"/>
  <c r="D31"/>
  <c r="G28"/>
  <c r="F66"/>
  <c r="C64"/>
  <c r="C32"/>
  <c r="B78"/>
  <c r="B46"/>
  <c r="D24"/>
  <c r="G71"/>
  <c r="G39"/>
  <c r="F53"/>
  <c r="H37"/>
  <c r="C81"/>
  <c r="C49"/>
  <c r="B63"/>
  <c r="F32"/>
  <c r="D23"/>
  <c r="G26"/>
  <c r="F64"/>
  <c r="C62"/>
  <c r="C30"/>
  <c r="B76"/>
  <c r="B44"/>
  <c r="D22"/>
  <c r="G69"/>
  <c r="G37"/>
  <c r="F51"/>
  <c r="H31"/>
  <c r="C79"/>
  <c r="C47"/>
  <c r="B61"/>
  <c r="F30"/>
  <c r="A75"/>
  <c r="G46"/>
  <c r="F80"/>
  <c r="F46"/>
  <c r="H28"/>
  <c r="C76"/>
  <c r="C44"/>
  <c r="B58"/>
  <c r="H47"/>
  <c r="G51"/>
  <c r="F65"/>
  <c r="C61"/>
  <c r="C29"/>
  <c r="B75"/>
  <c r="B43"/>
  <c r="A57"/>
  <c r="A53"/>
  <c r="C16"/>
  <c r="C22"/>
  <c r="A58"/>
  <c r="A26"/>
  <c r="B17"/>
  <c r="D15"/>
  <c r="B22"/>
  <c r="A35"/>
  <c r="B34"/>
  <c r="B36"/>
  <c r="G41"/>
  <c r="F55"/>
  <c r="H45"/>
  <c r="C51"/>
  <c r="B65"/>
  <c r="F34"/>
  <c r="A79"/>
  <c r="A47"/>
  <c r="G78"/>
  <c r="F58"/>
  <c r="H65"/>
  <c r="C56"/>
  <c r="C24"/>
  <c r="B70"/>
  <c r="G63"/>
  <c r="G31"/>
  <c r="F77"/>
  <c r="F45"/>
  <c r="H25"/>
  <c r="C73"/>
  <c r="C41"/>
  <c r="B55"/>
  <c r="F24"/>
  <c r="G70"/>
  <c r="F56"/>
  <c r="H57"/>
  <c r="C54"/>
  <c r="B68"/>
  <c r="G61"/>
  <c r="G29"/>
  <c r="F75"/>
  <c r="F43"/>
  <c r="H23"/>
  <c r="C71"/>
  <c r="C39"/>
  <c r="B53"/>
  <c r="A67"/>
  <c r="G34"/>
  <c r="F70"/>
  <c r="F38"/>
  <c r="C68"/>
  <c r="C36"/>
  <c r="B82"/>
  <c r="B50"/>
  <c r="D28"/>
  <c r="G75"/>
  <c r="G43"/>
  <c r="F57"/>
  <c r="H53"/>
  <c r="C53"/>
  <c r="B67"/>
  <c r="B35"/>
  <c r="A81"/>
  <c r="A49"/>
  <c r="A37"/>
  <c r="B38"/>
  <c r="B24"/>
  <c r="A82"/>
  <c r="A50"/>
  <c r="F18"/>
  <c r="G21"/>
  <c r="C17"/>
  <c r="A25"/>
  <c r="B26"/>
  <c r="F27"/>
  <c r="G33"/>
  <c r="F79"/>
  <c r="F47"/>
  <c r="H27"/>
  <c r="C75"/>
  <c r="C43"/>
  <c r="B57"/>
  <c r="F26"/>
  <c r="A71"/>
  <c r="A39"/>
  <c r="G54"/>
  <c r="F50"/>
  <c r="H33"/>
  <c r="C80"/>
  <c r="C48"/>
  <c r="B62"/>
  <c r="H63"/>
  <c r="G55"/>
  <c r="G23"/>
  <c r="F69"/>
  <c r="F37"/>
  <c r="C65"/>
  <c r="C33"/>
  <c r="B79"/>
  <c r="B47"/>
  <c r="G52"/>
  <c r="F82"/>
  <c r="F48"/>
  <c r="H30"/>
  <c r="C78"/>
  <c r="C46"/>
  <c r="B60"/>
  <c r="H55"/>
  <c r="G53"/>
  <c r="F67"/>
  <c r="C63"/>
  <c r="C31"/>
  <c r="B77"/>
  <c r="B45"/>
  <c r="F62"/>
  <c r="H81"/>
  <c r="C60"/>
  <c r="C28"/>
  <c r="B74"/>
  <c r="B42"/>
  <c r="G67"/>
  <c r="G35"/>
  <c r="F81"/>
  <c r="F49"/>
  <c r="H29"/>
  <c r="C77"/>
  <c r="C45"/>
  <c r="B59"/>
  <c r="F28"/>
  <c r="A73"/>
  <c r="A41"/>
  <c r="A27"/>
  <c r="B28"/>
  <c r="F29"/>
  <c r="A74"/>
  <c r="A42"/>
  <c r="B33"/>
  <c r="G22"/>
  <c r="H19"/>
  <c r="A69"/>
  <c r="F19"/>
  <c r="B16"/>
  <c r="A80"/>
  <c r="A48"/>
  <c r="F20"/>
  <c r="C15"/>
  <c r="A22"/>
  <c r="A23"/>
  <c r="B18"/>
  <c r="A62"/>
  <c r="A30"/>
  <c r="B21"/>
  <c r="D19"/>
  <c r="A18"/>
  <c r="A29"/>
  <c r="B30"/>
  <c r="A68"/>
  <c r="A36"/>
  <c r="B27"/>
  <c r="H16"/>
  <c r="A15"/>
  <c r="A72"/>
  <c r="A40"/>
  <c r="B31"/>
  <c r="H20"/>
  <c r="A19"/>
  <c r="A61"/>
  <c r="F21"/>
  <c r="G18"/>
  <c r="A54"/>
  <c r="F14"/>
  <c r="D18"/>
  <c r="H15"/>
  <c r="F15"/>
  <c r="B20"/>
  <c r="A60"/>
  <c r="A28"/>
  <c r="B15"/>
  <c r="G19"/>
  <c r="A20"/>
  <c r="A64"/>
  <c r="A32"/>
  <c r="B19"/>
  <c r="D17"/>
  <c r="A16"/>
  <c r="A45"/>
  <c r="C20"/>
  <c r="F33"/>
  <c r="A78"/>
  <c r="A46"/>
  <c r="F23"/>
  <c r="C19"/>
  <c r="B23"/>
  <c r="A59"/>
  <c r="C14"/>
  <c r="G20"/>
  <c r="A52"/>
  <c r="F16"/>
  <c r="G17"/>
  <c r="D21"/>
  <c r="A56"/>
  <c r="A24"/>
  <c r="D16"/>
  <c r="C21"/>
  <c r="A33"/>
  <c r="B32"/>
  <c r="F25"/>
  <c r="A70"/>
  <c r="A38"/>
  <c r="B29"/>
  <c r="G15"/>
  <c r="A21"/>
  <c r="A43"/>
  <c r="F22"/>
  <c r="F31"/>
  <c r="A76"/>
  <c r="A44"/>
  <c r="F35"/>
  <c r="D20"/>
  <c r="H17"/>
  <c r="A14"/>
  <c r="A106" s="1"/>
  <c r="G14"/>
  <c r="H14"/>
  <c r="D14"/>
  <c r="E82"/>
  <c r="E74"/>
  <c r="E66"/>
  <c r="E58"/>
  <c r="E50"/>
  <c r="E80"/>
  <c r="E72"/>
  <c r="E64"/>
  <c r="E56"/>
  <c r="E48"/>
  <c r="E40"/>
  <c r="E32"/>
  <c r="E24"/>
  <c r="E18"/>
  <c r="E78"/>
  <c r="E70"/>
  <c r="E62"/>
  <c r="E54"/>
  <c r="E46"/>
  <c r="E38"/>
  <c r="E30"/>
  <c r="E22"/>
  <c r="E77"/>
  <c r="E69"/>
  <c r="E61"/>
  <c r="E76"/>
  <c r="E68"/>
  <c r="E60"/>
  <c r="E52"/>
  <c r="E44"/>
  <c r="E36"/>
  <c r="E28"/>
  <c r="E21"/>
  <c r="E42"/>
  <c r="E65"/>
  <c r="E45"/>
  <c r="E29"/>
  <c r="E14"/>
  <c r="E75"/>
  <c r="E67"/>
  <c r="E59"/>
  <c r="E51"/>
  <c r="E43"/>
  <c r="E35"/>
  <c r="E27"/>
  <c r="E20"/>
  <c r="E34"/>
  <c r="E57"/>
  <c r="E41"/>
  <c r="E25"/>
  <c r="E26"/>
  <c r="E81"/>
  <c r="E53"/>
  <c r="E37"/>
  <c r="E19"/>
  <c r="E79"/>
  <c r="E71"/>
  <c r="E63"/>
  <c r="E55"/>
  <c r="E47"/>
  <c r="E39"/>
  <c r="E31"/>
  <c r="E23"/>
  <c r="E17"/>
  <c r="E73"/>
  <c r="E49"/>
  <c r="E33"/>
  <c r="E16"/>
  <c r="E15"/>
  <c r="E81" i="43"/>
  <c r="B38"/>
  <c r="B88"/>
  <c r="C30"/>
  <c r="E106"/>
  <c r="G49"/>
  <c r="G119"/>
  <c r="D76"/>
  <c r="C35"/>
  <c r="C84"/>
  <c r="D64"/>
  <c r="D61"/>
  <c r="B96"/>
  <c r="F39"/>
  <c r="C26"/>
  <c r="C41"/>
  <c r="B55"/>
  <c r="E18"/>
  <c r="E45"/>
  <c r="G99"/>
  <c r="D56"/>
  <c r="D109"/>
  <c r="E51"/>
  <c r="G93"/>
  <c r="G100"/>
  <c r="C112"/>
  <c r="F94"/>
  <c r="E53"/>
  <c r="F105"/>
  <c r="E105"/>
  <c r="G101"/>
  <c r="G24"/>
  <c r="G94"/>
  <c r="F55"/>
  <c r="F69"/>
  <c r="F83"/>
  <c r="G13"/>
  <c r="B82"/>
  <c r="F106"/>
  <c r="E65"/>
  <c r="E118"/>
  <c r="F60"/>
  <c r="B112"/>
  <c r="C88"/>
  <c r="D25"/>
  <c r="G103"/>
  <c r="D60"/>
  <c r="G114"/>
  <c r="C119"/>
  <c r="D32"/>
  <c r="B37"/>
  <c r="C98"/>
  <c r="B83"/>
  <c r="G81"/>
  <c r="G116"/>
  <c r="D20"/>
  <c r="G95"/>
  <c r="D104"/>
  <c r="C63"/>
  <c r="E115"/>
  <c r="F57"/>
  <c r="B109"/>
  <c r="C85"/>
  <c r="B22"/>
  <c r="E101"/>
  <c r="B58"/>
  <c r="F111"/>
  <c r="F114"/>
  <c r="G27"/>
  <c r="E32"/>
  <c r="F93"/>
  <c r="B77"/>
  <c r="G77"/>
  <c r="F104"/>
  <c r="D18"/>
  <c r="C91"/>
  <c r="B101"/>
  <c r="G82"/>
  <c r="C117"/>
  <c r="F43"/>
  <c r="D33"/>
  <c r="C44"/>
  <c r="E113"/>
  <c r="B70"/>
  <c r="F26"/>
  <c r="G66"/>
  <c r="C118"/>
  <c r="D94"/>
  <c r="F33"/>
  <c r="D108"/>
  <c r="C67"/>
  <c r="E120"/>
  <c r="B72"/>
  <c r="B46"/>
  <c r="F44"/>
  <c r="D110"/>
  <c r="C20"/>
  <c r="D99"/>
  <c r="B25"/>
  <c r="G26"/>
  <c r="E109"/>
  <c r="D119"/>
  <c r="D88"/>
  <c r="C47"/>
  <c r="C97"/>
  <c r="D39"/>
  <c r="F115"/>
  <c r="C74"/>
  <c r="G61"/>
  <c r="E85"/>
  <c r="B42"/>
  <c r="D93"/>
  <c r="F82"/>
  <c r="D77"/>
  <c r="C108"/>
  <c r="B67"/>
  <c r="D38"/>
  <c r="D53"/>
  <c r="D67"/>
  <c r="B18"/>
  <c r="C59"/>
  <c r="E97"/>
  <c r="B54"/>
  <c r="D106"/>
  <c r="E48"/>
  <c r="G90"/>
  <c r="F88"/>
  <c r="B100"/>
  <c r="D92"/>
  <c r="C51"/>
  <c r="E102"/>
  <c r="D96"/>
  <c r="F95"/>
  <c r="F120"/>
  <c r="D83"/>
  <c r="E50"/>
  <c r="F65"/>
  <c r="E79"/>
  <c r="B17"/>
  <c r="E77"/>
  <c r="C95"/>
  <c r="G51"/>
  <c r="D103"/>
  <c r="D45"/>
  <c r="F87"/>
  <c r="D82"/>
  <c r="C82"/>
  <c r="B90"/>
  <c r="F46"/>
  <c r="E99"/>
  <c r="G91"/>
  <c r="F89"/>
  <c r="F116"/>
  <c r="C77"/>
  <c r="E46"/>
  <c r="F61"/>
  <c r="E75"/>
  <c r="G14"/>
  <c r="D68"/>
  <c r="E70"/>
  <c r="C52"/>
  <c r="C101"/>
  <c r="G22"/>
  <c r="B102"/>
  <c r="F58"/>
  <c r="E112"/>
  <c r="E54"/>
  <c r="G96"/>
  <c r="B113"/>
  <c r="F19"/>
  <c r="C99"/>
  <c r="G55"/>
  <c r="F108"/>
  <c r="B110"/>
  <c r="B120"/>
  <c r="F28"/>
  <c r="G89"/>
  <c r="G60"/>
  <c r="G73"/>
  <c r="E92"/>
  <c r="B16"/>
  <c r="F86"/>
  <c r="D120"/>
  <c r="C79"/>
  <c r="G35"/>
  <c r="B85"/>
  <c r="B27"/>
  <c r="E103"/>
  <c r="G45"/>
  <c r="E117"/>
  <c r="B74"/>
  <c r="F30"/>
  <c r="C81"/>
  <c r="G59"/>
  <c r="G56"/>
  <c r="C92"/>
  <c r="E34"/>
  <c r="F22"/>
  <c r="C37"/>
  <c r="B51"/>
  <c r="C16"/>
  <c r="D36"/>
  <c r="B86"/>
  <c r="F42"/>
  <c r="C94"/>
  <c r="C36"/>
  <c r="F112"/>
  <c r="C70"/>
  <c r="G57"/>
  <c r="C83"/>
  <c r="G39"/>
  <c r="D90"/>
  <c r="B78"/>
  <c r="D71"/>
  <c r="E104"/>
  <c r="B61"/>
  <c r="D34"/>
  <c r="D49"/>
  <c r="D63"/>
  <c r="G15"/>
  <c r="F54"/>
  <c r="G83"/>
  <c r="D40"/>
  <c r="B91"/>
  <c r="C33"/>
  <c r="F109"/>
  <c r="C66"/>
  <c r="F53"/>
  <c r="F78"/>
  <c r="E37"/>
  <c r="D87"/>
  <c r="E73"/>
  <c r="C65"/>
  <c r="F100"/>
  <c r="G44"/>
  <c r="D30"/>
  <c r="C45"/>
  <c r="D59"/>
  <c r="E13"/>
  <c r="B50"/>
  <c r="F47"/>
  <c r="E23"/>
  <c r="E84"/>
  <c r="B76"/>
  <c r="F90"/>
  <c r="E49"/>
  <c r="C100"/>
  <c r="D42"/>
  <c r="G118"/>
  <c r="D78"/>
  <c r="G65"/>
  <c r="G87"/>
  <c r="D44"/>
  <c r="E96"/>
  <c r="C87"/>
  <c r="E83"/>
  <c r="G112"/>
  <c r="C72"/>
  <c r="E42"/>
  <c r="D57"/>
  <c r="E71"/>
  <c r="E12"/>
  <c r="G63"/>
  <c r="C111"/>
  <c r="G67"/>
  <c r="D24"/>
  <c r="F63"/>
  <c r="B115"/>
  <c r="D91"/>
  <c r="F29"/>
  <c r="B106"/>
  <c r="F62"/>
  <c r="G117"/>
  <c r="B69"/>
  <c r="E41"/>
  <c r="G40"/>
  <c r="G105"/>
  <c r="C109"/>
  <c r="B87"/>
  <c r="F21"/>
  <c r="B23"/>
  <c r="D100"/>
  <c r="B118"/>
  <c r="F74"/>
  <c r="E33"/>
  <c r="G72"/>
  <c r="B24"/>
  <c r="E100"/>
  <c r="G41"/>
  <c r="C115"/>
  <c r="G71"/>
  <c r="D28"/>
  <c r="C78"/>
  <c r="C55"/>
  <c r="B53"/>
  <c r="E88"/>
  <c r="E28"/>
  <c r="B20"/>
  <c r="B33"/>
  <c r="B47"/>
  <c r="F118"/>
  <c r="G115"/>
  <c r="D72"/>
  <c r="C31"/>
  <c r="G69"/>
  <c r="G21"/>
  <c r="D97"/>
  <c r="F37"/>
  <c r="F110"/>
  <c r="E69"/>
  <c r="B26"/>
  <c r="B75"/>
  <c r="F50"/>
  <c r="C49"/>
  <c r="C114"/>
  <c r="F23"/>
  <c r="E111"/>
  <c r="B29"/>
  <c r="G30"/>
  <c r="B114"/>
  <c r="C27"/>
  <c r="G31"/>
  <c r="B71"/>
  <c r="E60"/>
  <c r="C54"/>
  <c r="F15"/>
  <c r="C39"/>
  <c r="E38"/>
  <c r="B119"/>
  <c r="G68"/>
  <c r="C89"/>
  <c r="E62"/>
  <c r="F18"/>
  <c r="B57"/>
  <c r="E98"/>
  <c r="D52"/>
  <c r="F20"/>
  <c r="F17"/>
  <c r="B93"/>
  <c r="E55"/>
  <c r="E19"/>
  <c r="F119"/>
  <c r="F91"/>
  <c r="G64"/>
  <c r="F72"/>
  <c r="E82"/>
  <c r="C13"/>
  <c r="E57"/>
  <c r="D55"/>
  <c r="F99"/>
  <c r="B103"/>
  <c r="G37"/>
  <c r="C90"/>
  <c r="F16"/>
  <c r="G102"/>
  <c r="D43"/>
  <c r="B15"/>
  <c r="E47"/>
  <c r="B48"/>
  <c r="F41"/>
  <c r="C93"/>
  <c r="G28"/>
  <c r="E35"/>
  <c r="G92"/>
  <c r="C106"/>
  <c r="D85"/>
  <c r="G113"/>
  <c r="G19"/>
  <c r="B94"/>
  <c r="G98"/>
  <c r="C102"/>
  <c r="G52"/>
  <c r="D116"/>
  <c r="G20"/>
  <c r="G84"/>
  <c r="C75"/>
  <c r="C28"/>
  <c r="B41"/>
  <c r="D29"/>
  <c r="C42"/>
  <c r="D84"/>
  <c r="E24"/>
  <c r="D86"/>
  <c r="G88"/>
  <c r="E91"/>
  <c r="G48"/>
  <c r="D37"/>
  <c r="C48"/>
  <c r="C58"/>
  <c r="C15"/>
  <c r="G43"/>
  <c r="B43"/>
  <c r="E87"/>
  <c r="B80"/>
  <c r="C105"/>
  <c r="G70"/>
  <c r="D15"/>
  <c r="D79"/>
  <c r="E20"/>
  <c r="F70"/>
  <c r="D27"/>
  <c r="D14"/>
  <c r="G109"/>
  <c r="E63"/>
  <c r="C17"/>
  <c r="G12"/>
  <c r="A12"/>
  <c r="F49"/>
  <c r="B28"/>
  <c r="G25"/>
  <c r="C103"/>
  <c r="B117"/>
  <c r="E110"/>
  <c r="C69"/>
  <c r="E44"/>
  <c r="B63"/>
  <c r="E22"/>
  <c r="G111"/>
  <c r="F51"/>
  <c r="C57"/>
  <c r="C62"/>
  <c r="E58"/>
  <c r="E14"/>
  <c r="B68"/>
  <c r="C23"/>
  <c r="C113"/>
  <c r="B99"/>
  <c r="B65"/>
  <c r="F45"/>
  <c r="E56"/>
  <c r="D66"/>
  <c r="D13"/>
  <c r="F34"/>
  <c r="G34"/>
  <c r="C86"/>
  <c r="G58"/>
  <c r="D107"/>
  <c r="D54"/>
  <c r="B14"/>
  <c r="F35"/>
  <c r="F81"/>
  <c r="B34"/>
  <c r="D102"/>
  <c r="B13"/>
  <c r="B111"/>
  <c r="D47"/>
  <c r="F14"/>
  <c r="D111"/>
  <c r="D81"/>
  <c r="F59"/>
  <c r="F68"/>
  <c r="E78"/>
  <c r="G18"/>
  <c r="C71"/>
  <c r="D74"/>
  <c r="E116"/>
  <c r="E26"/>
  <c r="C43"/>
  <c r="D31"/>
  <c r="B52"/>
  <c r="D117"/>
  <c r="F67"/>
  <c r="C18"/>
  <c r="C73"/>
  <c r="E72"/>
  <c r="B104"/>
  <c r="C32"/>
  <c r="C53"/>
  <c r="B56"/>
  <c r="B105"/>
  <c r="E27"/>
  <c r="G120"/>
  <c r="B32"/>
  <c r="G29"/>
  <c r="G107"/>
  <c r="E25"/>
  <c r="D114"/>
  <c r="D75"/>
  <c r="F48"/>
  <c r="F84"/>
  <c r="C38"/>
  <c r="C12"/>
  <c r="B73"/>
  <c r="D65"/>
  <c r="G85"/>
  <c r="E66"/>
  <c r="D19"/>
  <c r="G97"/>
  <c r="B31"/>
  <c r="E108"/>
  <c r="D89"/>
  <c r="E15"/>
  <c r="D80"/>
  <c r="E86"/>
  <c r="E94"/>
  <c r="F36"/>
  <c r="G79"/>
  <c r="F56"/>
  <c r="E68"/>
  <c r="C116"/>
  <c r="D105"/>
  <c r="F24"/>
  <c r="F97"/>
  <c r="E95"/>
  <c r="G47"/>
  <c r="G62"/>
  <c r="D69"/>
  <c r="F76"/>
  <c r="D113"/>
  <c r="G38"/>
  <c r="C29"/>
  <c r="C40"/>
  <c r="C50"/>
  <c r="F98"/>
  <c r="G104"/>
  <c r="G106"/>
  <c r="B64"/>
  <c r="E40"/>
  <c r="F40"/>
  <c r="F107"/>
  <c r="E93"/>
  <c r="E36"/>
  <c r="B49"/>
  <c r="C46"/>
  <c r="D50"/>
  <c r="F102"/>
  <c r="G46"/>
  <c r="G110"/>
  <c r="B107"/>
  <c r="D95"/>
  <c r="B60"/>
  <c r="D41"/>
  <c r="E52"/>
  <c r="D62"/>
  <c r="E17"/>
  <c r="D48"/>
  <c r="G50"/>
  <c r="B92"/>
  <c r="F85"/>
  <c r="D22"/>
  <c r="G78"/>
  <c r="B12"/>
  <c r="G86"/>
  <c r="B35"/>
  <c r="C107"/>
  <c r="D35"/>
  <c r="G23"/>
  <c r="F25"/>
  <c r="F71"/>
  <c r="E21"/>
  <c r="F31"/>
  <c r="B89"/>
  <c r="B81"/>
  <c r="G80"/>
  <c r="F101"/>
  <c r="G17"/>
  <c r="E89"/>
  <c r="F92"/>
  <c r="D98"/>
  <c r="G42"/>
  <c r="B98"/>
  <c r="B79"/>
  <c r="E76"/>
  <c r="F38"/>
  <c r="C21"/>
  <c r="G32"/>
  <c r="F113"/>
  <c r="C34"/>
  <c r="B66"/>
  <c r="B84"/>
  <c r="F77"/>
  <c r="F12"/>
  <c r="F103"/>
  <c r="G76"/>
  <c r="D70"/>
  <c r="C14"/>
  <c r="B62"/>
  <c r="B59"/>
  <c r="C104"/>
  <c r="D118"/>
  <c r="G53"/>
  <c r="E114"/>
  <c r="F27"/>
  <c r="E119"/>
  <c r="D51"/>
  <c r="D12"/>
  <c r="B97"/>
  <c r="C56"/>
  <c r="D58"/>
  <c r="F117"/>
  <c r="G36"/>
  <c r="B40"/>
  <c r="F96"/>
  <c r="B19"/>
  <c r="C96"/>
  <c r="B21"/>
  <c r="C22"/>
  <c r="G75"/>
  <c r="E80"/>
  <c r="C120"/>
  <c r="E31"/>
  <c r="E61"/>
  <c r="E39"/>
  <c r="C60"/>
  <c r="E67"/>
  <c r="F75"/>
  <c r="C19"/>
  <c r="B116"/>
  <c r="F80"/>
  <c r="E29"/>
  <c r="E43"/>
  <c r="C61"/>
  <c r="E64"/>
  <c r="G108"/>
  <c r="F32"/>
  <c r="C25"/>
  <c r="B36"/>
  <c r="G33"/>
  <c r="D112"/>
  <c r="B30"/>
  <c r="D26"/>
  <c r="C80"/>
  <c r="F52"/>
  <c r="E90"/>
  <c r="D46"/>
  <c r="G16"/>
  <c r="D115"/>
  <c r="D73"/>
  <c r="C110"/>
  <c r="G74"/>
  <c r="D16"/>
  <c r="B95"/>
  <c r="B39"/>
  <c r="D17"/>
  <c r="E107"/>
  <c r="C76"/>
  <c r="G54"/>
  <c r="F64"/>
  <c r="E74"/>
  <c r="E16"/>
  <c r="F66"/>
  <c r="C68"/>
  <c r="B108"/>
  <c r="D21"/>
  <c r="F73"/>
  <c r="D23"/>
  <c r="B44"/>
  <c r="D101"/>
  <c r="E59"/>
  <c r="F13"/>
  <c r="E30"/>
  <c r="C64"/>
  <c r="F79"/>
  <c r="C24"/>
  <c r="B45"/>
  <c r="A120"/>
  <c r="A116"/>
  <c r="A112"/>
  <c r="A108"/>
  <c r="A104"/>
  <c r="A100"/>
  <c r="A96"/>
  <c r="A92"/>
  <c r="A88"/>
  <c r="A84"/>
  <c r="A80"/>
  <c r="A76"/>
  <c r="A72"/>
  <c r="A68"/>
  <c r="A64"/>
  <c r="A60"/>
  <c r="A56"/>
  <c r="A52"/>
  <c r="A48"/>
  <c r="A44"/>
  <c r="A40"/>
  <c r="A36"/>
  <c r="A32"/>
  <c r="A28"/>
  <c r="A24"/>
  <c r="A20"/>
  <c r="A16"/>
  <c r="A13"/>
  <c r="A119"/>
  <c r="A115"/>
  <c r="A111"/>
  <c r="A107"/>
  <c r="A103"/>
  <c r="A99"/>
  <c r="A95"/>
  <c r="A91"/>
  <c r="A87"/>
  <c r="A83"/>
  <c r="A79"/>
  <c r="A75"/>
  <c r="A71"/>
  <c r="A67"/>
  <c r="A63"/>
  <c r="A59"/>
  <c r="A55"/>
  <c r="A51"/>
  <c r="A47"/>
  <c r="A43"/>
  <c r="A39"/>
  <c r="A35"/>
  <c r="A31"/>
  <c r="A27"/>
  <c r="A23"/>
  <c r="A19"/>
  <c r="A15"/>
  <c r="A118"/>
  <c r="A114"/>
  <c r="A110"/>
  <c r="A106"/>
  <c r="A102"/>
  <c r="A98"/>
  <c r="A94"/>
  <c r="A90"/>
  <c r="A86"/>
  <c r="A82"/>
  <c r="A78"/>
  <c r="A74"/>
  <c r="A70"/>
  <c r="A66"/>
  <c r="A62"/>
  <c r="A58"/>
  <c r="A54"/>
  <c r="A50"/>
  <c r="A46"/>
  <c r="A42"/>
  <c r="A38"/>
  <c r="A34"/>
  <c r="A30"/>
  <c r="A26"/>
  <c r="A22"/>
  <c r="A18"/>
  <c r="A14"/>
  <c r="A117"/>
  <c r="A113"/>
  <c r="A109"/>
  <c r="A105"/>
  <c r="A101"/>
  <c r="A97"/>
  <c r="A93"/>
  <c r="A89"/>
  <c r="A85"/>
  <c r="A81"/>
  <c r="A77"/>
  <c r="A73"/>
  <c r="A69"/>
  <c r="A65"/>
  <c r="A61"/>
  <c r="A57"/>
  <c r="A53"/>
  <c r="A49"/>
  <c r="A45"/>
  <c r="A41"/>
  <c r="A37"/>
  <c r="A33"/>
  <c r="A29"/>
  <c r="A25"/>
  <c r="A21"/>
  <c r="A17"/>
  <c r="A26" i="56"/>
  <c r="S11" i="48" l="1"/>
  <c r="S76" s="1"/>
  <c r="R11"/>
  <c r="J36" i="14"/>
  <c r="I36"/>
  <c r="I14" i="42"/>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D67" i="44"/>
  <c r="D68" s="1"/>
  <c r="E117" i="42"/>
  <c r="H102"/>
  <c r="H12" i="43"/>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H85" s="1"/>
  <c r="H86" s="1"/>
  <c r="H87" s="1"/>
  <c r="H88" s="1"/>
  <c r="H89" s="1"/>
  <c r="H90" s="1"/>
  <c r="H91" s="1"/>
  <c r="H92" s="1"/>
  <c r="H93" s="1"/>
  <c r="H94" s="1"/>
  <c r="H95" s="1"/>
  <c r="H96" s="1"/>
  <c r="H97" s="1"/>
  <c r="H98" s="1"/>
  <c r="H99" s="1"/>
  <c r="H100" s="1"/>
  <c r="H101" s="1"/>
  <c r="H102" s="1"/>
  <c r="H103" s="1"/>
  <c r="H104" s="1"/>
  <c r="H105" s="1"/>
  <c r="H106" s="1"/>
  <c r="H107" s="1"/>
  <c r="H108" s="1"/>
  <c r="H109" s="1"/>
  <c r="H110" s="1"/>
  <c r="H111" s="1"/>
  <c r="H112" s="1"/>
  <c r="H113" s="1"/>
  <c r="H114" s="1"/>
  <c r="H115" s="1"/>
  <c r="H116" s="1"/>
  <c r="H117" s="1"/>
  <c r="H118" s="1"/>
  <c r="H119" s="1"/>
  <c r="H120" s="1"/>
  <c r="A125"/>
  <c r="Z11" i="50"/>
  <c r="Z243" s="1"/>
  <c r="AF11"/>
  <c r="AF243" s="1"/>
  <c r="AH11"/>
  <c r="AH243" s="1"/>
  <c r="AD11"/>
  <c r="AD243" s="1"/>
  <c r="AJ11"/>
  <c r="AJ243" s="1"/>
  <c r="AR11"/>
  <c r="AR243" s="1"/>
  <c r="AN11"/>
  <c r="N11"/>
  <c r="N243" s="1"/>
  <c r="AV11"/>
  <c r="AV243" s="1"/>
  <c r="AZ11"/>
  <c r="R11"/>
  <c r="R243" s="1"/>
  <c r="P11"/>
  <c r="P243" s="1"/>
  <c r="AL11"/>
  <c r="AL243" s="1"/>
  <c r="AB11"/>
  <c r="AB243" s="1"/>
  <c r="X11"/>
  <c r="X243" s="1"/>
  <c r="L11"/>
  <c r="L243" s="1"/>
  <c r="AT11"/>
  <c r="AP11"/>
  <c r="AP243" s="1"/>
  <c r="J11"/>
  <c r="J243" s="1"/>
  <c r="T11"/>
  <c r="V11"/>
  <c r="V243" s="1"/>
  <c r="AX11"/>
  <c r="AX243" s="1"/>
  <c r="AA11" i="48"/>
  <c r="AA74" s="1"/>
  <c r="AM11"/>
  <c r="AM74" s="1"/>
  <c r="K11"/>
  <c r="K74" s="1"/>
  <c r="AO11"/>
  <c r="AO74" s="1"/>
  <c r="Y11"/>
  <c r="Y74" s="1"/>
  <c r="AC11"/>
  <c r="AC74" s="1"/>
  <c r="Q11"/>
  <c r="Q74" s="1"/>
  <c r="AU11"/>
  <c r="AQ11"/>
  <c r="AQ74" s="1"/>
  <c r="AI11"/>
  <c r="AI74" s="1"/>
  <c r="U11"/>
  <c r="U74" s="1"/>
  <c r="BA11"/>
  <c r="BA74" s="1"/>
  <c r="AK11"/>
  <c r="AK74" s="1"/>
  <c r="M11"/>
  <c r="M74" s="1"/>
  <c r="AG11"/>
  <c r="AG74" s="1"/>
  <c r="O11"/>
  <c r="O74" s="1"/>
  <c r="AE11"/>
  <c r="AE74" s="1"/>
  <c r="W11"/>
  <c r="W74" s="1"/>
  <c r="AY11"/>
  <c r="AS11"/>
  <c r="AW11"/>
  <c r="AW74" s="1"/>
  <c r="BC11"/>
  <c r="A148" i="49" a="1"/>
  <c r="A148" s="1"/>
  <c r="I148" s="1"/>
  <c r="A151" a="1"/>
  <c r="A151" s="1"/>
  <c r="I151" s="1"/>
  <c r="A153" a="1"/>
  <c r="A153" s="1"/>
  <c r="I153" s="1"/>
  <c r="A150" a="1"/>
  <c r="A150" s="1"/>
  <c r="I150" s="1"/>
  <c r="A11" a="1"/>
  <c r="A11" s="1"/>
  <c r="I11" s="1"/>
  <c r="A152" a="1"/>
  <c r="A152" s="1"/>
  <c r="I152" s="1"/>
  <c r="A149" a="1"/>
  <c r="A149" s="1"/>
  <c r="I149" s="1"/>
  <c r="G122" i="43"/>
  <c r="AO11" i="50"/>
  <c r="AO243" s="1"/>
  <c r="AM11"/>
  <c r="AM243" s="1"/>
  <c r="AU11"/>
  <c r="AU243" s="1"/>
  <c r="W11"/>
  <c r="W243" s="1"/>
  <c r="AW11"/>
  <c r="AQ11"/>
  <c r="AG11"/>
  <c r="AG243" s="1"/>
  <c r="Q11"/>
  <c r="Q243" s="1"/>
  <c r="O11"/>
  <c r="O243" s="1"/>
  <c r="M11"/>
  <c r="M243" s="1"/>
  <c r="AE11"/>
  <c r="AE243" s="1"/>
  <c r="U11"/>
  <c r="U243" s="1"/>
  <c r="BA11"/>
  <c r="AS11"/>
  <c r="AC11"/>
  <c r="AC243" s="1"/>
  <c r="Y11"/>
  <c r="Y243" s="1"/>
  <c r="AI11"/>
  <c r="AI243" s="1"/>
  <c r="K11"/>
  <c r="K243" s="1"/>
  <c r="AA11"/>
  <c r="AA243" s="1"/>
  <c r="S11"/>
  <c r="S243" s="1"/>
  <c r="AY11"/>
  <c r="AY243" s="1"/>
  <c r="AK11"/>
  <c r="AK243" s="1"/>
  <c r="V11" i="49"/>
  <c r="V155" s="1"/>
  <c r="AR11"/>
  <c r="AR155" s="1"/>
  <c r="AH11"/>
  <c r="AH155" s="1"/>
  <c r="AL11"/>
  <c r="AL155" s="1"/>
  <c r="AJ11"/>
  <c r="AJ155" s="1"/>
  <c r="X11"/>
  <c r="X155" s="1"/>
  <c r="P11"/>
  <c r="P155" s="1"/>
  <c r="Z11"/>
  <c r="Z155" s="1"/>
  <c r="AF11"/>
  <c r="AF155" s="1"/>
  <c r="J11"/>
  <c r="J155" s="1"/>
  <c r="L11"/>
  <c r="L155" s="1"/>
  <c r="AD11"/>
  <c r="AD155" s="1"/>
  <c r="AB11"/>
  <c r="AB155" s="1"/>
  <c r="R11"/>
  <c r="R155" s="1"/>
  <c r="AP11"/>
  <c r="AP155" s="1"/>
  <c r="AT11"/>
  <c r="T11"/>
  <c r="N11"/>
  <c r="N155" s="1"/>
  <c r="AV11"/>
  <c r="AV155" s="1"/>
  <c r="AX11"/>
  <c r="AX155" s="1"/>
  <c r="AZ11"/>
  <c r="AN11"/>
  <c r="A11" i="48" a="1"/>
  <c r="A11" s="1"/>
  <c r="I11" s="1"/>
  <c r="A67" a="1"/>
  <c r="A67" s="1"/>
  <c r="I67" s="1"/>
  <c r="A69" a="1"/>
  <c r="A69" s="1"/>
  <c r="I69" s="1"/>
  <c r="A66" a="1"/>
  <c r="A66" s="1"/>
  <c r="I66" s="1"/>
  <c r="A71" a="1"/>
  <c r="A71" s="1"/>
  <c r="I71" s="1"/>
  <c r="A68" a="1"/>
  <c r="A68" s="1"/>
  <c r="I68" s="1"/>
  <c r="A70" a="1"/>
  <c r="A70" s="1"/>
  <c r="I70" s="1"/>
  <c r="A72" a="1"/>
  <c r="A72" s="1"/>
  <c r="I72" s="1"/>
  <c r="G102" i="42"/>
  <c r="AH11" i="48"/>
  <c r="AH74" s="1"/>
  <c r="AF11"/>
  <c r="AF74" s="1"/>
  <c r="J11"/>
  <c r="J74" s="1"/>
  <c r="T11"/>
  <c r="T74" s="1"/>
  <c r="N11"/>
  <c r="N74" s="1"/>
  <c r="P11"/>
  <c r="P74" s="1"/>
  <c r="AL11"/>
  <c r="AL74" s="1"/>
  <c r="AD11"/>
  <c r="AD74" s="1"/>
  <c r="AN11"/>
  <c r="AN74" s="1"/>
  <c r="AZ11"/>
  <c r="AZ74" s="1"/>
  <c r="BB11"/>
  <c r="X11"/>
  <c r="X74" s="1"/>
  <c r="AR11"/>
  <c r="AR74" s="1"/>
  <c r="AV11"/>
  <c r="AJ11"/>
  <c r="AJ74" s="1"/>
  <c r="AX11"/>
  <c r="AX74" s="1"/>
  <c r="AT11"/>
  <c r="AT74" s="1"/>
  <c r="V11"/>
  <c r="AB11"/>
  <c r="AB74" s="1"/>
  <c r="L11"/>
  <c r="L74" s="1"/>
  <c r="Z11"/>
  <c r="Z74" s="1"/>
  <c r="AP11"/>
  <c r="AP11" i="51"/>
  <c r="AP356" s="1"/>
  <c r="AV11"/>
  <c r="AV356" s="1"/>
  <c r="AL11"/>
  <c r="AL356" s="1"/>
  <c r="AD11"/>
  <c r="AD356" s="1"/>
  <c r="X11"/>
  <c r="X356" s="1"/>
  <c r="AH11"/>
  <c r="AH356" s="1"/>
  <c r="AZ11"/>
  <c r="Z11"/>
  <c r="Z356" s="1"/>
  <c r="AF11"/>
  <c r="AF356" s="1"/>
  <c r="AB11"/>
  <c r="AB356" s="1"/>
  <c r="P11"/>
  <c r="P356" s="1"/>
  <c r="AJ11"/>
  <c r="AJ356" s="1"/>
  <c r="AX11"/>
  <c r="AX356" s="1"/>
  <c r="R11"/>
  <c r="R356" s="1"/>
  <c r="AN11"/>
  <c r="V11"/>
  <c r="V356" s="1"/>
  <c r="AT11"/>
  <c r="J11"/>
  <c r="J356" s="1"/>
  <c r="T11"/>
  <c r="AR11"/>
  <c r="AR356" s="1"/>
  <c r="L11"/>
  <c r="L356" s="1"/>
  <c r="N11"/>
  <c r="N356" s="1"/>
  <c r="A352" a="1"/>
  <c r="A352" s="1"/>
  <c r="I352" s="1"/>
  <c r="A354" a="1"/>
  <c r="A354" s="1"/>
  <c r="I354" s="1"/>
  <c r="A353" a="1"/>
  <c r="A353" s="1"/>
  <c r="I353" s="1"/>
  <c r="A350" a="1"/>
  <c r="A350" s="1"/>
  <c r="I350" s="1"/>
  <c r="A351" a="1"/>
  <c r="A351" s="1"/>
  <c r="I351" s="1"/>
  <c r="A349" a="1"/>
  <c r="A349" s="1"/>
  <c r="I349" s="1"/>
  <c r="A11" a="1"/>
  <c r="A11" s="1"/>
  <c r="I11" s="1"/>
  <c r="F122" i="43"/>
  <c r="AC11" i="51"/>
  <c r="AC356" s="1"/>
  <c r="K11"/>
  <c r="K356" s="1"/>
  <c r="Q11"/>
  <c r="Q356" s="1"/>
  <c r="AA11"/>
  <c r="AA356" s="1"/>
  <c r="AM11"/>
  <c r="AM356" s="1"/>
  <c r="O11"/>
  <c r="O356" s="1"/>
  <c r="AO11"/>
  <c r="AO356" s="1"/>
  <c r="AG11"/>
  <c r="AG356" s="1"/>
  <c r="M11"/>
  <c r="M356" s="1"/>
  <c r="AQ11"/>
  <c r="AS11"/>
  <c r="BA11"/>
  <c r="AI11"/>
  <c r="AI356" s="1"/>
  <c r="AK11"/>
  <c r="AK356" s="1"/>
  <c r="Y11"/>
  <c r="Y356" s="1"/>
  <c r="S11"/>
  <c r="S356" s="1"/>
  <c r="W11"/>
  <c r="W356" s="1"/>
  <c r="AY11"/>
  <c r="AY356" s="1"/>
  <c r="U11"/>
  <c r="U356" s="1"/>
  <c r="AU11"/>
  <c r="AU356" s="1"/>
  <c r="AW11"/>
  <c r="AE11"/>
  <c r="AE356" s="1"/>
  <c r="AG11" i="49"/>
  <c r="AG155" s="1"/>
  <c r="AK11"/>
  <c r="AK155" s="1"/>
  <c r="AY11"/>
  <c r="AY155" s="1"/>
  <c r="M11"/>
  <c r="M155" s="1"/>
  <c r="W11"/>
  <c r="W155" s="1"/>
  <c r="AC11"/>
  <c r="AC155" s="1"/>
  <c r="K11"/>
  <c r="K155" s="1"/>
  <c r="Q11"/>
  <c r="Q155" s="1"/>
  <c r="AU11"/>
  <c r="AU155" s="1"/>
  <c r="AE11"/>
  <c r="AE155" s="1"/>
  <c r="U11"/>
  <c r="U155" s="1"/>
  <c r="AM11"/>
  <c r="AM155" s="1"/>
  <c r="AI11"/>
  <c r="AI155" s="1"/>
  <c r="AA11"/>
  <c r="AA155" s="1"/>
  <c r="Y11"/>
  <c r="Y155" s="1"/>
  <c r="BA11"/>
  <c r="AQ11"/>
  <c r="AO11"/>
  <c r="AO155" s="1"/>
  <c r="S11"/>
  <c r="S155" s="1"/>
  <c r="O11"/>
  <c r="O155" s="1"/>
  <c r="AW11"/>
  <c r="AS11"/>
  <c r="A239" i="50" a="1"/>
  <c r="A239" s="1"/>
  <c r="I239" s="1"/>
  <c r="A237" a="1"/>
  <c r="A237" s="1"/>
  <c r="I237" s="1"/>
  <c r="A241" a="1"/>
  <c r="A241" s="1"/>
  <c r="I241" s="1"/>
  <c r="A240" a="1"/>
  <c r="A240" s="1"/>
  <c r="I240" s="1"/>
  <c r="A11" a="1"/>
  <c r="A11" s="1"/>
  <c r="I11" s="1"/>
  <c r="A238" a="1"/>
  <c r="A238" s="1"/>
  <c r="I238" s="1"/>
  <c r="A236" a="1"/>
  <c r="A236" s="1"/>
  <c r="I236" s="1"/>
  <c r="R75" i="48" l="1"/>
  <c r="S75"/>
  <c r="R76"/>
  <c r="I37" i="14"/>
  <c r="J37"/>
  <c r="J38" s="1"/>
  <c r="I103" i="42"/>
  <c r="H122" i="43"/>
  <c r="H12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c r="F151" i="49"/>
  <c r="F353" i="51"/>
  <c r="F350"/>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F241" i="50"/>
  <c r="F152" i="49"/>
  <c r="F352" i="51"/>
  <c r="Z76" i="48"/>
  <c r="X157" i="49" s="1"/>
  <c r="X245" i="50" s="1"/>
  <c r="X358" i="51" s="1"/>
  <c r="Z75" i="48"/>
  <c r="X10" i="49" s="1"/>
  <c r="AT76" i="48"/>
  <c r="AR157" i="49" s="1"/>
  <c r="AR245" i="50" s="1"/>
  <c r="AR358" i="51" s="1"/>
  <c r="F68" i="48"/>
  <c r="AR76"/>
  <c r="AP157" i="49" s="1"/>
  <c r="AP245" i="50" s="1"/>
  <c r="AP358" i="51" s="1"/>
  <c r="F67" i="48"/>
  <c r="AN76"/>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AV157" i="49" s="1"/>
  <c r="AV245" i="50" s="1"/>
  <c r="AV358" i="51" s="1"/>
  <c r="F72" i="48"/>
  <c r="X76"/>
  <c r="V157" i="49" s="1"/>
  <c r="V245" i="50" s="1"/>
  <c r="V358" i="51" s="1"/>
  <c r="X75" i="48"/>
  <c r="V10" i="49" s="1"/>
  <c r="AD76" i="48"/>
  <c r="AB157" i="49" s="1"/>
  <c r="AB245" i="50" s="1"/>
  <c r="AB358" i="51" s="1"/>
  <c r="AD75" i="48"/>
  <c r="AB10" i="49" s="1"/>
  <c r="T76" i="48"/>
  <c r="R157" i="49" s="1"/>
  <c r="R245" i="50" s="1"/>
  <c r="R358" i="51" s="1"/>
  <c r="T75" i="48"/>
  <c r="R10" i="49" s="1"/>
  <c r="F153"/>
  <c r="F148"/>
  <c r="F239" i="50"/>
  <c r="AW76" i="48"/>
  <c r="AU157" i="49" s="1"/>
  <c r="AU245" i="50" s="1"/>
  <c r="AU358" i="51" s="1"/>
  <c r="F71" i="48"/>
  <c r="AE76"/>
  <c r="AC157" i="49" s="1"/>
  <c r="AC245" i="50" s="1"/>
  <c r="AC358" i="51" s="1"/>
  <c r="AE75" i="48"/>
  <c r="AC10" i="49" s="1"/>
  <c r="AK76" i="48"/>
  <c r="AI157" i="49" s="1"/>
  <c r="AI245" i="50" s="1"/>
  <c r="AI358" i="51" s="1"/>
  <c r="AK75" i="48"/>
  <c r="AI10" i="49" s="1"/>
  <c r="AQ76" i="48"/>
  <c r="AO157" i="49" s="1"/>
  <c r="AO245" i="50" s="1"/>
  <c r="AO358" i="51" s="1"/>
  <c r="F70" i="48"/>
  <c r="Y75"/>
  <c r="W10" i="49" s="1"/>
  <c r="Y76" i="48"/>
  <c r="W157" i="49" s="1"/>
  <c r="W245" i="50" s="1"/>
  <c r="W358" i="51" s="1"/>
  <c r="AA76" i="48"/>
  <c r="Y157" i="49" s="1"/>
  <c r="Y245" i="50" s="1"/>
  <c r="Y358" i="51" s="1"/>
  <c r="AA75" i="48"/>
  <c r="Y10" i="49" s="1"/>
  <c r="K156" l="1"/>
  <c r="K10" i="50" s="1"/>
  <c r="W156" i="49"/>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c r="AN239"/>
  <c r="AN243" s="1"/>
  <c r="AY72" i="48"/>
  <c r="AY74" s="1"/>
  <c r="BB72"/>
  <c r="AW354" i="51"/>
  <c r="AW356" s="1"/>
  <c r="AZ354"/>
  <c r="AS67" i="48"/>
  <c r="AS74" s="1"/>
  <c r="V67"/>
  <c r="V74" s="1"/>
  <c r="S156" i="49"/>
  <c r="S10" i="50" s="1"/>
  <c r="AJ156" i="49"/>
  <c r="AJ10" i="50" s="1"/>
  <c r="Z156" i="49"/>
  <c r="Z10" i="50" s="1"/>
  <c r="AW153" i="49"/>
  <c r="AW155" s="1"/>
  <c r="AZ153"/>
  <c r="BC71" i="48"/>
  <c r="AV71"/>
  <c r="AV74" s="1"/>
  <c r="AQ148" i="49"/>
  <c r="AQ155" s="1"/>
  <c r="T148"/>
  <c r="T155" s="1"/>
  <c r="V156"/>
  <c r="V10" i="50" s="1"/>
  <c r="V244" s="1"/>
  <c r="V10" i="51" s="1"/>
  <c r="M156" i="49"/>
  <c r="M10" i="50" s="1"/>
  <c r="AF156" i="49"/>
  <c r="AF10" i="50" s="1"/>
  <c r="X156" i="49"/>
  <c r="X10" i="50" s="1"/>
  <c r="AN352" i="51"/>
  <c r="AN356" s="1"/>
  <c r="BA352"/>
  <c r="AT152" i="49"/>
  <c r="AT155" s="1"/>
  <c r="BA152"/>
  <c r="AD156"/>
  <c r="AD10" i="50" s="1"/>
  <c r="BA353" i="51"/>
  <c r="AT353"/>
  <c r="AT356" s="1"/>
  <c r="AY156" i="49"/>
  <c r="AY10" i="50" s="1"/>
  <c r="AY244" s="1"/>
  <c r="AY10" i="51" s="1"/>
  <c r="AP70" i="48"/>
  <c r="AP74" s="1"/>
  <c r="BC70"/>
  <c r="AC156" i="49"/>
  <c r="AC10" i="50" s="1"/>
  <c r="AC244" s="1"/>
  <c r="AC10" i="51" s="1"/>
  <c r="AU68" i="48"/>
  <c r="AU74" s="1"/>
  <c r="BB68"/>
  <c r="BA240" i="50"/>
  <c r="AT240"/>
  <c r="AT243" s="1"/>
  <c r="AS350" i="51"/>
  <c r="AS356" s="1"/>
  <c r="AZ350"/>
  <c r="BA151" i="49"/>
  <c r="AN151"/>
  <c r="AN155" s="1"/>
  <c r="T236" i="50"/>
  <c r="T243" s="1"/>
  <c r="AQ236"/>
  <c r="AQ243" s="1"/>
  <c r="AM156" i="49"/>
  <c r="AM10" i="50" s="1"/>
  <c r="O156" i="49"/>
  <c r="O10" i="50" s="1"/>
  <c r="O244" s="1"/>
  <c r="O10" i="51" s="1"/>
  <c r="AZ149" i="49"/>
  <c r="AZ155" s="1"/>
  <c r="AS149"/>
  <c r="AS155" s="1"/>
  <c r="J156"/>
  <c r="J10" i="50" s="1"/>
  <c r="J244" s="1"/>
  <c r="J10" i="51" s="1"/>
  <c r="AH156" i="49"/>
  <c r="AH10" i="50" s="1"/>
  <c r="AH244" s="1"/>
  <c r="AH10" i="51" s="1"/>
  <c r="AZ241" i="50"/>
  <c r="AW241"/>
  <c r="AW243" s="1"/>
  <c r="P156" i="49"/>
  <c r="P10" i="50" s="1"/>
  <c r="AS237"/>
  <c r="AS243" s="1"/>
  <c r="AZ237"/>
  <c r="T349" i="51"/>
  <c r="T356" s="1"/>
  <c r="AQ349"/>
  <c r="AQ356" s="1"/>
  <c r="S244" i="50" l="1"/>
  <c r="S10" i="51" s="1"/>
  <c r="AK244" i="50"/>
  <c r="AK10" i="51" s="1"/>
  <c r="P244" i="50"/>
  <c r="P10" i="51" s="1"/>
  <c r="M244" i="50"/>
  <c r="M10" i="51" s="1"/>
  <c r="AJ244" i="50"/>
  <c r="AJ10" i="51" s="1"/>
  <c r="X244" i="50"/>
  <c r="X10" i="51" s="1"/>
  <c r="BB74" i="48"/>
  <c r="BB76" s="1"/>
  <c r="AZ157" i="49" s="1"/>
  <c r="L244" i="50"/>
  <c r="L10" i="51" s="1"/>
  <c r="AF244" i="50"/>
  <c r="AF10" i="51" s="1"/>
  <c r="AM244" i="50"/>
  <c r="AM10" i="51" s="1"/>
  <c r="Z244" i="50"/>
  <c r="Z10" i="51" s="1"/>
  <c r="AE244" i="50"/>
  <c r="AE10" i="51" s="1"/>
  <c r="R244" i="50"/>
  <c r="R10" i="51" s="1"/>
  <c r="R357" s="1"/>
  <c r="AB244" i="50"/>
  <c r="AB10" i="51" s="1"/>
  <c r="AB357" s="1"/>
  <c r="AX244" i="50"/>
  <c r="AX10" i="51" s="1"/>
  <c r="AX357" s="1"/>
  <c r="AZ243" i="50"/>
  <c r="BA155" i="49"/>
  <c r="AD244" i="50"/>
  <c r="AD10" i="51" s="1"/>
  <c r="AA244" i="50"/>
  <c r="AA10" i="51" s="1"/>
  <c r="AA357" s="1"/>
  <c r="BA356"/>
  <c r="AG244" i="50"/>
  <c r="AG10" i="51" s="1"/>
  <c r="AG357" s="1"/>
  <c r="AZ356"/>
  <c r="BC74" i="48"/>
  <c r="BC75" s="1"/>
  <c r="BA10" i="49" s="1"/>
  <c r="N244" i="50"/>
  <c r="N10" i="51" s="1"/>
  <c r="N357" s="1"/>
  <c r="W244" i="50"/>
  <c r="W10" i="51" s="1"/>
  <c r="W357"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K357" s="1"/>
  <c r="BA243" i="50"/>
  <c r="Q244"/>
  <c r="Q10" i="51" s="1"/>
  <c r="Y244" i="50"/>
  <c r="Y10" i="51" s="1"/>
  <c r="V76" i="48"/>
  <c r="T157" i="49" s="1"/>
  <c r="T245" i="50" s="1"/>
  <c r="T358" i="51" s="1"/>
  <c r="V75" i="48"/>
  <c r="T10" i="49" s="1"/>
  <c r="W75" i="48"/>
  <c r="U10" i="49" s="1"/>
  <c r="AI244" i="50"/>
  <c r="AI10" i="51" s="1"/>
  <c r="AI357" s="1"/>
  <c r="Q357" l="1"/>
  <c r="AK357"/>
  <c r="L357"/>
  <c r="AJ357"/>
  <c r="M357"/>
  <c r="Y357"/>
  <c r="AL357"/>
  <c r="AY357"/>
  <c r="Z357"/>
  <c r="AF357"/>
  <c r="S357"/>
  <c r="AE357"/>
  <c r="AC357"/>
  <c r="AZ245" i="50"/>
  <c r="AZ358" i="51" s="1"/>
  <c r="AD357"/>
  <c r="AO156" i="49"/>
  <c r="AO10" i="50" s="1"/>
  <c r="V357" i="51"/>
  <c r="BB75" i="48"/>
  <c r="AZ10" i="49" s="1"/>
  <c r="BA156" s="1"/>
  <c r="BA10" i="50" s="1"/>
  <c r="BC76" i="48"/>
  <c r="BA157" i="49" s="1"/>
  <c r="BA245" i="50" s="1"/>
  <c r="BA358" i="51" s="1"/>
  <c r="O357"/>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AS244" l="1"/>
  <c r="AS10" i="51" s="1"/>
  <c r="AW244" i="50"/>
  <c r="AW10" i="51" s="1"/>
  <c r="AZ156" i="49"/>
  <c r="AZ10" i="50" s="1"/>
  <c r="BA244" s="1"/>
  <c r="BA10" i="51" s="1"/>
  <c r="AN244" i="50"/>
  <c r="AN10" i="51" s="1"/>
  <c r="AU244" i="50"/>
  <c r="AU10" i="51" s="1"/>
  <c r="T244" i="50"/>
  <c r="T10" i="51" s="1"/>
  <c r="AQ244" i="50"/>
  <c r="AQ10" i="51" s="1"/>
  <c r="AV244" i="50"/>
  <c r="AV10" i="51" s="1"/>
  <c r="AP244" i="50"/>
  <c r="AP10" i="51" s="1"/>
  <c r="U244" i="50"/>
  <c r="U10" i="51" s="1"/>
  <c r="AR244" i="50"/>
  <c r="AR10" i="51" s="1"/>
  <c r="AO244" i="50"/>
  <c r="AO10" i="51" s="1"/>
  <c r="AT244" i="50"/>
  <c r="AT10" i="51" s="1"/>
  <c r="AR357" l="1"/>
  <c r="AV357"/>
  <c r="AZ244" i="50"/>
  <c r="AZ10" i="51" s="1"/>
  <c r="AZ357" s="1"/>
  <c r="AO357"/>
  <c r="AT357"/>
  <c r="U357"/>
  <c r="AP357"/>
  <c r="AS357"/>
  <c r="AQ357"/>
  <c r="AN357"/>
  <c r="T357"/>
  <c r="AW357"/>
  <c r="AU357"/>
  <c r="BA357" l="1"/>
  <c r="F59" i="15" l="1" a="1"/>
  <c r="F59" s="1"/>
  <c r="J38" i="55" a="1"/>
  <c r="J38" s="1"/>
  <c r="J20" a="1"/>
  <c r="J20" s="1"/>
  <c r="J47" a="1"/>
  <c r="J47" s="1"/>
  <c r="F58" i="15" a="1"/>
  <c r="F58" s="1"/>
  <c r="J31" i="55" a="1"/>
  <c r="J31" s="1"/>
  <c r="J52" a="1"/>
  <c r="J52" s="1"/>
  <c r="J48" a="1"/>
  <c r="J48" s="1"/>
  <c r="J15" a="1"/>
  <c r="J15" s="1"/>
  <c r="F54" i="15" a="1"/>
  <c r="F54" s="1"/>
  <c r="J13" i="55" a="1"/>
  <c r="J13" s="1"/>
  <c r="F50" i="15" a="1"/>
  <c r="F50" s="1"/>
  <c r="J41" i="55" a="1"/>
  <c r="J41" s="1"/>
  <c r="J17" a="1"/>
  <c r="J17" s="1"/>
  <c r="J26" a="1"/>
  <c r="J26" s="1"/>
  <c r="J30" a="1"/>
  <c r="J30" s="1"/>
  <c r="J51" a="1"/>
  <c r="J51" s="1"/>
  <c r="J22" a="1"/>
  <c r="J22" s="1"/>
  <c r="F57" i="15" a="1"/>
  <c r="F57" s="1"/>
  <c r="J39" i="55" a="1"/>
  <c r="J39" s="1"/>
  <c r="J25" a="1"/>
  <c r="J25" s="1"/>
  <c r="F53" i="15" a="1"/>
  <c r="F53" s="1"/>
  <c r="J33" i="55" a="1"/>
  <c r="J33" s="1"/>
  <c r="J29" a="1"/>
  <c r="J29" s="1"/>
  <c r="J50" a="1"/>
  <c r="J50" s="1"/>
  <c r="F55" i="15" a="1"/>
  <c r="F55" s="1"/>
  <c r="J21" i="55" a="1"/>
  <c r="J21" s="1"/>
  <c r="J16" a="1"/>
  <c r="J16" s="1"/>
  <c r="J24" a="1"/>
  <c r="J24" s="1"/>
  <c r="F56" i="15" a="1"/>
  <c r="F56" s="1"/>
  <c r="J27" i="55" a="1"/>
  <c r="J27" s="1"/>
  <c r="J18" a="1"/>
  <c r="J18" s="1"/>
  <c r="J46" a="1"/>
  <c r="J46" s="1"/>
  <c r="J32" a="1"/>
  <c r="J32" s="1"/>
  <c r="J28" a="1"/>
  <c r="J28" s="1"/>
  <c r="J49" a="1"/>
  <c r="J49" s="1"/>
  <c r="J19" a="1"/>
  <c r="J19" s="1"/>
  <c r="J23" a="1"/>
  <c r="J23" s="1"/>
  <c r="J14" a="1"/>
  <c r="J14" s="1"/>
  <c r="J40" a="1"/>
  <c r="J40" s="1"/>
  <c r="J6" i="45" a="1"/>
  <c r="J6" s="1"/>
  <c r="H15" i="55" a="1"/>
  <c r="H15" s="1"/>
  <c r="H8" i="62" a="1"/>
  <c r="H8" s="1"/>
  <c r="F8" i="12" a="1"/>
  <c r="F8" s="1"/>
  <c r="E6" a="1"/>
  <c r="E6" s="1"/>
  <c r="F17" i="15" a="1"/>
  <c r="F17" s="1"/>
  <c r="J14" i="62" a="1"/>
  <c r="J14" s="1"/>
  <c r="F25" i="12" a="1"/>
  <c r="F25" s="1"/>
  <c r="H7" i="62" a="1"/>
  <c r="H7" s="1"/>
  <c r="J6" a="1"/>
  <c r="J6" s="1"/>
  <c r="H6" a="1"/>
  <c r="H6" s="1"/>
  <c r="L6" s="1"/>
  <c r="H12" a="1"/>
  <c r="H12" s="1"/>
  <c r="F9" i="12" a="1"/>
  <c r="F9" s="1"/>
  <c r="H10" i="62" a="1"/>
  <c r="H10" s="1"/>
  <c r="H17" i="55" a="1"/>
  <c r="H17" s="1"/>
  <c r="L17" s="1"/>
  <c r="F12" i="12" a="1"/>
  <c r="F12" s="1"/>
  <c r="H21" i="55" a="1"/>
  <c r="H21" s="1"/>
  <c r="L21" s="1"/>
  <c r="E17" i="12" a="1"/>
  <c r="E17" s="1"/>
  <c r="E39" i="15" a="1"/>
  <c r="E39" s="1"/>
  <c r="J8" i="62" a="1"/>
  <c r="J8" s="1"/>
  <c r="E58" i="15" a="1"/>
  <c r="E58" s="1"/>
  <c r="I58" s="1"/>
  <c r="E50" a="1"/>
  <c r="E50" s="1"/>
  <c r="I50" s="1"/>
  <c r="J9" i="45" a="1"/>
  <c r="J9" s="1"/>
  <c r="H27" i="55" a="1"/>
  <c r="H27" s="1"/>
  <c r="J45" a="1"/>
  <c r="J45" s="1"/>
  <c r="L8" i="45" a="1"/>
  <c r="L8" s="1"/>
  <c r="E15" i="12" a="1"/>
  <c r="E15" s="1"/>
  <c r="H22" i="55" a="1"/>
  <c r="H22" s="1"/>
  <c r="L22" s="1"/>
  <c r="H51" a="1"/>
  <c r="H51" s="1"/>
  <c r="L51" s="1"/>
  <c r="E34" i="15" a="1"/>
  <c r="E34" s="1"/>
  <c r="E29" i="12" s="1"/>
  <c r="H15" i="62" a="1"/>
  <c r="H15" s="1"/>
  <c r="F36" i="15" a="1"/>
  <c r="F36" s="1"/>
  <c r="F42" a="1"/>
  <c r="F42" s="1"/>
  <c r="E42" a="1"/>
  <c r="E42" s="1"/>
  <c r="E59" a="1"/>
  <c r="E59" s="1"/>
  <c r="I59" s="1"/>
  <c r="J11" i="62" a="1"/>
  <c r="J11" s="1"/>
  <c r="J7" a="1"/>
  <c r="J7" s="1"/>
  <c r="N7" s="1"/>
  <c r="E27" i="15" a="1"/>
  <c r="E27" s="1"/>
  <c r="H16" i="55" a="1"/>
  <c r="H16" s="1"/>
  <c r="H13" a="1"/>
  <c r="H13" s="1"/>
  <c r="E21" i="12" a="1"/>
  <c r="E21" s="1"/>
  <c r="E55" i="15" a="1"/>
  <c r="E55" s="1"/>
  <c r="J12" i="62" a="1"/>
  <c r="J12" s="1"/>
  <c r="N12" s="1"/>
  <c r="H24" i="55" a="1"/>
  <c r="H24" s="1"/>
  <c r="H38" a="1"/>
  <c r="H38" s="1"/>
  <c r="L38" s="1"/>
  <c r="L11" i="45" a="1"/>
  <c r="L11" s="1"/>
  <c r="J16" a="1"/>
  <c r="J16" s="1"/>
  <c r="H29" i="55" a="1"/>
  <c r="H29" s="1"/>
  <c r="L13" i="45" a="1"/>
  <c r="L13" s="1"/>
  <c r="E13" i="12" a="1"/>
  <c r="E13" s="1"/>
  <c r="F15" i="15" a="1"/>
  <c r="F15" s="1"/>
  <c r="H9" i="62" a="1"/>
  <c r="H9" s="1"/>
  <c r="J15" a="1"/>
  <c r="J15" s="1"/>
  <c r="N15" s="1"/>
  <c r="L9" i="45" a="1"/>
  <c r="L9" s="1"/>
  <c r="F16" i="15" a="1"/>
  <c r="F16" s="1"/>
  <c r="F18" s="1"/>
  <c r="F13" a="1"/>
  <c r="F13" s="1"/>
  <c r="L10" i="45" a="1"/>
  <c r="L10" s="1"/>
  <c r="E16" i="12" a="1"/>
  <c r="E16" s="1"/>
  <c r="H41" i="55" a="1"/>
  <c r="H41" s="1"/>
  <c r="L41" s="1"/>
  <c r="F20" i="12" a="1"/>
  <c r="F20" s="1"/>
  <c r="E10" a="1"/>
  <c r="E10" s="1"/>
  <c r="H48" i="55" a="1"/>
  <c r="H48" s="1"/>
  <c r="L21" i="45" a="1"/>
  <c r="L21" s="1"/>
  <c r="F19" i="12" a="1"/>
  <c r="F19" s="1"/>
  <c r="L16" i="45" a="1"/>
  <c r="L16" s="1"/>
  <c r="P16" s="1"/>
  <c r="L6" a="1"/>
  <c r="L6" s="1"/>
  <c r="H28" i="55" a="1"/>
  <c r="H28" s="1"/>
  <c r="E17" i="15" a="1"/>
  <c r="E17" s="1"/>
  <c r="G17" s="1"/>
  <c r="F23" i="12" a="1"/>
  <c r="F23" s="1"/>
  <c r="H20" i="55" a="1"/>
  <c r="H20" s="1"/>
  <c r="H52" a="1"/>
  <c r="H52" s="1"/>
  <c r="L52" s="1"/>
  <c r="E53" i="15" a="1"/>
  <c r="E53" s="1"/>
  <c r="E12" i="12" a="1"/>
  <c r="E12" s="1"/>
  <c r="G12" s="1"/>
  <c r="H39" i="55" a="1"/>
  <c r="H39" s="1"/>
  <c r="L39" s="1"/>
  <c r="F21" i="12" a="1"/>
  <c r="F21" s="1"/>
  <c r="H21" s="1"/>
  <c r="E22" a="1"/>
  <c r="E22" s="1"/>
  <c r="L18" i="45" a="1"/>
  <c r="L18" s="1"/>
  <c r="F22" i="12" a="1"/>
  <c r="F22" s="1"/>
  <c r="J10" i="45" a="1"/>
  <c r="J10" s="1"/>
  <c r="F16" i="12" a="1"/>
  <c r="F16" s="1"/>
  <c r="E21" i="15" a="1"/>
  <c r="E21" s="1"/>
  <c r="H18" i="55" a="1"/>
  <c r="H18" s="1"/>
  <c r="L18" s="1"/>
  <c r="J12" i="45" a="1"/>
  <c r="J12" s="1"/>
  <c r="J10" i="62" a="1"/>
  <c r="J10" s="1"/>
  <c r="N10" s="1"/>
  <c r="E24" i="12" a="1"/>
  <c r="E24" s="1"/>
  <c r="J13" i="62" a="1"/>
  <c r="J13" s="1"/>
  <c r="E30" i="15" a="1"/>
  <c r="E30" s="1"/>
  <c r="E23" a="1"/>
  <c r="E23" s="1"/>
  <c r="J18" i="45" a="1"/>
  <c r="J18" s="1"/>
  <c r="N18" s="1"/>
  <c r="F11" i="12" a="1"/>
  <c r="F11" s="1"/>
  <c r="E5" a="1"/>
  <c r="E5" s="1"/>
  <c r="L14" i="45" a="1"/>
  <c r="L14" s="1"/>
  <c r="E20" i="12" a="1"/>
  <c r="E20" s="1"/>
  <c r="F23" i="15" a="1"/>
  <c r="F23" s="1"/>
  <c r="E26" a="1"/>
  <c r="E26" s="1"/>
  <c r="E23" i="12" a="1"/>
  <c r="E23" s="1"/>
  <c r="E25" a="1"/>
  <c r="E25" s="1"/>
  <c r="G25" s="1"/>
  <c r="H14" i="62" a="1"/>
  <c r="H14" s="1"/>
  <c r="J12" i="55" a="1"/>
  <c r="J12" s="1"/>
  <c r="J35" s="1"/>
  <c r="F21" i="15" a="1"/>
  <c r="F21" s="1"/>
  <c r="F39" a="1"/>
  <c r="F39" s="1"/>
  <c r="H39" s="1"/>
  <c r="H40" s="1"/>
  <c r="H19" i="55" a="1"/>
  <c r="H19" s="1"/>
  <c r="E32" i="15" a="1"/>
  <c r="E32" s="1"/>
  <c r="E33" s="1"/>
  <c r="F5" i="12" a="1"/>
  <c r="F5" s="1"/>
  <c r="E14" a="1"/>
  <c r="E14" s="1"/>
  <c r="E19" a="1"/>
  <c r="E19" s="1"/>
  <c r="G19" s="1"/>
  <c r="J15" i="45" a="1"/>
  <c r="J15" s="1"/>
  <c r="E29" i="15" a="1"/>
  <c r="E29" s="1"/>
  <c r="L12" i="45" a="1"/>
  <c r="L12" s="1"/>
  <c r="P12" s="1"/>
  <c r="E25" i="15" a="1"/>
  <c r="E25" s="1"/>
  <c r="F24" i="12" a="1"/>
  <c r="F24" s="1"/>
  <c r="G24" s="1"/>
  <c r="H11" i="62" a="1"/>
  <c r="H11" s="1"/>
  <c r="L11" s="1"/>
  <c r="F44" i="15" a="1"/>
  <c r="F44" s="1"/>
  <c r="F45" s="1"/>
  <c r="J14" i="45" a="1"/>
  <c r="J14" s="1"/>
  <c r="N14" s="1"/>
  <c r="E18" i="12" a="1"/>
  <c r="E18" s="1"/>
  <c r="E16" i="15" a="1"/>
  <c r="E16" s="1"/>
  <c r="E18" s="1"/>
  <c r="F49" a="1"/>
  <c r="F49" s="1"/>
  <c r="F51" s="1"/>
  <c r="F52" s="1"/>
  <c r="F26" a="1"/>
  <c r="F26" s="1"/>
  <c r="H47" i="55" a="1"/>
  <c r="H47" s="1"/>
  <c r="L47" s="1"/>
  <c r="L19" i="45" a="1"/>
  <c r="L19" s="1"/>
  <c r="H25" i="55" a="1"/>
  <c r="H25" s="1"/>
  <c r="L25" s="1"/>
  <c r="H31" a="1"/>
  <c r="H31" s="1"/>
  <c r="L31" s="1"/>
  <c r="L20" i="45" a="1"/>
  <c r="L20" s="1"/>
  <c r="E8" i="12" a="1"/>
  <c r="E8" s="1"/>
  <c r="G8" s="1"/>
  <c r="H46" i="55" a="1"/>
  <c r="H46" s="1"/>
  <c r="L46" s="1"/>
  <c r="E7" i="12" a="1"/>
  <c r="E7" s="1"/>
  <c r="L7" i="45" a="1"/>
  <c r="L7" s="1"/>
  <c r="J11" a="1"/>
  <c r="J11" s="1"/>
  <c r="N11" s="1"/>
  <c r="F30" i="15" a="1"/>
  <c r="F30" s="1"/>
  <c r="E56" a="1"/>
  <c r="E56" s="1"/>
  <c r="I56" s="1"/>
  <c r="J9" i="62" a="1"/>
  <c r="J9" s="1"/>
  <c r="N9" s="1"/>
  <c r="F7" i="12" a="1"/>
  <c r="F7" s="1"/>
  <c r="F15" a="1"/>
  <c r="F15" s="1"/>
  <c r="H15" s="1"/>
  <c r="J20" i="45" a="1"/>
  <c r="J20" s="1"/>
  <c r="H32" i="55" a="1"/>
  <c r="H32" s="1"/>
  <c r="H40" a="1"/>
  <c r="H40" s="1"/>
  <c r="F10" i="12" a="1"/>
  <c r="F10" s="1"/>
  <c r="H10" s="1"/>
  <c r="L15" i="45" a="1"/>
  <c r="L15" s="1"/>
  <c r="J7" a="1"/>
  <c r="J7" s="1"/>
  <c r="F34" i="15" a="1"/>
  <c r="F34" s="1"/>
  <c r="H34" s="1"/>
  <c r="E15" a="1"/>
  <c r="E15" s="1"/>
  <c r="H19" i="62" s="1"/>
  <c r="H26" i="55" a="1"/>
  <c r="H26" s="1"/>
  <c r="F13" i="12" a="1"/>
  <c r="F13" s="1"/>
  <c r="H13" s="1"/>
  <c r="E19" i="15" a="1"/>
  <c r="E19" s="1"/>
  <c r="E20" s="1"/>
  <c r="F6" i="12" a="1"/>
  <c r="F6" s="1"/>
  <c r="H6" s="1"/>
  <c r="E60" i="15" a="1"/>
  <c r="E60" s="1"/>
  <c r="I60" s="1"/>
  <c r="H45" i="55" a="1"/>
  <c r="H45" s="1"/>
  <c r="F4" i="12" a="1"/>
  <c r="F4" s="1"/>
  <c r="E46" i="15" a="1"/>
  <c r="E46" s="1"/>
  <c r="E12" a="1"/>
  <c r="E12" s="1"/>
  <c r="J17" i="45" a="1"/>
  <c r="J17" s="1"/>
  <c r="F27" i="15" a="1"/>
  <c r="F27" s="1"/>
  <c r="H27" s="1"/>
  <c r="J21" i="45" a="1"/>
  <c r="J21" s="1"/>
  <c r="N21" s="1"/>
  <c r="H49" i="55" a="1"/>
  <c r="H49" s="1"/>
  <c r="F29" i="15" a="1"/>
  <c r="F29" s="1"/>
  <c r="H29" s="1"/>
  <c r="F32" a="1"/>
  <c r="F32" s="1"/>
  <c r="J19" i="45" a="1"/>
  <c r="J19" s="1"/>
  <c r="N19" s="1"/>
  <c r="H33" i="55" a="1"/>
  <c r="H33" s="1"/>
  <c r="H14" a="1"/>
  <c r="H14" s="1"/>
  <c r="H13" i="62" a="1"/>
  <c r="H13" s="1"/>
  <c r="L13" s="1"/>
  <c r="H50" i="55" a="1"/>
  <c r="H50" s="1"/>
  <c r="E35" i="15" a="1"/>
  <c r="E35" s="1"/>
  <c r="E22" a="1"/>
  <c r="E22" s="1"/>
  <c r="E28" a="1"/>
  <c r="E28" s="1"/>
  <c r="H12" i="55" a="1"/>
  <c r="H12" s="1"/>
  <c r="H5" i="62" a="1"/>
  <c r="H5" s="1"/>
  <c r="F25" i="15" a="1"/>
  <c r="F25" s="1"/>
  <c r="H25" s="1"/>
  <c r="F18" i="12" a="1"/>
  <c r="F18" s="1"/>
  <c r="H30" i="55" a="1"/>
  <c r="H30" s="1"/>
  <c r="L30" s="1"/>
  <c r="J8" i="45" a="1"/>
  <c r="J8" s="1"/>
  <c r="N8" s="1"/>
  <c r="F19" i="15" a="1"/>
  <c r="F19" s="1"/>
  <c r="J13" i="45" a="1"/>
  <c r="J13" s="1"/>
  <c r="F35" i="15" a="1"/>
  <c r="F35" s="1"/>
  <c r="E4" i="12" a="1"/>
  <c r="E4" s="1"/>
  <c r="G4" s="1"/>
  <c r="F14" a="1"/>
  <c r="F14" s="1"/>
  <c r="H14" s="1"/>
  <c r="F17" a="1"/>
  <c r="F17" s="1"/>
  <c r="H17" s="1"/>
  <c r="H23" i="55" a="1"/>
  <c r="H23" s="1"/>
  <c r="L17" i="45" a="1"/>
  <c r="L17" s="1"/>
  <c r="J37" i="55" a="1"/>
  <c r="J37" s="1"/>
  <c r="J43" s="1"/>
  <c r="E57" i="15" a="1"/>
  <c r="E57" s="1"/>
  <c r="E9" i="12" a="1"/>
  <c r="E9" s="1"/>
  <c r="G9" s="1"/>
  <c r="E54" i="15" a="1"/>
  <c r="E54" s="1"/>
  <c r="I54" s="1"/>
  <c r="E13" a="1"/>
  <c r="E13" s="1"/>
  <c r="G13" s="1"/>
  <c r="E11" i="12" a="1"/>
  <c r="E11" s="1"/>
  <c r="H11" s="1"/>
  <c r="G11"/>
  <c r="F22" i="15" a="1"/>
  <c r="F22" s="1"/>
  <c r="F24" s="1"/>
  <c r="J5" i="45" a="1"/>
  <c r="J5" s="1"/>
  <c r="E49" i="15" a="1"/>
  <c r="E49" s="1"/>
  <c r="F41" a="1"/>
  <c r="F41" s="1"/>
  <c r="F43" s="1"/>
  <c r="F12" a="1"/>
  <c r="F12" s="1"/>
  <c r="E36" a="1"/>
  <c r="E36" s="1"/>
  <c r="E37" s="1"/>
  <c r="F10" a="1"/>
  <c r="F10" s="1"/>
  <c r="L5" i="45" a="1"/>
  <c r="L5" s="1"/>
  <c r="E44" i="15" a="1"/>
  <c r="E44" s="1"/>
  <c r="J5" i="62" a="1"/>
  <c r="J5" s="1"/>
  <c r="E10" i="15" a="1"/>
  <c r="E10" s="1"/>
  <c r="E11" s="1"/>
  <c r="G10"/>
  <c r="G11" s="1"/>
  <c r="F28" a="1"/>
  <c r="F28" s="1"/>
  <c r="H37" i="55" a="1"/>
  <c r="H37" s="1"/>
  <c r="H43" s="1"/>
  <c r="F46" i="15" a="1"/>
  <c r="F46" s="1"/>
  <c r="F48" s="1"/>
  <c r="D13" i="39"/>
  <c r="C14"/>
  <c r="I49" i="15" l="1"/>
  <c r="I57"/>
  <c r="N13" i="45"/>
  <c r="P15"/>
  <c r="N20"/>
  <c r="H26" i="15"/>
  <c r="L14" i="62"/>
  <c r="P6" i="45"/>
  <c r="P9"/>
  <c r="L33" i="55"/>
  <c r="L26"/>
  <c r="L20"/>
  <c r="L24"/>
  <c r="L13"/>
  <c r="L27"/>
  <c r="L15"/>
  <c r="P17" i="45"/>
  <c r="H32" i="15"/>
  <c r="L37" i="55"/>
  <c r="H18" i="12"/>
  <c r="G35" i="15"/>
  <c r="H7" i="12"/>
  <c r="H19" i="15"/>
  <c r="N7" i="45"/>
  <c r="H5" i="12"/>
  <c r="H21" i="15"/>
  <c r="H23" i="12"/>
  <c r="G16"/>
  <c r="H22"/>
  <c r="L14" i="55"/>
  <c r="L28"/>
  <c r="H10" i="15"/>
  <c r="H11" s="1"/>
  <c r="G21"/>
  <c r="L23" i="55"/>
  <c r="F11" i="15"/>
  <c r="P19" i="45"/>
  <c r="H42" i="15"/>
  <c r="L50" i="55"/>
  <c r="H28" i="15"/>
  <c r="G44"/>
  <c r="L12" i="55"/>
  <c r="E14" i="15"/>
  <c r="F29" i="12"/>
  <c r="H23" i="15"/>
  <c r="H46"/>
  <c r="H48" s="1"/>
  <c r="E45"/>
  <c r="G45" s="1"/>
  <c r="N17" i="45"/>
  <c r="L32" i="55"/>
  <c r="G14" i="12"/>
  <c r="L19" i="55"/>
  <c r="G26" i="15"/>
  <c r="G5" i="12"/>
  <c r="G23" i="15"/>
  <c r="N10" i="45"/>
  <c r="I53" i="15"/>
  <c r="G10" i="12"/>
  <c r="N8" i="62"/>
  <c r="L16" i="55"/>
  <c r="L49"/>
  <c r="H35" i="15"/>
  <c r="G46"/>
  <c r="G48" s="1"/>
  <c r="P7" i="45"/>
  <c r="G16" i="15"/>
  <c r="G18" s="1"/>
  <c r="N15" i="45"/>
  <c r="G23" i="12"/>
  <c r="G20"/>
  <c r="N12" i="45"/>
  <c r="H16" i="12"/>
  <c r="P21" i="45"/>
  <c r="L29" i="55"/>
  <c r="J54"/>
  <c r="I55" i="15"/>
  <c r="H12"/>
  <c r="J17" i="62"/>
  <c r="H41" i="15"/>
  <c r="H43" s="1"/>
  <c r="P24" i="45" s="1"/>
  <c r="H17" i="62"/>
  <c r="H21" s="1"/>
  <c r="G22" i="15"/>
  <c r="H4" i="12"/>
  <c r="L40" i="55"/>
  <c r="L43" s="1"/>
  <c r="H30" i="15"/>
  <c r="P20" i="45"/>
  <c r="H45" i="15"/>
  <c r="G25"/>
  <c r="P14" i="45"/>
  <c r="G22" i="12"/>
  <c r="L48" i="55"/>
  <c r="L45"/>
  <c r="H54"/>
  <c r="E38" i="15"/>
  <c r="G29"/>
  <c r="E31"/>
  <c r="L23" i="45"/>
  <c r="N5"/>
  <c r="P5"/>
  <c r="G19" i="15"/>
  <c r="H44"/>
  <c r="H24" i="12"/>
  <c r="F31" i="15"/>
  <c r="F40"/>
  <c r="G36"/>
  <c r="G37" s="1"/>
  <c r="F27" i="12"/>
  <c r="I36" i="15"/>
  <c r="H16"/>
  <c r="G13" i="12"/>
  <c r="P11" i="45"/>
  <c r="G27" i="15"/>
  <c r="E43"/>
  <c r="G42"/>
  <c r="G15" i="12"/>
  <c r="N9" i="45"/>
  <c r="H12" i="12"/>
  <c r="L10" i="62"/>
  <c r="N6"/>
  <c r="H17" i="15"/>
  <c r="N14" i="62"/>
  <c r="N5"/>
  <c r="E27" i="12"/>
  <c r="E31" s="1"/>
  <c r="F20" i="15"/>
  <c r="H20" s="1"/>
  <c r="E24"/>
  <c r="G24" s="1"/>
  <c r="F33"/>
  <c r="G15"/>
  <c r="G7" i="12"/>
  <c r="G18"/>
  <c r="E48" i="15"/>
  <c r="F14"/>
  <c r="N13" i="62"/>
  <c r="G41" i="15"/>
  <c r="L9" i="62"/>
  <c r="P13" i="45"/>
  <c r="G21" i="12"/>
  <c r="P8" i="45"/>
  <c r="G39" i="15"/>
  <c r="G40" s="1"/>
  <c r="E40"/>
  <c r="H9" i="12"/>
  <c r="L7" i="62"/>
  <c r="G6" i="12"/>
  <c r="L8" i="62"/>
  <c r="G28" i="15"/>
  <c r="G12"/>
  <c r="G14" s="1"/>
  <c r="I35"/>
  <c r="G30"/>
  <c r="H20" i="12"/>
  <c r="H13" i="15"/>
  <c r="H14" s="1"/>
  <c r="J19" i="62"/>
  <c r="H15" i="15"/>
  <c r="N11" i="62"/>
  <c r="H36" i="15"/>
  <c r="H37" s="1"/>
  <c r="F37"/>
  <c r="I37" s="1"/>
  <c r="G17" i="12"/>
  <c r="G34" i="15"/>
  <c r="L12" i="62"/>
  <c r="H25" i="12"/>
  <c r="E51" i="15"/>
  <c r="J23" i="45"/>
  <c r="H22" i="15"/>
  <c r="L5" i="62"/>
  <c r="H35" i="55"/>
  <c r="G32" i="15"/>
  <c r="P18" i="45"/>
  <c r="H19" i="12"/>
  <c r="P10" i="45"/>
  <c r="N16"/>
  <c r="L15" i="62"/>
  <c r="H8" i="12"/>
  <c r="N6" i="45"/>
  <c r="G38" i="15" l="1"/>
  <c r="H18"/>
  <c r="H31"/>
  <c r="H38"/>
  <c r="F31" i="12"/>
  <c r="L35" i="55"/>
  <c r="J21" i="62"/>
  <c r="H27" i="12"/>
  <c r="G43" i="15"/>
  <c r="G27" i="12"/>
  <c r="L54" i="55"/>
  <c r="G31" i="15"/>
  <c r="N23" i="45"/>
  <c r="G20" i="15"/>
  <c r="E52"/>
  <c r="I52" s="1"/>
  <c r="I51"/>
  <c r="F38"/>
  <c r="F61" s="1"/>
  <c r="L17" i="62"/>
  <c r="H33" i="15"/>
  <c r="G33"/>
  <c r="N17" i="62"/>
  <c r="H24" i="15"/>
  <c r="P23" i="45"/>
  <c r="P25" s="1"/>
  <c r="H61" i="15" l="1"/>
  <c r="G61"/>
  <c r="E61"/>
  <c r="E63" s="1"/>
  <c r="I38"/>
  <c r="H63" l="1"/>
</calcChain>
</file>

<file path=xl/sharedStrings.xml><?xml version="1.0" encoding="utf-8"?>
<sst xmlns="http://schemas.openxmlformats.org/spreadsheetml/2006/main" count="4320" uniqueCount="1027">
  <si>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</si>
  <si>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</si>
  <si>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</si>
  <si>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</si>
  <si>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</si>
  <si>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</si>
  <si>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</si>
  <si>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</si>
  <si>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</si>
  <si>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</si>
  <si>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</si>
  <si>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</si>
  <si>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</si>
  <si>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</si>
  <si>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</si>
  <si>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</si>
  <si>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</si>
  <si>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</si>
  <si>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</si>
  <si>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</si>
  <si>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</si>
  <si>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</si>
  <si>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</si>
  <si>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</si>
  <si>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</si>
  <si>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</si>
  <si>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</si>
  <si>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</si>
  <si>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</si>
  <si>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</si>
  <si>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</si>
  <si>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</si>
  <si>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</si>
  <si>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</si>
  <si>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</si>
  <si>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</si>
  <si>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</si>
  <si>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</si>
  <si>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</si>
  <si>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</si>
  <si>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</si>
  <si>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</si>
  <si>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</si>
  <si>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</si>
  <si>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</si>
  <si>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</si>
  <si>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</si>
  <si>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</si>
  <si>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</si>
  <si>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</si>
  <si>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</si>
  <si>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</si>
  <si>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</si>
  <si>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</si>
  <si>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</si>
  <si>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</si>
  <si>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</si>
  <si>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</si>
  <si>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</si>
  <si>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</si>
  <si>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</si>
  <si>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</si>
  <si>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</si>
  <si>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</si>
  <si>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</si>
  <si>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</si>
  <si>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</si>
  <si>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</si>
  <si>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</si>
  <si>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</si>
  <si>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</si>
  <si>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</si>
  <si>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</si>
  <si>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</si>
  <si>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</si>
  <si>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</si>
  <si>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</si>
  <si>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</si>
  <si>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</si>
  <si>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</si>
  <si>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</si>
  <si>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</si>
  <si>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</si>
  <si>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</si>
  <si>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</si>
  <si>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</si>
  <si>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</si>
  <si>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</si>
  <si>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</si>
  <si>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</si>
  <si>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</si>
  <si>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</si>
  <si>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</si>
  <si>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</si>
  <si>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</si>
  <si>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</si>
  <si>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</si>
  <si>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</si>
  <si>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</si>
  <si>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</si>
  <si>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</si>
  <si>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</si>
  <si>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</si>
  <si>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</si>
  <si>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</si>
  <si>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</si>
  <si>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</si>
  <si>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</si>
  <si>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</si>
  <si>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</si>
  <si>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</si>
  <si>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</si>
  <si>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</si>
  <si>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</si>
  <si>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</si>
  <si>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</si>
  <si>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</si>
  <si>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</si>
  <si>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</si>
  <si>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</si>
  <si>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</si>
  <si>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</si>
  <si>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</si>
  <si>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</si>
  <si>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</si>
  <si>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</si>
  <si>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</si>
  <si>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</si>
  <si>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</si>
  <si>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</si>
  <si>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</si>
  <si>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</si>
  <si>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</si>
  <si>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</si>
  <si>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</si>
  <si>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</si>
  <si>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</si>
  <si>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</si>
  <si>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</si>
  <si>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</si>
  <si>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</si>
  <si>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</si>
  <si>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</si>
  <si>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</si>
  <si>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</si>
  <si>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</si>
  <si>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</si>
  <si>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</si>
  <si>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</si>
  <si>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</si>
  <si>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</si>
  <si>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</si>
  <si>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</si>
  <si>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</si>
  <si>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</si>
  <si>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</si>
  <si>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</si>
  <si>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</si>
  <si>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</si>
  <si>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</si>
  <si>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</si>
  <si>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</si>
  <si>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</si>
  <si>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</si>
  <si>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</si>
  <si>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</si>
  <si>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</si>
  <si>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</si>
  <si>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</si>
  <si>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</si>
  <si>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</si>
  <si>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</si>
  <si>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</si>
  <si>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</si>
  <si>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</si>
  <si>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</si>
  <si>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</si>
  <si>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</si>
  <si>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</si>
  <si>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</si>
  <si>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</si>
  <si>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</si>
  <si>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</si>
  <si>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</si>
  <si>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</si>
  <si>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</si>
  <si>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</si>
  <si>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</si>
  <si>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</si>
  <si>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</si>
  <si>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</si>
  <si>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</si>
  <si>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</si>
  <si>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</si>
  <si>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</si>
  <si>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</si>
  <si>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</si>
  <si>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</si>
  <si>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</si>
  <si>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</si>
  <si>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</si>
  <si>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</si>
  <si>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</si>
  <si>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</si>
  <si>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</si>
  <si>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</si>
  <si>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</si>
  <si>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</si>
  <si>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</si>
  <si>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</si>
  <si>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</si>
  <si>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</si>
  <si>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</si>
  <si>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</si>
  <si>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</si>
  <si>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</si>
  <si>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</si>
  <si>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</si>
  <si>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</si>
  <si>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</si>
  <si>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</si>
  <si>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</si>
  <si>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</si>
  <si>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</si>
  <si>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</si>
  <si>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</si>
  <si>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</si>
  <si>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</si>
  <si>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</si>
  <si>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</si>
  <si>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</si>
  <si>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</si>
  <si>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</si>
  <si>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</si>
  <si>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</si>
  <si>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</si>
  <si>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</si>
  <si>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</si>
  <si>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</si>
  <si>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</si>
  <si>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</si>
  <si>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</si>
  <si>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</si>
  <si>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</si>
  <si>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</si>
  <si>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</si>
  <si>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</si>
  <si>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</si>
  <si>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</si>
  <si>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</si>
  <si>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</si>
  <si>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</si>
  <si>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</si>
  <si>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</si>
  <si>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</si>
  <si>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</si>
  <si>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</si>
  <si>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</si>
  <si>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</si>
  <si>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</si>
  <si>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</si>
  <si>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</si>
  <si>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</si>
  <si>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</si>
  <si>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</si>
  <si>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</si>
  <si>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</si>
  <si>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</si>
  <si>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</si>
  <si>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</si>
  <si>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</si>
  <si>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</si>
  <si>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</si>
  <si>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</si>
  <si>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</si>
  <si>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</si>
  <si>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</si>
  <si>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</si>
  <si>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</si>
  <si>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</si>
  <si>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</si>
  <si>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</si>
  <si>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</si>
  <si>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</si>
  <si>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</si>
  <si>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</si>
  <si>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</si>
  <si>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</si>
  <si>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</si>
  <si>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</si>
  <si>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</si>
  <si>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</si>
  <si>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</si>
  <si>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</si>
  <si>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</si>
  <si>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</si>
  <si>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</si>
  <si>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</si>
  <si>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</si>
  <si>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</si>
  <si>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</si>
  <si>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</si>
  <si>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</si>
  <si>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</si>
  <si>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</si>
  <si>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</si>
  <si>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</si>
  <si>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</si>
  <si>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</si>
  <si>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</si>
  <si>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</si>
  <si>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</si>
  <si>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</si>
  <si>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</si>
  <si>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</si>
  <si>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</si>
  <si>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</si>
  <si>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</si>
  <si>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</si>
  <si>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</si>
  <si>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</si>
  <si>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</si>
  <si>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</si>
  <si>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</si>
  <si>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</si>
  <si>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</si>
  <si>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</si>
  <si>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</si>
  <si>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</si>
  <si>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</si>
  <si>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</si>
  <si>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</si>
  <si>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</si>
  <si>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</si>
  <si>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</si>
  <si>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</si>
  <si>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</si>
  <si>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</si>
  <si>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</si>
  <si>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</si>
  <si>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</si>
  <si>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</si>
  <si>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</si>
  <si>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</si>
  <si>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</si>
  <si>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</si>
  <si>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</si>
  <si>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</si>
  <si>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</si>
  <si>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</si>
  <si>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</si>
  <si>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</si>
  <si>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</si>
  <si>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</si>
  <si>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</si>
  <si>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</si>
  <si>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</si>
  <si>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</si>
  <si>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</si>
  <si>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</si>
  <si>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</si>
  <si>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</si>
  <si>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</si>
  <si>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</si>
  <si>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</si>
  <si>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</si>
  <si>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</si>
  <si>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</si>
  <si>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</si>
  <si>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</si>
  <si>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</si>
  <si>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</si>
  <si>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</si>
  <si>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</si>
  <si>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</si>
  <si>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</si>
  <si>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</si>
  <si>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</si>
  <si>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</si>
  <si>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</si>
  <si>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</si>
  <si>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</si>
  <si>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</si>
  <si>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</si>
  <si>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</si>
  <si>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</si>
  <si>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</si>
  <si>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</si>
  <si>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</si>
  <si>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</si>
  <si>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</si>
  <si>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</si>
  <si>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</si>
  <si>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</si>
  <si>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</si>
  <si>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</si>
  <si>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</si>
  <si>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</si>
  <si>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</si>
  <si>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</si>
  <si>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</si>
  <si>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</si>
  <si>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</si>
  <si>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</si>
  <si>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</si>
  <si>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</si>
  <si>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</si>
  <si>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</si>
  <si>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</si>
  <si>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</si>
  <si>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</si>
  <si>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</si>
  <si>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</si>
  <si>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</si>
  <si>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</si>
  <si>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</si>
  <si>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</si>
  <si>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</si>
  <si>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</si>
  <si>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</si>
  <si>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</si>
  <si>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</si>
  <si>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</si>
  <si>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</si>
  <si>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</si>
  <si>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</si>
  <si>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</si>
  <si>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</si>
  <si>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</si>
  <si>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</si>
  <si>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</si>
  <si>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</si>
  <si>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</si>
  <si>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</si>
  <si>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</si>
  <si>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</si>
  <si>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</si>
  <si>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</si>
  <si>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</si>
  <si>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</si>
  <si>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</si>
  <si>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</si>
  <si>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</si>
  <si>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</si>
  <si>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</si>
  <si>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</si>
  <si>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</si>
  <si>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</si>
  <si>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</si>
  <si>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</si>
  <si>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</si>
  <si>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</si>
  <si>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</si>
  <si>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</si>
  <si>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</si>
  <si>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</si>
  <si>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</si>
  <si>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</si>
  <si>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</si>
  <si>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</si>
  <si>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</si>
  <si>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</si>
  <si>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</si>
  <si>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</si>
  <si>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</si>
  <si>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</si>
  <si>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</si>
  <si>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</si>
  <si>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</si>
  <si>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</si>
  <si>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</si>
  <si>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</si>
  <si>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</si>
  <si>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</si>
  <si>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</si>
  <si>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</si>
  <si>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</si>
  <si>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</si>
  <si>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</si>
  <si>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</si>
  <si>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</si>
  <si>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</si>
  <si>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</si>
  <si>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</si>
  <si>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</si>
  <si>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</si>
  <si>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</si>
  <si>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</si>
  <si>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</si>
  <si>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</si>
  <si>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</si>
  <si>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</si>
  <si>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</si>
  <si>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</si>
  <si>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</si>
  <si>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</si>
  <si>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</si>
  <si>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</si>
  <si>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</si>
  <si>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</si>
  <si>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</si>
  <si>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</si>
  <si>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</si>
  <si>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</si>
  <si>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</si>
  <si>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</si>
  <si>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</si>
  <si>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</si>
  <si>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</si>
  <si>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</si>
  <si>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</si>
  <si>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</si>
  <si>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</si>
  <si>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</si>
  <si>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</si>
  <si>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</si>
  <si>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</si>
  <si>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</si>
  <si>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</si>
  <si>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</si>
  <si>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</si>
  <si>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</si>
  <si>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</si>
  <si>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</si>
  <si>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</si>
  <si>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</si>
  <si>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</si>
  <si>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</si>
  <si>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</si>
  <si>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</si>
  <si>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</si>
  <si>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</si>
  <si>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</si>
  <si>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</si>
  <si>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</si>
  <si>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</si>
  <si>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</si>
  <si>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</si>
  <si>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</si>
  <si>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</si>
  <si>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</si>
  <si>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</si>
  <si>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</si>
  <si>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</si>
  <si>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</si>
  <si>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</si>
  <si>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</si>
  <si>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</si>
  <si>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</si>
  <si>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</si>
  <si>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</si>
  <si>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</si>
  <si>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</si>
  <si>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</si>
  <si>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</si>
  <si>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</si>
  <si>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</si>
  <si>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</si>
  <si>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</si>
  <si>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</si>
  <si>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</si>
  <si>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</si>
  <si>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</si>
  <si>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</si>
  <si>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</si>
  <si>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</si>
  <si>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</si>
  <si>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</si>
  <si>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</si>
  <si>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</si>
  <si>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</si>
  <si>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</si>
  <si>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</si>
  <si>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</si>
  <si>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</si>
  <si>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</si>
  <si>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</si>
  <si>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</si>
  <si>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</si>
  <si>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</si>
  <si>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</si>
  <si>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</si>
  <si>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</si>
  <si>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</si>
  <si>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</si>
  <si>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</si>
  <si>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</si>
  <si>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</si>
  <si>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</si>
  <si>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</si>
  <si>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</si>
  <si>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</si>
  <si>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</si>
  <si>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</si>
  <si>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</si>
  <si>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</si>
  <si>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</si>
  <si>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</si>
  <si>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</si>
  <si>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</si>
  <si>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</si>
  <si>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</si>
  <si>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</si>
  <si>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</si>
  <si>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</si>
  <si>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</si>
  <si>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</si>
  <si>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</si>
  <si>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</si>
  <si>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</si>
  <si>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</si>
  <si>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</si>
  <si>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</si>
  <si>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</si>
  <si>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</si>
  <si>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</si>
  <si>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</si>
  <si>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</si>
  <si>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</si>
  <si>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</si>
  <si>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</si>
  <si>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</si>
  <si>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</si>
  <si>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</si>
  <si>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</si>
  <si>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</si>
  <si>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</si>
  <si>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</si>
  <si>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</si>
  <si>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</si>
  <si>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</si>
  <si>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</si>
  <si>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</si>
  <si>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</si>
  <si>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</si>
  <si>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</si>
  <si>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</si>
  <si>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</si>
  <si>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</si>
  <si>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</si>
  <si>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</si>
  <si>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</si>
  <si>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</si>
  <si>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</si>
  <si>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</si>
  <si>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</si>
  <si>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</si>
  <si>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</si>
  <si>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</si>
  <si>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</si>
  <si>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</si>
  <si>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</si>
  <si>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</si>
  <si>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</si>
  <si>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</si>
  <si>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</si>
  <si>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</si>
  <si>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</si>
  <si>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</si>
  <si>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</si>
  <si>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</si>
  <si>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</si>
  <si>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</si>
  <si>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</si>
  <si>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</si>
  <si>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</si>
  <si>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</si>
  <si>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</si>
  <si>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</si>
  <si>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</si>
  <si>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</si>
  <si>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</si>
  <si>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</si>
  <si>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</si>
  <si>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</si>
  <si>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</si>
  <si>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</si>
  <si>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</si>
  <si>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</si>
  <si>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</si>
  <si>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</si>
  <si>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</si>
  <si>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</si>
  <si>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</si>
  <si>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</si>
  <si>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</si>
  <si>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</si>
  <si>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</si>
  <si>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</si>
  <si>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</si>
  <si>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</si>
  <si>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</si>
  <si>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</si>
  <si>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</si>
  <si>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</si>
  <si>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</si>
  <si>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</si>
  <si>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</si>
  <si>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</si>
  <si>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</si>
  <si>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</si>
  <si>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</si>
  <si>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</si>
  <si>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</si>
  <si>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</si>
  <si>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</si>
  <si>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</si>
  <si>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</si>
  <si>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</si>
  <si>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</si>
  <si>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</si>
  <si>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</si>
  <si>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</si>
  <si>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</si>
  <si>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</si>
  <si>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</si>
  <si>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</si>
  <si>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</si>
  <si>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</si>
  <si>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</si>
  <si>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</si>
  <si>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</si>
  <si>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</si>
  <si>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</si>
  <si>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</si>
  <si>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</si>
  <si>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</si>
  <si>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</si>
  <si>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</si>
  <si>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</si>
  <si>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</si>
  <si>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</si>
  <si>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</si>
  <si>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</si>
  <si>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</si>
  <si>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</si>
  <si>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</si>
  <si>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</si>
  <si>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</si>
  <si>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</si>
  <si>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</si>
  <si>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</si>
  <si>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</si>
  <si>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</si>
  <si>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</si>
  <si>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</si>
  <si>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</si>
  <si>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</si>
  <si>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</si>
  <si>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</si>
  <si>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</si>
  <si>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</si>
  <si>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</si>
  <si>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</si>
  <si>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</si>
  <si>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</si>
  <si>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</si>
  <si>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</si>
  <si>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</si>
  <si>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</si>
  <si>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</si>
  <si>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</si>
  <si>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</si>
  <si>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</si>
  <si>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</si>
  <si>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</si>
  <si>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</si>
  <si>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</si>
  <si>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</si>
  <si>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</si>
  <si>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</si>
  <si>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</si>
  <si>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</si>
  <si>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</si>
  <si>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</si>
  <si>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</si>
  <si>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</si>
  <si>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</si>
  <si>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</si>
  <si>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</si>
  <si>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</si>
  <si>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</si>
  <si>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</si>
  <si>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</si>
  <si>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</si>
  <si>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</si>
  <si>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</si>
  <si>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</si>
  <si>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</si>
  <si>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</si>
  <si>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</si>
  <si>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</si>
  <si>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</si>
  <si>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</si>
  <si>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</si>
  <si>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</si>
  <si>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</si>
  <si>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</si>
  <si>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</si>
  <si>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</si>
  <si>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</si>
  <si>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</si>
  <si>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</si>
  <si>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</si>
  <si>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</si>
  <si>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</si>
  <si>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</si>
  <si>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</si>
  <si>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</si>
  <si>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</si>
  <si>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</si>
  <si>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</si>
  <si>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</si>
  <si>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</si>
  <si>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</si>
  <si>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</si>
  <si>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</si>
  <si>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</si>
  <si>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</si>
  <si>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</si>
  <si>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</si>
  <si>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</si>
  <si>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</si>
  <si>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</si>
  <si>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</si>
  <si>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</si>
  <si>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</si>
  <si>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</si>
  <si>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</si>
  <si>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</si>
  <si>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</si>
  <si>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</si>
  <si>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</si>
  <si>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</si>
  <si>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</si>
  <si>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</si>
  <si>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</si>
  <si>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</si>
  <si>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</si>
  <si>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</si>
  <si>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</si>
  <si>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</si>
  <si>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</si>
  <si>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</si>
  <si>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</si>
  <si>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</si>
  <si>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</si>
  <si>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</si>
  <si>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</si>
  <si>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</si>
  <si>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</si>
  <si>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</si>
  <si>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</si>
  <si>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</si>
  <si>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</si>
  <si>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</si>
  <si>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</si>
  <si>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</si>
  <si>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</si>
  <si>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</si>
  <si>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</si>
  <si>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</si>
  <si>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</si>
  <si>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</si>
  <si>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</si>
  <si>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</si>
  <si>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</si>
  <si>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</si>
  <si>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</si>
  <si>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</si>
  <si>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</si>
  <si>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</si>
  <si>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</si>
  <si>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</si>
  <si>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</si>
  <si>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</si>
  <si>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</si>
  <si>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</si>
  <si>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</si>
  <si>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</si>
  <si>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</si>
  <si>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</si>
  <si>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</si>
  <si>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</si>
  <si>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</si>
  <si>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</si>
  <si>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</si>
  <si>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</si>
  <si>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</si>
  <si>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</si>
  <si>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</si>
  <si>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</si>
  <si>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</si>
  <si>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</si>
  <si>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</si>
  <si>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</si>
  <si>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</si>
  <si>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</si>
  <si>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</si>
  <si>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</si>
  <si>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</si>
  <si>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</si>
  <si>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</si>
  <si>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</si>
  <si>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</si>
  <si>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</si>
  <si>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</si>
  <si>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</si>
  <si>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</si>
  <si>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</si>
  <si>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</si>
  <si>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</si>
  <si>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</si>
  <si>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</si>
  <si>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</si>
  <si>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</si>
  <si>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</si>
  <si>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</si>
  <si>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</si>
  <si>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</si>
  <si>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</si>
  <si>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</si>
  <si>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</si>
  <si>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</si>
  <si>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</si>
  <si>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</si>
  <si>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</si>
  <si>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</si>
  <si>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</si>
  <si>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</si>
  <si>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</si>
  <si>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</si>
  <si>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</si>
  <si>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</si>
  <si>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</si>
  <si>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</si>
  <si>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</si>
  <si>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</si>
  <si>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</si>
  <si>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</si>
  <si>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</si>
  <si>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</si>
  <si>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</si>
  <si>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</si>
  <si>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</si>
  <si>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</si>
  <si>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</si>
  <si>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</si>
  <si>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</si>
  <si>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</si>
  <si>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</si>
  <si>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</si>
  <si>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</si>
  <si>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</si>
  <si>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</si>
  <si>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</si>
  <si>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</si>
  <si>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</si>
  <si>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</si>
  <si>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</si>
  <si>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</si>
  <si>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</si>
  <si>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</si>
  <si>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</si>
  <si>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</si>
  <si>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</si>
  <si>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</si>
  <si>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</si>
  <si>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</si>
  <si>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</si>
  <si>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</si>
  <si>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</si>
  <si>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</si>
  <si>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</si>
  <si>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</si>
  <si>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</si>
  <si>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</si>
  <si>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AL - Q4</t>
  </si>
  <si>
    <t>Hoàn vốn AL - Q11</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</si>
  <si>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</si>
  <si>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</si>
  <si>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</si>
  <si>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</si>
  <si>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</si>
  <si>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</si>
  <si>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</si>
  <si>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</si>
  <si>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</si>
  <si>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</si>
  <si>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</si>
  <si>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</si>
  <si>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</si>
  <si>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</si>
  <si>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</si>
  <si>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</si>
  <si>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</si>
  <si>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</si>
  <si>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</si>
  <si>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C51</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</si>
  <si>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</si>
  <si>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</si>
  <si>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</si>
  <si>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</si>
  <si>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</si>
  <si>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</si>
  <si>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</si>
  <si>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</si>
  <si>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</si>
  <si>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</si>
  <si>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</si>
  <si>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</si>
  <si>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</si>
  <si>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</si>
  <si>
    <t>Hoàn trả vốn mượn</t>
  </si>
  <si>
    <t>Nộp tiển mặt vào tài khoản</t>
  </si>
  <si>
    <t>Rút tiền mặt</t>
  </si>
  <si>
    <t>Phí thuê đất từ 08/03/16 đến 31/12/16</t>
  </si>
  <si>
    <t>Thanh toán tiền điện kỳ 1&amp;2 tháng 6</t>
  </si>
  <si>
    <t>C53</t>
  </si>
  <si>
    <t>C54</t>
  </si>
  <si>
    <t xml:space="preserve"> Tiền gửi Ngoại Tệ </t>
  </si>
  <si>
    <t>Tiền điện kỳ 1 T7/2016</t>
  </si>
  <si>
    <t>VAT Tiền điện kỳ 1 T7/2016</t>
  </si>
  <si>
    <t>0188505</t>
  </si>
  <si>
    <t>Tiền điện kỳ 2 T7/2016</t>
  </si>
  <si>
    <t>VAT Tiền điện kỳ 2 T7/2016</t>
  </si>
  <si>
    <t>0206945</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</si>
</sst>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1">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164" fontId="51" fillId="0" borderId="16" xfId="76" quotePrefix="1" applyNumberFormat="1" applyFont="1" applyFill="1" applyBorder="1" applyAlignment="1">
      <alignment horizontal="center" vertical="center" wrapText="1"/>
    </xf>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64" fontId="35" fillId="25" borderId="0" xfId="29" applyNumberFormat="1" applyFont="1" applyFill="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65"/>
  <sheetViews>
    <sheetView tabSelected="1" topLeftCell="A8" workbookViewId="0">
      <pane ySplit="2" topLeftCell="A28" activePane="bottomLeft" state="frozen"/>
      <selection activeCell="A8" sqref="A8"/>
      <selection pane="bottomLeft" activeCell="A17" sqref="A17:H17"/>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102" t="s">
        <v>213</v>
      </c>
      <c r="B1" s="31"/>
    </row>
    <row r="2" spans="1:12">
      <c r="A2" s="113" t="s">
        <v>214</v>
      </c>
      <c r="B2" s="31"/>
    </row>
    <row r="3" spans="1:12">
      <c r="A3" s="31"/>
      <c r="B3" s="31"/>
    </row>
    <row r="5" spans="1:12" ht="19.5">
      <c r="A5" s="1050" t="s">
        <v>90</v>
      </c>
      <c r="B5" s="34"/>
      <c r="C5" s="35"/>
      <c r="D5" s="35"/>
      <c r="E5" s="34"/>
      <c r="F5" s="34"/>
      <c r="G5" s="34"/>
      <c r="H5" s="34"/>
    </row>
    <row r="6" spans="1:12" ht="19.5">
      <c r="A6" s="36" t="s">
        <v>965</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4472000000</v>
      </c>
      <c r="F10" s="43">
        <f t="array" ref="F10">SUM(IF(A10=KHC,TH))</f>
        <v>5140022996</v>
      </c>
      <c r="G10" s="44">
        <f>MAX(C10+E10-D10-F10,0)</f>
        <v>674142414</v>
      </c>
      <c r="H10" s="44">
        <f>MAX(D10+F10-E10-C10,0)</f>
        <v>0</v>
      </c>
      <c r="K10" s="45"/>
      <c r="L10" s="45"/>
    </row>
    <row r="11" spans="1:12" s="32" customFormat="1">
      <c r="A11" s="46" t="s">
        <v>21</v>
      </c>
      <c r="B11" s="47" t="s">
        <v>100</v>
      </c>
      <c r="C11" s="48">
        <v>1342165410</v>
      </c>
      <c r="D11" s="48">
        <v>0</v>
      </c>
      <c r="E11" s="48">
        <f>E10</f>
        <v>4472000000</v>
      </c>
      <c r="F11" s="48">
        <f>F10</f>
        <v>5140022996</v>
      </c>
      <c r="G11" s="48">
        <f>G10</f>
        <v>674142414</v>
      </c>
      <c r="H11" s="48">
        <f>H10</f>
        <v>0</v>
      </c>
    </row>
    <row r="12" spans="1:12" s="32" customFormat="1">
      <c r="A12" s="49" t="s">
        <v>31</v>
      </c>
      <c r="B12" s="42" t="s">
        <v>101</v>
      </c>
      <c r="C12" s="43">
        <v>1694774692</v>
      </c>
      <c r="D12" s="43">
        <v>0</v>
      </c>
      <c r="E12" s="43">
        <f t="array" ref="E12">SUM(IF(A12=KHN,TH))</f>
        <v>6620715947</v>
      </c>
      <c r="F12" s="43">
        <f t="array" ref="F12">SUM(IF(A12=KHC,TH))</f>
        <v>8313972335</v>
      </c>
      <c r="G12" s="44">
        <f>MAX(C12+E12-D12-F12,0)</f>
        <v>1518304</v>
      </c>
      <c r="H12" s="44">
        <f>MAX(D12+F12-E12-C12,0)</f>
        <v>0</v>
      </c>
      <c r="K12" s="45"/>
      <c r="L12" s="45"/>
    </row>
    <row r="13" spans="1:12" s="32" customFormat="1">
      <c r="A13" s="49" t="s">
        <v>463</v>
      </c>
      <c r="B13" s="42" t="s">
        <v>1020</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8583555947</v>
      </c>
      <c r="F14" s="48">
        <f t="shared" si="0"/>
        <v>10276812335</v>
      </c>
      <c r="G14" s="48">
        <f t="shared" si="0"/>
        <v>1518304</v>
      </c>
      <c r="H14" s="48">
        <f t="shared" si="0"/>
        <v>0</v>
      </c>
    </row>
    <row r="15" spans="1:12" s="32" customFormat="1">
      <c r="A15" s="46" t="s">
        <v>782</v>
      </c>
      <c r="B15" s="47" t="s">
        <v>783</v>
      </c>
      <c r="C15" s="48"/>
      <c r="D15" s="48">
        <v>0</v>
      </c>
      <c r="E15" s="88">
        <f t="array" ref="E15">SUM(IF(A15=KHN,TH))</f>
        <v>0</v>
      </c>
      <c r="F15" s="88">
        <f t="array" ref="F15">SUM(IF(A15=KHC,TH))</f>
        <v>0</v>
      </c>
      <c r="G15" s="48">
        <f>MAX(C15+E15-D15-F15,0)</f>
        <v>0</v>
      </c>
      <c r="H15" s="48">
        <f>MAX(D15+F15-E15-C15,0)</f>
        <v>0</v>
      </c>
    </row>
    <row r="16" spans="1:12" s="32" customFormat="1">
      <c r="A16" s="49" t="s">
        <v>10</v>
      </c>
      <c r="B16" s="42" t="s">
        <v>104</v>
      </c>
      <c r="C16" s="43"/>
      <c r="D16" s="43">
        <v>0</v>
      </c>
      <c r="E16" s="43">
        <f t="array" ref="E16">SUM(IF(A16=KHN,TH))</f>
        <v>67641699</v>
      </c>
      <c r="F16" s="43">
        <f t="array" ref="F16">SUM(IF(A16=KHC,TH))</f>
        <v>0</v>
      </c>
      <c r="G16" s="44">
        <f>MAX(C16+E16-D16-F16,0)</f>
        <v>67641699</v>
      </c>
      <c r="H16" s="44">
        <f>MAX(D16+F16-E16-C16,0)</f>
        <v>0</v>
      </c>
    </row>
    <row r="17" spans="1:8" s="32" customFormat="1">
      <c r="A17" s="41" t="s">
        <v>993</v>
      </c>
      <c r="B17" s="42" t="s">
        <v>996</v>
      </c>
      <c r="C17" s="43">
        <v>452614594</v>
      </c>
      <c r="D17" s="43">
        <v>0</v>
      </c>
      <c r="E17" s="43">
        <f t="array" ref="E17">SUM(IF(A17=KHN,TH))</f>
        <v>766939453</v>
      </c>
      <c r="F17" s="43">
        <f t="array" ref="F17">SUM(IF(A17=KHC,TH))</f>
        <v>1219554047</v>
      </c>
      <c r="G17" s="44">
        <f>MAX(C17+E17-D17-F17,0)</f>
        <v>0</v>
      </c>
      <c r="H17" s="44">
        <f>MAX(D17+F17-E17-C17,0)</f>
        <v>0</v>
      </c>
    </row>
    <row r="18" spans="1:8" s="32" customFormat="1">
      <c r="A18" s="46" t="s">
        <v>105</v>
      </c>
      <c r="B18" s="47" t="s">
        <v>106</v>
      </c>
      <c r="C18" s="48">
        <f>C16+C17</f>
        <v>452614594</v>
      </c>
      <c r="D18" s="48">
        <f t="shared" ref="D18:H18" si="1">D16+D17</f>
        <v>0</v>
      </c>
      <c r="E18" s="48">
        <f t="shared" si="1"/>
        <v>834581152</v>
      </c>
      <c r="F18" s="48">
        <f t="shared" si="1"/>
        <v>1219554047</v>
      </c>
      <c r="G18" s="48">
        <f t="shared" si="1"/>
        <v>67641699</v>
      </c>
      <c r="H18" s="48">
        <f t="shared" si="1"/>
        <v>0</v>
      </c>
    </row>
    <row r="19" spans="1:8" s="32" customFormat="1">
      <c r="A19" s="49" t="s">
        <v>107</v>
      </c>
      <c r="B19" s="42" t="s">
        <v>108</v>
      </c>
      <c r="C19" s="43">
        <v>0</v>
      </c>
      <c r="D19" s="43">
        <v>0</v>
      </c>
      <c r="E19" s="43">
        <f t="array" ref="E19">SUM(IF(A19=KHN,TH))</f>
        <v>3624554047</v>
      </c>
      <c r="F19" s="43">
        <f t="array" ref="F19">SUM(IF(A19=KHC,TH))</f>
        <v>2405000000</v>
      </c>
      <c r="G19" s="44">
        <f t="shared" ref="G19:G36" si="2">MAX(C19+E19-D19-F19,0)</f>
        <v>1219554047</v>
      </c>
      <c r="H19" s="44">
        <f t="shared" ref="H19:H36" si="3">MAX(D19+F19-E19-C19,0)</f>
        <v>0</v>
      </c>
    </row>
    <row r="20" spans="1:8" s="32" customFormat="1">
      <c r="A20" s="46" t="s">
        <v>109</v>
      </c>
      <c r="B20" s="47" t="s">
        <v>110</v>
      </c>
      <c r="C20" s="48">
        <v>0</v>
      </c>
      <c r="D20" s="48">
        <v>0</v>
      </c>
      <c r="E20" s="48">
        <f>E19</f>
        <v>3624554047</v>
      </c>
      <c r="F20" s="48">
        <f>F19</f>
        <v>2405000000</v>
      </c>
      <c r="G20" s="48">
        <f t="shared" si="2"/>
        <v>1219554047</v>
      </c>
      <c r="H20" s="48">
        <f t="shared" si="3"/>
        <v>0</v>
      </c>
    </row>
    <row r="21" spans="1:8" s="32" customFormat="1">
      <c r="A21" s="46" t="s">
        <v>468</v>
      </c>
      <c r="B21" s="47" t="s">
        <v>469</v>
      </c>
      <c r="C21" s="48"/>
      <c r="D21" s="48">
        <v>0</v>
      </c>
      <c r="E21" s="88">
        <f t="array" ref="E21">SUM(IF(A21=KHN,TH))</f>
        <v>0</v>
      </c>
      <c r="F21" s="88">
        <f t="array" ref="F21">SUM(IF(A21=KHC,TH))</f>
        <v>0</v>
      </c>
      <c r="G21" s="48">
        <f t="shared" si="2"/>
        <v>0</v>
      </c>
      <c r="H21" s="48">
        <f t="shared" si="3"/>
        <v>0</v>
      </c>
    </row>
    <row r="22" spans="1:8" s="32" customFormat="1">
      <c r="A22" s="49" t="s">
        <v>470</v>
      </c>
      <c r="B22" s="42" t="s">
        <v>471</v>
      </c>
      <c r="C22" s="43"/>
      <c r="D22" s="43">
        <v>0</v>
      </c>
      <c r="E22" s="43">
        <f t="array" ref="E22">SUM(IF(A22=KHN,TH))</f>
        <v>0</v>
      </c>
      <c r="F22" s="43">
        <f t="array" ref="F22">SUM(IF(A22=KHC,TH))</f>
        <v>0</v>
      </c>
      <c r="G22" s="44">
        <f t="shared" si="2"/>
        <v>0</v>
      </c>
      <c r="H22" s="44">
        <f t="shared" si="3"/>
        <v>0</v>
      </c>
    </row>
    <row r="23" spans="1:8" s="32" customFormat="1">
      <c r="A23" s="49" t="s">
        <v>472</v>
      </c>
      <c r="B23" s="42" t="s">
        <v>473</v>
      </c>
      <c r="C23" s="43"/>
      <c r="D23" s="43">
        <v>0</v>
      </c>
      <c r="E23" s="43">
        <f t="array" ref="E23">SUM(IF(A23=KHN,TH))</f>
        <v>37200000</v>
      </c>
      <c r="F23" s="43">
        <f t="array" ref="F23">SUM(IF(A23=KHC,TH))</f>
        <v>0</v>
      </c>
      <c r="G23" s="43">
        <f t="shared" si="2"/>
        <v>37200000</v>
      </c>
      <c r="H23" s="43">
        <f t="shared" si="3"/>
        <v>0</v>
      </c>
    </row>
    <row r="24" spans="1:8" s="32" customFormat="1">
      <c r="A24" s="46" t="s">
        <v>474</v>
      </c>
      <c r="B24" s="47" t="s">
        <v>475</v>
      </c>
      <c r="C24" s="48"/>
      <c r="D24" s="48">
        <v>0</v>
      </c>
      <c r="E24" s="48">
        <f>E22+E23</f>
        <v>37200000</v>
      </c>
      <c r="F24" s="48">
        <f>F22+F23</f>
        <v>0</v>
      </c>
      <c r="G24" s="48">
        <f t="shared" si="2"/>
        <v>37200000</v>
      </c>
      <c r="H24" s="48">
        <f t="shared" si="3"/>
        <v>0</v>
      </c>
    </row>
    <row r="25" spans="1:8" s="32" customFormat="1">
      <c r="A25" s="46" t="s">
        <v>476</v>
      </c>
      <c r="B25" s="47" t="s">
        <v>477</v>
      </c>
      <c r="C25" s="48"/>
      <c r="D25" s="48">
        <v>0</v>
      </c>
      <c r="E25" s="88">
        <f t="array" ref="E25">SUM(IF(A25=KHN,TH))</f>
        <v>0</v>
      </c>
      <c r="F25" s="88">
        <f t="array" ref="F25">SUM(IF(A25=KHC,TH))</f>
        <v>0</v>
      </c>
      <c r="G25" s="48">
        <f t="shared" si="2"/>
        <v>0</v>
      </c>
      <c r="H25" s="48">
        <f t="shared" si="3"/>
        <v>0</v>
      </c>
    </row>
    <row r="26" spans="1:8" s="32" customFormat="1">
      <c r="A26" s="46" t="s">
        <v>478</v>
      </c>
      <c r="B26" s="47" t="s">
        <v>479</v>
      </c>
      <c r="C26" s="48"/>
      <c r="D26" s="48">
        <v>0</v>
      </c>
      <c r="E26" s="88">
        <f t="array" ref="E26">SUM(IF(A26=KHN,TH))</f>
        <v>0</v>
      </c>
      <c r="F26" s="88">
        <f t="array" ref="F26">SUM(IF(A26=KHC,TH))</f>
        <v>0</v>
      </c>
      <c r="G26" s="48">
        <f t="shared" si="2"/>
        <v>0</v>
      </c>
      <c r="H26" s="48">
        <f t="shared" si="3"/>
        <v>0</v>
      </c>
    </row>
    <row r="27" spans="1:8" s="32" customFormat="1">
      <c r="A27" s="46" t="s">
        <v>480</v>
      </c>
      <c r="B27" s="47" t="s">
        <v>481</v>
      </c>
      <c r="C27" s="48"/>
      <c r="D27" s="48">
        <v>0</v>
      </c>
      <c r="E27" s="88">
        <f t="array" ref="E27">SUM(IF(A27=KHN,TH))</f>
        <v>0</v>
      </c>
      <c r="F27" s="88">
        <f t="array" ref="F27">SUM(IF(A27=KHC,TH))</f>
        <v>0</v>
      </c>
      <c r="G27" s="48">
        <f t="shared" si="2"/>
        <v>0</v>
      </c>
      <c r="H27" s="48">
        <f t="shared" si="3"/>
        <v>0</v>
      </c>
    </row>
    <row r="28" spans="1:8" s="32" customFormat="1">
      <c r="A28" s="526" t="s">
        <v>482</v>
      </c>
      <c r="B28" s="527" t="s">
        <v>483</v>
      </c>
      <c r="C28" s="528"/>
      <c r="D28" s="528">
        <v>0</v>
      </c>
      <c r="E28" s="43">
        <f t="array" ref="E28">SUM(IF(A28=KHN,TH))</f>
        <v>0</v>
      </c>
      <c r="F28" s="43">
        <f t="array" ref="F28">SUM(IF(A28=KHC,TH))</f>
        <v>0</v>
      </c>
      <c r="G28" s="528">
        <f t="shared" si="2"/>
        <v>0</v>
      </c>
      <c r="H28" s="528">
        <f t="shared" si="3"/>
        <v>0</v>
      </c>
    </row>
    <row r="29" spans="1:8" s="32" customFormat="1">
      <c r="A29" s="529" t="s">
        <v>484</v>
      </c>
      <c r="B29" s="530" t="s">
        <v>485</v>
      </c>
      <c r="C29" s="531"/>
      <c r="D29" s="531">
        <v>0</v>
      </c>
      <c r="E29" s="43">
        <f t="array" ref="E29">SUM(IF(A29=KHN,TH))</f>
        <v>0</v>
      </c>
      <c r="F29" s="43">
        <f t="array" ref="F29">SUM(IF(A29=KHC,TH))</f>
        <v>0</v>
      </c>
      <c r="G29" s="531">
        <f t="shared" si="2"/>
        <v>0</v>
      </c>
      <c r="H29" s="531">
        <f t="shared" si="3"/>
        <v>0</v>
      </c>
    </row>
    <row r="30" spans="1:8" s="32" customFormat="1">
      <c r="A30" s="529" t="s">
        <v>486</v>
      </c>
      <c r="B30" s="530" t="s">
        <v>487</v>
      </c>
      <c r="C30" s="531"/>
      <c r="D30" s="531">
        <v>0</v>
      </c>
      <c r="E30" s="43">
        <f t="array" ref="E30">SUM(IF(A30=KHN,TH))</f>
        <v>0</v>
      </c>
      <c r="F30" s="43">
        <f t="array" ref="F30">SUM(IF(A30=KHC,TH))</f>
        <v>0</v>
      </c>
      <c r="G30" s="531">
        <f t="shared" si="2"/>
        <v>0</v>
      </c>
      <c r="H30" s="531">
        <f t="shared" si="3"/>
        <v>0</v>
      </c>
    </row>
    <row r="31" spans="1:8" s="32" customFormat="1">
      <c r="A31" s="46" t="s">
        <v>488</v>
      </c>
      <c r="B31" s="47" t="s">
        <v>489</v>
      </c>
      <c r="C31" s="48"/>
      <c r="D31" s="48">
        <v>0</v>
      </c>
      <c r="E31" s="48">
        <f>SUM(E28:E30)</f>
        <v>0</v>
      </c>
      <c r="F31" s="48">
        <f>SUM(F28:F30)</f>
        <v>0</v>
      </c>
      <c r="G31" s="48">
        <f>SUM(G28:G30)</f>
        <v>0</v>
      </c>
      <c r="H31" s="48">
        <f>SUM(H28:H30)</f>
        <v>0</v>
      </c>
    </row>
    <row r="32" spans="1:8" s="32" customFormat="1">
      <c r="A32" s="41" t="s">
        <v>243</v>
      </c>
      <c r="B32" s="42" t="s">
        <v>244</v>
      </c>
      <c r="C32" s="43">
        <v>22599987302</v>
      </c>
      <c r="D32" s="43">
        <v>0</v>
      </c>
      <c r="E32" s="43">
        <f t="array" ref="E32">SUM(IF(A32=KHN,TH))</f>
        <v>8748192551</v>
      </c>
      <c r="F32" s="43">
        <f t="array" ref="F32">SUM(IF(A32=KHC,TH))</f>
        <v>0</v>
      </c>
      <c r="G32" s="44">
        <f t="shared" si="2"/>
        <v>31348179853</v>
      </c>
      <c r="H32" s="44">
        <f t="shared" si="3"/>
        <v>0</v>
      </c>
    </row>
    <row r="33" spans="1:9" s="32" customFormat="1">
      <c r="A33" s="50" t="s">
        <v>320</v>
      </c>
      <c r="B33" s="47" t="s">
        <v>245</v>
      </c>
      <c r="C33" s="48">
        <v>22599987302</v>
      </c>
      <c r="D33" s="48">
        <v>0</v>
      </c>
      <c r="E33" s="48">
        <f>E32</f>
        <v>8748192551</v>
      </c>
      <c r="F33" s="48">
        <f>F32</f>
        <v>0</v>
      </c>
      <c r="G33" s="48">
        <f t="shared" si="2"/>
        <v>31348179853</v>
      </c>
      <c r="H33" s="48">
        <f t="shared" si="3"/>
        <v>0</v>
      </c>
    </row>
    <row r="34" spans="1:9" s="32" customFormat="1">
      <c r="A34" s="46" t="s">
        <v>9</v>
      </c>
      <c r="B34" s="47" t="s">
        <v>111</v>
      </c>
      <c r="C34" s="48">
        <v>4310031764</v>
      </c>
      <c r="D34" s="48">
        <v>0</v>
      </c>
      <c r="E34" s="88">
        <f t="array" ref="E34">SUM(IF(A34=KHN,TH))</f>
        <v>2854957314</v>
      </c>
      <c r="F34" s="88">
        <f t="array" ref="F34">SUM(IF(A34=KHC,TH))</f>
        <v>8784611899</v>
      </c>
      <c r="G34" s="48">
        <f t="shared" si="2"/>
        <v>0</v>
      </c>
      <c r="H34" s="48">
        <f t="shared" si="3"/>
        <v>1619622821</v>
      </c>
    </row>
    <row r="35" spans="1:9" s="32" customFormat="1">
      <c r="A35" s="49" t="s">
        <v>112</v>
      </c>
      <c r="B35" s="42" t="s">
        <v>113</v>
      </c>
      <c r="C35" s="43">
        <v>0</v>
      </c>
      <c r="D35" s="43">
        <v>0</v>
      </c>
      <c r="E35" s="43">
        <f t="array" ref="E35">SUM(IF(A35=KHN,TH))</f>
        <v>0</v>
      </c>
      <c r="F35" s="43">
        <f t="array" ref="F35">SUM(IF(A35=KHC,TH))</f>
        <v>0</v>
      </c>
      <c r="G35" s="43">
        <f t="shared" si="2"/>
        <v>0</v>
      </c>
      <c r="H35" s="43">
        <f t="shared" si="3"/>
        <v>0</v>
      </c>
      <c r="I35" s="32">
        <f>E35-F35</f>
        <v>0</v>
      </c>
    </row>
    <row r="36" spans="1:9" s="32" customFormat="1">
      <c r="A36" s="52" t="s">
        <v>114</v>
      </c>
      <c r="B36" s="53" t="s">
        <v>115</v>
      </c>
      <c r="C36" s="51">
        <v>0</v>
      </c>
      <c r="D36" s="51">
        <v>0</v>
      </c>
      <c r="E36" s="51">
        <f t="array" ref="E36">SUM(IF(A36=KHN,TH))</f>
        <v>1500000</v>
      </c>
      <c r="F36" s="51">
        <f t="array" ref="F36">SUM(IF(A36=KHC,TH))</f>
        <v>1500000</v>
      </c>
      <c r="G36" s="51">
        <f t="shared" si="2"/>
        <v>0</v>
      </c>
      <c r="H36" s="51">
        <f t="shared" si="3"/>
        <v>0</v>
      </c>
      <c r="I36" s="32">
        <f>E36-F36</f>
        <v>0</v>
      </c>
    </row>
    <row r="37" spans="1:9" s="32" customFormat="1">
      <c r="A37" s="49" t="s">
        <v>25</v>
      </c>
      <c r="B37" s="42" t="s">
        <v>116</v>
      </c>
      <c r="C37" s="43">
        <v>0</v>
      </c>
      <c r="D37" s="43">
        <v>0</v>
      </c>
      <c r="E37" s="43">
        <f>E36</f>
        <v>1500000</v>
      </c>
      <c r="F37" s="43">
        <f>F36</f>
        <v>1500000</v>
      </c>
      <c r="G37" s="43">
        <f>G36</f>
        <v>0</v>
      </c>
      <c r="H37" s="43">
        <f>H36</f>
        <v>0</v>
      </c>
      <c r="I37" s="32">
        <f>E37-F37</f>
        <v>0</v>
      </c>
    </row>
    <row r="38" spans="1:9" s="32" customFormat="1">
      <c r="A38" s="46" t="s">
        <v>117</v>
      </c>
      <c r="B38" s="47" t="s">
        <v>118</v>
      </c>
      <c r="C38" s="48">
        <v>0</v>
      </c>
      <c r="D38" s="48">
        <v>0</v>
      </c>
      <c r="E38" s="48">
        <f>E35+E37</f>
        <v>1500000</v>
      </c>
      <c r="F38" s="48">
        <f>F35+F37</f>
        <v>1500000</v>
      </c>
      <c r="G38" s="48">
        <f>G35+G37</f>
        <v>0</v>
      </c>
      <c r="H38" s="48">
        <f>H35+H37</f>
        <v>0</v>
      </c>
      <c r="I38" s="32">
        <f>E38-F38</f>
        <v>0</v>
      </c>
    </row>
    <row r="39" spans="1:9" s="32" customFormat="1">
      <c r="A39" s="49" t="s">
        <v>24</v>
      </c>
      <c r="B39" s="42" t="s">
        <v>119</v>
      </c>
      <c r="C39" s="43">
        <v>0</v>
      </c>
      <c r="D39" s="43">
        <v>5000000000</v>
      </c>
      <c r="E39" s="43">
        <f t="array" ref="E39">SUM(IF(A39=KHN,TH))</f>
        <v>0</v>
      </c>
      <c r="F39" s="43">
        <f t="array" ref="F39">SUM(IF(A39=KHC,TH))</f>
        <v>2000000000</v>
      </c>
      <c r="G39" s="43">
        <f>MAX(C39+E39-D39-F39,0)</f>
        <v>0</v>
      </c>
      <c r="H39" s="43">
        <f>MAX(D39+F39-E39-C39,0)</f>
        <v>7000000000</v>
      </c>
    </row>
    <row r="40" spans="1:9" s="32" customFormat="1">
      <c r="A40" s="46" t="s">
        <v>120</v>
      </c>
      <c r="B40" s="47" t="s">
        <v>121</v>
      </c>
      <c r="C40" s="48">
        <v>0</v>
      </c>
      <c r="D40" s="48">
        <v>5000000000</v>
      </c>
      <c r="E40" s="48">
        <f>E39</f>
        <v>0</v>
      </c>
      <c r="F40" s="48">
        <f>F39</f>
        <v>2000000000</v>
      </c>
      <c r="G40" s="48">
        <f>G39</f>
        <v>0</v>
      </c>
      <c r="H40" s="48">
        <f>H39</f>
        <v>7000000000</v>
      </c>
    </row>
    <row r="41" spans="1:9" s="32" customFormat="1">
      <c r="A41" s="41" t="s">
        <v>122</v>
      </c>
      <c r="B41" s="42" t="s">
        <v>452</v>
      </c>
      <c r="C41" s="44">
        <v>0</v>
      </c>
      <c r="D41" s="44">
        <v>20000000000</v>
      </c>
      <c r="E41" s="44">
        <f>SUM(IF(A41=KHN,TH))</f>
        <v>0</v>
      </c>
      <c r="F41" s="44">
        <f t="array" ref="F41">SUM(IF(A41=KHC,TH))</f>
        <v>0</v>
      </c>
      <c r="G41" s="44">
        <f>MAX(C41+E41-D41-F41,0)</f>
        <v>0</v>
      </c>
      <c r="H41" s="44">
        <f>MAX(D41+F41-E41-C41,0)</f>
        <v>20000000000</v>
      </c>
    </row>
    <row r="42" spans="1:9" s="32" customFormat="1">
      <c r="A42" s="41" t="s">
        <v>451</v>
      </c>
      <c r="B42" s="42" t="s">
        <v>453</v>
      </c>
      <c r="C42" s="43">
        <v>0</v>
      </c>
      <c r="D42" s="43">
        <v>1982640000</v>
      </c>
      <c r="E42" s="43">
        <f t="array" ref="E42">SUM(IF(A42=KHN,TH))</f>
        <v>1982640000</v>
      </c>
      <c r="F42" s="43">
        <f t="array" ref="F42">SUM(IF(A42=KHC,TH))</f>
        <v>1961520000</v>
      </c>
      <c r="G42" s="43">
        <f>MAX(C42+E42-D42-F42,0)</f>
        <v>0</v>
      </c>
      <c r="H42" s="43">
        <f>MAX(D42+F42-E42-C42,0)</f>
        <v>1961520000</v>
      </c>
    </row>
    <row r="43" spans="1:9" s="32" customFormat="1">
      <c r="A43" s="50" t="s">
        <v>57</v>
      </c>
      <c r="B43" s="47" t="s">
        <v>123</v>
      </c>
      <c r="C43" s="48">
        <f t="shared" ref="C43:H43" si="4">SUM(C41:C42)</f>
        <v>0</v>
      </c>
      <c r="D43" s="48">
        <f t="shared" si="4"/>
        <v>21982640000</v>
      </c>
      <c r="E43" s="48">
        <f t="shared" si="4"/>
        <v>1982640000</v>
      </c>
      <c r="F43" s="48">
        <f t="shared" si="4"/>
        <v>1961520000</v>
      </c>
      <c r="G43" s="48">
        <f t="shared" si="4"/>
        <v>0</v>
      </c>
      <c r="H43" s="48">
        <f t="shared" si="4"/>
        <v>21961520000</v>
      </c>
    </row>
    <row r="44" spans="1:9" s="32" customFormat="1">
      <c r="A44" s="49" t="s">
        <v>32</v>
      </c>
      <c r="B44" s="42" t="s">
        <v>124</v>
      </c>
      <c r="C44" s="43">
        <v>0</v>
      </c>
      <c r="D44" s="43">
        <v>4000000000</v>
      </c>
      <c r="E44" s="43">
        <f t="array" ref="E44">SUM(IF(A44=KHN,TH))</f>
        <v>0</v>
      </c>
      <c r="F44" s="43">
        <f t="array" ref="F44">SUM(IF(A44=KHC,TH))</f>
        <v>0</v>
      </c>
      <c r="G44" s="44">
        <f>MAX(C44+E44-D44-F44,0)</f>
        <v>0</v>
      </c>
      <c r="H44" s="44">
        <f>MAX(D44+F44-E44-C44,0)</f>
        <v>4000000000</v>
      </c>
    </row>
    <row r="45" spans="1:9" s="32" customFormat="1">
      <c r="A45" s="46" t="s">
        <v>125</v>
      </c>
      <c r="B45" s="47" t="s">
        <v>126</v>
      </c>
      <c r="C45" s="48">
        <v>0</v>
      </c>
      <c r="D45" s="48">
        <v>4000000000</v>
      </c>
      <c r="E45" s="48">
        <f>E44</f>
        <v>0</v>
      </c>
      <c r="F45" s="48">
        <f>F44</f>
        <v>0</v>
      </c>
      <c r="G45" s="48">
        <f>MAX(C45+E45-D45-F45,0)</f>
        <v>0</v>
      </c>
      <c r="H45" s="48">
        <f>MAX(D45+F45-E45-C45,0)</f>
        <v>4000000000</v>
      </c>
    </row>
    <row r="46" spans="1:9" s="32" customFormat="1">
      <c r="A46" s="41" t="s">
        <v>127</v>
      </c>
      <c r="B46" s="42" t="s">
        <v>128</v>
      </c>
      <c r="C46" s="43">
        <v>223589505</v>
      </c>
      <c r="D46" s="43">
        <v>0</v>
      </c>
      <c r="E46" s="43">
        <f t="array" ref="E46">SUM(IF(A46=KHN,TH))</f>
        <v>0</v>
      </c>
      <c r="F46" s="43">
        <f t="array" ref="F46">SUM(IF(A46=KHC,TH))</f>
        <v>223589505</v>
      </c>
      <c r="G46" s="44">
        <f>MAX(C46+E46-D46-F46,0)</f>
        <v>0</v>
      </c>
      <c r="H46" s="44">
        <f>MAX(D46+F46-E46-C46,0)</f>
        <v>0</v>
      </c>
    </row>
    <row r="47" spans="1:9" s="32" customFormat="1">
      <c r="A47" s="49" t="s">
        <v>129</v>
      </c>
      <c r="B47" s="42" t="s">
        <v>130</v>
      </c>
      <c r="C47" s="43">
        <v>359476733</v>
      </c>
      <c r="D47" s="43">
        <v>0</v>
      </c>
      <c r="E47" s="43">
        <f t="array" ref="E47">SUM(IF(A47=TH!$N$10:$N$813,TH!$M$10:$M$813))</f>
        <v>873429771</v>
      </c>
      <c r="F47" s="43">
        <f t="array" ref="F47">SUM(IF(A47=TH!$O$10:$O$813,TH!$M$10:$M$813))</f>
        <v>0</v>
      </c>
      <c r="G47" s="43">
        <f>MAX(C47+E47-D47-F47,0)</f>
        <v>1232906504</v>
      </c>
      <c r="H47" s="43">
        <f>MAX(D47+F47-E47-C47,0)</f>
        <v>0</v>
      </c>
    </row>
    <row r="48" spans="1:9" s="32" customFormat="1">
      <c r="A48" s="46" t="s">
        <v>131</v>
      </c>
      <c r="B48" s="47" t="s">
        <v>132</v>
      </c>
      <c r="C48" s="48">
        <v>583066238</v>
      </c>
      <c r="D48" s="48">
        <v>0</v>
      </c>
      <c r="E48" s="48">
        <f>E47+E46</f>
        <v>873429771</v>
      </c>
      <c r="F48" s="48">
        <f>F47+F46</f>
        <v>223589505</v>
      </c>
      <c r="G48" s="48">
        <f>G47+G46</f>
        <v>1232906504</v>
      </c>
      <c r="H48" s="48">
        <f>H47+H46</f>
        <v>0</v>
      </c>
    </row>
    <row r="49" spans="1:9" s="32" customFormat="1" ht="12.75" customHeight="1">
      <c r="A49" s="532" t="s">
        <v>492</v>
      </c>
      <c r="B49" s="533" t="s">
        <v>493</v>
      </c>
      <c r="C49" s="534"/>
      <c r="D49" s="534"/>
      <c r="E49" s="535">
        <f t="array" ref="E49">SUM(IF(A49=KHN,TH))</f>
        <v>0</v>
      </c>
      <c r="F49" s="535">
        <f t="array" ref="F49">SUM(IF(A49=KHC,TH))</f>
        <v>0</v>
      </c>
      <c r="G49" s="534"/>
      <c r="H49" s="534"/>
      <c r="I49" s="32">
        <f>E49-F49</f>
        <v>0</v>
      </c>
    </row>
    <row r="50" spans="1:9" s="32" customFormat="1">
      <c r="A50" s="532" t="s">
        <v>494</v>
      </c>
      <c r="B50" s="533" t="s">
        <v>495</v>
      </c>
      <c r="C50" s="534"/>
      <c r="D50" s="534"/>
      <c r="E50" s="535">
        <f t="array" ref="E50">SUM(IF(A50=KHN,TH))</f>
        <v>0</v>
      </c>
      <c r="F50" s="535">
        <f t="array" ref="F50">SUM(IF(A50=KHC,TH))</f>
        <v>0</v>
      </c>
      <c r="G50" s="534"/>
      <c r="H50" s="534"/>
      <c r="I50" s="32">
        <f>E50-F50</f>
        <v>0</v>
      </c>
    </row>
    <row r="51" spans="1:9" s="32" customFormat="1">
      <c r="A51" s="41" t="s">
        <v>496</v>
      </c>
      <c r="B51" s="42" t="s">
        <v>497</v>
      </c>
      <c r="C51" s="43"/>
      <c r="D51" s="43"/>
      <c r="E51" s="43">
        <f>E49+E50</f>
        <v>0</v>
      </c>
      <c r="F51" s="43">
        <f>F49+F50</f>
        <v>0</v>
      </c>
      <c r="G51" s="43"/>
      <c r="H51" s="43"/>
      <c r="I51" s="32">
        <f>E51-F51</f>
        <v>0</v>
      </c>
    </row>
    <row r="52" spans="1:9" s="32" customFormat="1">
      <c r="A52" s="46" t="s">
        <v>498</v>
      </c>
      <c r="B52" s="47" t="s">
        <v>499</v>
      </c>
      <c r="C52" s="48"/>
      <c r="D52" s="48"/>
      <c r="E52" s="48">
        <f>E51</f>
        <v>0</v>
      </c>
      <c r="F52" s="48">
        <f>F51</f>
        <v>0</v>
      </c>
      <c r="G52" s="48"/>
      <c r="H52" s="48"/>
      <c r="I52" s="32">
        <f>E52-F52</f>
        <v>0</v>
      </c>
    </row>
    <row r="53" spans="1:9" s="32" customFormat="1">
      <c r="A53" s="46" t="s">
        <v>59</v>
      </c>
      <c r="B53" s="47" t="s">
        <v>133</v>
      </c>
      <c r="C53" s="48"/>
      <c r="D53" s="48"/>
      <c r="E53" s="88">
        <f t="array" ref="E53">SUM(IF(A53=KHN,TH))</f>
        <v>19995947</v>
      </c>
      <c r="F53" s="88">
        <f t="array" ref="F53">SUM(IF(A53=KHC,TH))</f>
        <v>19995947</v>
      </c>
      <c r="G53" s="48"/>
      <c r="H53" s="48"/>
      <c r="I53" s="32">
        <f t="shared" ref="I53:I60" si="5">E53-F53</f>
        <v>0</v>
      </c>
    </row>
    <row r="54" spans="1:9" s="32" customFormat="1" ht="12.75" customHeight="1">
      <c r="A54" s="46" t="s">
        <v>490</v>
      </c>
      <c r="B54" s="47" t="s">
        <v>491</v>
      </c>
      <c r="C54" s="48"/>
      <c r="D54" s="48"/>
      <c r="E54" s="88">
        <f t="array" ref="E54">SUM(IF(A54=KHN,TH))</f>
        <v>0</v>
      </c>
      <c r="F54" s="88">
        <f t="array" ref="F54">SUM(IF(A54=KHC,TH))</f>
        <v>0</v>
      </c>
      <c r="G54" s="48"/>
      <c r="H54" s="48"/>
      <c r="I54" s="32">
        <f t="shared" si="5"/>
        <v>0</v>
      </c>
    </row>
    <row r="55" spans="1:9" s="32" customFormat="1" ht="12.75" customHeight="1">
      <c r="A55" s="46" t="s">
        <v>134</v>
      </c>
      <c r="B55" s="47" t="s">
        <v>135</v>
      </c>
      <c r="C55" s="48"/>
      <c r="D55" s="48"/>
      <c r="E55" s="88">
        <f t="array" ref="E55">SUM(IF(A55=KHN,TH))</f>
        <v>1005486220</v>
      </c>
      <c r="F55" s="88">
        <f t="array" ref="F55">SUM(IF(A55=KHC,TH))</f>
        <v>1005486220</v>
      </c>
      <c r="G55" s="48"/>
      <c r="H55" s="48"/>
      <c r="I55" s="32">
        <f t="shared" si="5"/>
        <v>0</v>
      </c>
    </row>
    <row r="56" spans="1:9" s="32" customFormat="1" ht="12.75" customHeight="1">
      <c r="A56" s="46" t="s">
        <v>136</v>
      </c>
      <c r="B56" s="47" t="s">
        <v>137</v>
      </c>
      <c r="C56" s="48"/>
      <c r="D56" s="48"/>
      <c r="E56" s="88">
        <f t="array" ref="E56">SUM(IF(A56=KHN,TH))</f>
        <v>669836213</v>
      </c>
      <c r="F56" s="88">
        <f t="array" ref="F56">SUM(IF(A56=KHC,TH))</f>
        <v>669836213</v>
      </c>
      <c r="G56" s="48"/>
      <c r="H56" s="48"/>
      <c r="I56" s="32">
        <f t="shared" si="5"/>
        <v>0</v>
      </c>
    </row>
    <row r="57" spans="1:9" s="32" customFormat="1" ht="12.75" customHeight="1">
      <c r="A57" s="50" t="s">
        <v>138</v>
      </c>
      <c r="B57" s="47" t="s">
        <v>139</v>
      </c>
      <c r="C57" s="48"/>
      <c r="D57" s="48"/>
      <c r="E57" s="88">
        <f t="array" ref="E57">SUM(IF(A57=KHN,TH))</f>
        <v>0</v>
      </c>
      <c r="F57" s="88">
        <f t="array" ref="F57">SUM(IF(A57=KHC,TH))</f>
        <v>0</v>
      </c>
      <c r="G57" s="48"/>
      <c r="H57" s="48"/>
      <c r="I57" s="32">
        <f t="shared" si="5"/>
        <v>0</v>
      </c>
    </row>
    <row r="58" spans="1:9" s="32" customFormat="1" ht="12.75" customHeight="1">
      <c r="A58" s="46" t="s">
        <v>140</v>
      </c>
      <c r="B58" s="47" t="s">
        <v>141</v>
      </c>
      <c r="C58" s="48"/>
      <c r="D58" s="48"/>
      <c r="E58" s="88">
        <f t="array" ref="E58">SUM(IF(A58=KHN,TH))</f>
        <v>0</v>
      </c>
      <c r="F58" s="88">
        <f t="array" ref="F58">SUM(IF(A58=KHC,TH))</f>
        <v>0</v>
      </c>
      <c r="G58" s="48"/>
      <c r="H58" s="48"/>
      <c r="I58" s="32">
        <f t="shared" si="5"/>
        <v>0</v>
      </c>
    </row>
    <row r="59" spans="1:9" s="32" customFormat="1" ht="12.75" customHeight="1">
      <c r="A59" s="50" t="s">
        <v>142</v>
      </c>
      <c r="B59" s="47" t="s">
        <v>143</v>
      </c>
      <c r="C59" s="48"/>
      <c r="D59" s="48"/>
      <c r="E59" s="88">
        <f t="array" ref="E59">SUM(IF(A59=KHN,TH))</f>
        <v>0</v>
      </c>
      <c r="F59" s="88">
        <f t="array" ref="F59">SUM(IF(A59=KHC,TH))</f>
        <v>0</v>
      </c>
      <c r="G59" s="48"/>
      <c r="H59" s="48"/>
      <c r="I59" s="32">
        <f t="shared" si="5"/>
        <v>0</v>
      </c>
    </row>
    <row r="60" spans="1:9" s="32" customFormat="1">
      <c r="A60" s="46" t="s">
        <v>144</v>
      </c>
      <c r="B60" s="47" t="s">
        <v>145</v>
      </c>
      <c r="C60" s="48"/>
      <c r="D60" s="48"/>
      <c r="E60" s="89">
        <f t="array" ref="E60">SUM(IF(A60=KHN,TH))</f>
        <v>669836213</v>
      </c>
      <c r="F60" s="89">
        <f t="array" ref="F60">SUM(IF(A60=TH!$O$10:$O$813,TH!$M$10:$M$813))</f>
        <v>669836213</v>
      </c>
      <c r="G60" s="48"/>
      <c r="H60" s="48"/>
      <c r="I60" s="32">
        <f t="shared" si="5"/>
        <v>0</v>
      </c>
    </row>
    <row r="61" spans="1:9" s="32" customFormat="1">
      <c r="A61" s="54" t="s">
        <v>146</v>
      </c>
      <c r="B61" s="54"/>
      <c r="C61" s="54">
        <f>C11+C14+C18+C15+C20+C21+C24+C25+C26+C27+C31+C33+C34+C38+C40+C43+C45+C48+C52+C53+C54+C55+C56+C57+C58+C59+C60</f>
        <v>30982640000</v>
      </c>
      <c r="D61" s="54">
        <f t="shared" ref="D61:H61" si="6">D11+D14+D18+D15+D20+D21+D24+D25+D26+D27+D31+D33+D34+D38+D40+D43+D45+D48+D52+D53+D54+D55+D56+D57+D58+D59+D60</f>
        <v>30982640000</v>
      </c>
      <c r="E61" s="54">
        <f>E11+E14+CDPS!E18+E15+E20+E21+E24+E25+E26+E27+E31+E33+E34+E38+E40+E43+E45+E48+E52+E53+E54+E55+E56+E57+E58+E59+E60</f>
        <v>34377765375</v>
      </c>
      <c r="F61" s="54">
        <f t="shared" si="6"/>
        <v>34377765375</v>
      </c>
      <c r="G61" s="54">
        <f t="shared" si="6"/>
        <v>34581142821</v>
      </c>
      <c r="H61" s="54">
        <f t="shared" si="6"/>
        <v>34581142821</v>
      </c>
    </row>
    <row r="62" spans="1:9">
      <c r="E62" s="55"/>
      <c r="F62" s="56"/>
    </row>
    <row r="63" spans="1:9">
      <c r="E63" s="56">
        <f>E61-F61</f>
        <v>0</v>
      </c>
      <c r="H63" s="56">
        <f>G61-H61</f>
        <v>0</v>
      </c>
    </row>
    <row r="64" spans="1:9">
      <c r="E64" s="57"/>
      <c r="F64" s="57"/>
    </row>
    <row r="65" spans="5:6">
      <c r="E65" s="57"/>
      <c r="F65"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filterMode="1">
    <tabColor theme="9" tint="-0.249977111117893"/>
  </sheetPr>
  <dimension ref="A1:AI817"/>
  <sheetViews>
    <sheetView topLeftCell="A7" workbookViewId="0">
      <pane xSplit="8" ySplit="3" topLeftCell="I160" activePane="bottomRight" state="frozen"/>
      <selection activeCell="A7" sqref="A7"/>
      <selection pane="topRight" activeCell="I7" sqref="I7"/>
      <selection pane="bottomLeft" activeCell="A10" sqref="A10"/>
      <selection pane="bottomRight" activeCell="A230" sqref="A230:XFD230"/>
    </sheetView>
  </sheetViews>
  <sheetFormatPr defaultRowHeight="12.75"/>
  <cols>
    <col min="1" max="1" width="4.5703125" style="398" customWidth="1"/>
    <col min="2" max="2" width="4.85546875" style="386" customWidth="1"/>
    <col min="3" max="3" width="9.140625" style="386" customWidth="1"/>
    <col min="4" max="4" width="6.85546875" style="386" customWidth="1"/>
    <col min="5" max="5" width="9.140625" style="386" customWidth="1"/>
    <col min="6" max="6" width="33.7109375" style="386" customWidth="1"/>
    <col min="7" max="7" width="10" style="411" customWidth="1"/>
    <col min="8" max="8" width="41.42578125" style="412" customWidth="1"/>
    <col min="9" max="10" width="7.7109375" style="412" customWidth="1"/>
    <col min="11" max="11" width="8.85546875" style="412" customWidth="1"/>
    <col min="12" max="12" width="7.28515625" style="412" customWidth="1"/>
    <col min="13" max="13" width="14.140625" style="386" customWidth="1"/>
    <col min="14" max="15" width="7" style="386" customWidth="1"/>
    <col min="16" max="16" width="3.5703125" style="386" hidden="1" customWidth="1"/>
    <col min="17" max="22" width="2.7109375" style="386" hidden="1" customWidth="1"/>
    <col min="23" max="23" width="3.5703125" style="386" hidden="1" customWidth="1"/>
    <col min="24" max="26" width="2.7109375" style="386" hidden="1" customWidth="1"/>
    <col min="27" max="28" width="3.28515625" style="386" hidden="1" customWidth="1"/>
    <col min="29" max="29" width="4.140625" style="386" hidden="1" customWidth="1"/>
    <col min="30" max="33" width="2.7109375" style="386" hidden="1" customWidth="1"/>
    <col min="34" max="34" width="9.140625" style="386" customWidth="1"/>
    <col min="35" max="16384" width="9.140625" style="386"/>
  </cols>
  <sheetData>
    <row r="1" spans="1:33">
      <c r="B1" s="58"/>
      <c r="C1" s="58" t="s">
        <v>157</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062" t="s">
        <v>147</v>
      </c>
      <c r="D4" s="1062"/>
      <c r="E4" s="1062"/>
      <c r="F4" s="1062"/>
      <c r="G4" s="1062"/>
      <c r="H4" s="1062"/>
      <c r="I4" s="1062"/>
      <c r="J4" s="1062"/>
      <c r="K4" s="1062"/>
      <c r="L4" s="1062"/>
      <c r="M4" s="1062"/>
      <c r="N4" s="1062"/>
      <c r="O4" s="1062"/>
    </row>
    <row r="5" spans="1:33" ht="14.25">
      <c r="B5" s="72"/>
      <c r="C5" s="1063"/>
      <c r="D5" s="1063"/>
      <c r="E5" s="1063"/>
      <c r="F5" s="1063"/>
      <c r="G5" s="1063"/>
      <c r="H5" s="1063"/>
      <c r="I5" s="1063"/>
      <c r="J5" s="1063"/>
      <c r="K5" s="1063"/>
      <c r="L5" s="1063"/>
      <c r="M5" s="1063"/>
      <c r="N5" s="1063"/>
      <c r="O5" s="1063"/>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70" t="s">
        <v>217</v>
      </c>
      <c r="B7" s="1072" t="s">
        <v>159</v>
      </c>
      <c r="C7" s="1064" t="s">
        <v>27</v>
      </c>
      <c r="D7" s="1065" t="s">
        <v>1</v>
      </c>
      <c r="E7" s="1066"/>
      <c r="F7" s="1064" t="s">
        <v>0</v>
      </c>
      <c r="G7" s="1068" t="s">
        <v>215</v>
      </c>
      <c r="H7" s="1074" t="s">
        <v>84</v>
      </c>
      <c r="I7" s="1081" t="s">
        <v>753</v>
      </c>
      <c r="J7" s="1082"/>
      <c r="K7" s="1064" t="s">
        <v>462</v>
      </c>
      <c r="L7" s="1064"/>
      <c r="M7" s="1064" t="s">
        <v>461</v>
      </c>
      <c r="N7" s="1067" t="s">
        <v>149</v>
      </c>
      <c r="O7" s="1067"/>
      <c r="P7" s="1079" t="s">
        <v>9</v>
      </c>
      <c r="Q7" s="1056" t="s">
        <v>98</v>
      </c>
      <c r="R7" s="1057"/>
      <c r="S7" s="1058"/>
      <c r="T7" s="1056" t="s">
        <v>102</v>
      </c>
      <c r="U7" s="1057"/>
      <c r="V7" s="1058"/>
      <c r="W7" s="1079" t="s">
        <v>782</v>
      </c>
      <c r="X7" s="1056" t="s">
        <v>10</v>
      </c>
      <c r="Y7" s="1057"/>
      <c r="Z7" s="1058"/>
      <c r="AA7" s="1079" t="s">
        <v>57</v>
      </c>
      <c r="AB7" s="1077" t="str">
        <f>CTTK!$E$7</f>
        <v>1388</v>
      </c>
      <c r="AC7" s="1075" t="s">
        <v>319</v>
      </c>
      <c r="AD7" s="1056" t="s">
        <v>474</v>
      </c>
      <c r="AE7" s="1057"/>
      <c r="AF7" s="1057"/>
      <c r="AG7" s="1058"/>
    </row>
    <row r="8" spans="1:33" ht="24.75" customHeight="1">
      <c r="A8" s="1071"/>
      <c r="B8" s="1073"/>
      <c r="C8" s="1064"/>
      <c r="D8" s="395" t="s">
        <v>20</v>
      </c>
      <c r="E8" s="394" t="s">
        <v>39</v>
      </c>
      <c r="F8" s="1064"/>
      <c r="G8" s="1069"/>
      <c r="H8" s="1074"/>
      <c r="I8" s="522" t="s">
        <v>643</v>
      </c>
      <c r="J8" s="522" t="s">
        <v>644</v>
      </c>
      <c r="K8" s="501" t="s">
        <v>467</v>
      </c>
      <c r="L8" s="501" t="s">
        <v>465</v>
      </c>
      <c r="M8" s="1064"/>
      <c r="N8" s="396" t="s">
        <v>29</v>
      </c>
      <c r="O8" s="396" t="s">
        <v>30</v>
      </c>
      <c r="P8" s="1080"/>
      <c r="Q8" s="1059"/>
      <c r="R8" s="1060"/>
      <c r="S8" s="1061"/>
      <c r="T8" s="1059"/>
      <c r="U8" s="1060"/>
      <c r="V8" s="1061"/>
      <c r="W8" s="1080"/>
      <c r="X8" s="1059"/>
      <c r="Y8" s="1060"/>
      <c r="Z8" s="1061"/>
      <c r="AA8" s="1080"/>
      <c r="AB8" s="1078"/>
      <c r="AC8" s="1076"/>
      <c r="AD8" s="1059"/>
      <c r="AE8" s="1060"/>
      <c r="AF8" s="1060"/>
      <c r="AG8" s="1061"/>
    </row>
    <row r="9" spans="1:33">
      <c r="A9" s="399">
        <v>1</v>
      </c>
      <c r="B9" s="400">
        <v>2</v>
      </c>
      <c r="C9" s="400">
        <v>3</v>
      </c>
      <c r="D9" s="400">
        <v>4</v>
      </c>
      <c r="E9" s="400">
        <v>5</v>
      </c>
      <c r="F9" s="400">
        <v>6</v>
      </c>
      <c r="G9" s="401">
        <v>7</v>
      </c>
      <c r="H9" s="400">
        <v>8</v>
      </c>
      <c r="I9" s="401">
        <v>9</v>
      </c>
      <c r="J9" s="400">
        <v>10</v>
      </c>
      <c r="K9" s="401">
        <v>11</v>
      </c>
      <c r="L9" s="400">
        <v>12</v>
      </c>
      <c r="M9" s="401">
        <v>13</v>
      </c>
      <c r="N9" s="400">
        <v>14</v>
      </c>
      <c r="O9" s="401">
        <v>15</v>
      </c>
      <c r="P9" s="400">
        <v>16</v>
      </c>
      <c r="Q9" s="401">
        <v>17</v>
      </c>
      <c r="R9" s="400">
        <v>18</v>
      </c>
      <c r="S9" s="401">
        <v>19</v>
      </c>
      <c r="T9" s="400">
        <v>20</v>
      </c>
      <c r="U9" s="401">
        <v>21</v>
      </c>
      <c r="V9" s="400">
        <v>22</v>
      </c>
      <c r="W9" s="400"/>
      <c r="X9" s="401">
        <v>23</v>
      </c>
      <c r="Y9" s="400">
        <v>24</v>
      </c>
      <c r="Z9" s="401">
        <v>25</v>
      </c>
      <c r="AA9" s="400">
        <v>26</v>
      </c>
      <c r="AB9" s="401">
        <v>27</v>
      </c>
      <c r="AC9" s="400">
        <v>24</v>
      </c>
      <c r="AD9" s="400">
        <v>19</v>
      </c>
      <c r="AE9" s="400">
        <v>20</v>
      </c>
      <c r="AF9" s="400"/>
      <c r="AG9" s="400">
        <v>21</v>
      </c>
    </row>
    <row r="10" spans="1:33" s="402" customFormat="1" ht="15.75" hidden="1" customHeight="1">
      <c r="A10" s="397" t="str">
        <f>IF(B10&lt;&gt;"",IF(AND(B10&gt;=_TM1,B10&lt;=_TM2,OR(TH!N10="1111",TH!O10="1111")),TH!D10,""),"")</f>
        <v/>
      </c>
      <c r="B10" s="63">
        <f t="shared" ref="B10:B15" si="0">IF(C10&lt;&gt;"",MONTH(C10),"")</f>
        <v>12</v>
      </c>
      <c r="C10" s="82">
        <v>42369</v>
      </c>
      <c r="D10" s="82" t="s">
        <v>150</v>
      </c>
      <c r="E10" s="82">
        <v>42369</v>
      </c>
      <c r="F10" s="83" t="s">
        <v>153</v>
      </c>
      <c r="G10" s="376"/>
      <c r="H10" s="84"/>
      <c r="I10" s="512"/>
      <c r="J10" s="512"/>
      <c r="K10" s="504"/>
      <c r="L10" s="512"/>
      <c r="M10" s="85">
        <f>MAX(SUMIF(KHN,"911",TH)-SUMIF(KHC,"911",TH),SUMIF(KHC,"911",TH)-SUMIF(KHN,"911",TH))</f>
        <v>649840266</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402" customFormat="1" ht="15.75" hidden="1" customHeight="1">
      <c r="A11" s="397" t="str">
        <f>IF(B11&lt;&gt;"",IF(AND(B11&gt;=_TM1,B11&lt;=_TM2,OR(TH!N11="1111",TH!O11="1111")),TH!D11,""),"")</f>
        <v/>
      </c>
      <c r="B11" s="63">
        <f t="shared" si="0"/>
        <v>12</v>
      </c>
      <c r="C11" s="82">
        <v>42369</v>
      </c>
      <c r="D11" s="82" t="s">
        <v>150</v>
      </c>
      <c r="E11" s="82">
        <v>42369</v>
      </c>
      <c r="F11" s="83" t="s">
        <v>151</v>
      </c>
      <c r="G11" s="376"/>
      <c r="H11" s="84"/>
      <c r="I11" s="512"/>
      <c r="J11" s="512"/>
      <c r="K11" s="504"/>
      <c r="L11" s="512"/>
      <c r="M11" s="85">
        <f>SUMIF(KHN,O11,TH)</f>
        <v>1005486220</v>
      </c>
      <c r="N11" s="90"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402" customFormat="1" ht="15.75" hidden="1" customHeight="1">
      <c r="A12" s="397" t="str">
        <f>IF(B12&lt;&gt;"",IF(AND(B12&gt;=_TM1,B12&lt;=_TM2,OR(TH!N12="1111",TH!O12="1111")),TH!D12,""),"")</f>
        <v/>
      </c>
      <c r="B12" s="63">
        <f t="shared" si="0"/>
        <v>12</v>
      </c>
      <c r="C12" s="82">
        <v>42369</v>
      </c>
      <c r="D12" s="82" t="s">
        <v>150</v>
      </c>
      <c r="E12" s="82">
        <v>42369</v>
      </c>
      <c r="F12" s="83" t="s">
        <v>152</v>
      </c>
      <c r="G12" s="376"/>
      <c r="H12" s="84"/>
      <c r="I12" s="512"/>
      <c r="J12" s="512"/>
      <c r="K12" s="504"/>
      <c r="L12" s="512"/>
      <c r="M12" s="85">
        <f>SUMIF(KHN,O12,TH)</f>
        <v>669836213</v>
      </c>
      <c r="N12" s="90"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402" customFormat="1" ht="15.75" hidden="1" customHeight="1">
      <c r="A13" s="397" t="str">
        <f>IF(B13&lt;&gt;"",IF(AND(B13&gt;=_TM1,B13&lt;=_TM2,OR(TH!N13="1111",TH!O13="1111")),TH!D13,""),"")</f>
        <v/>
      </c>
      <c r="B13" s="63">
        <f t="shared" si="0"/>
        <v>12</v>
      </c>
      <c r="C13" s="82">
        <v>42369</v>
      </c>
      <c r="D13" s="82" t="s">
        <v>150</v>
      </c>
      <c r="E13" s="82">
        <v>42369</v>
      </c>
      <c r="F13" s="83" t="s">
        <v>154</v>
      </c>
      <c r="G13" s="376"/>
      <c r="H13" s="91"/>
      <c r="I13" s="513"/>
      <c r="J13" s="513"/>
      <c r="K13" s="505"/>
      <c r="L13" s="513"/>
      <c r="M13" s="85">
        <f>SUMIF(KHC,N13,TH)</f>
        <v>19995947</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402" customFormat="1" ht="15.75" hidden="1" customHeight="1">
      <c r="A14" s="397" t="str">
        <f>IF(B14&lt;&gt;"",IF(AND(B14&gt;=_TM1,B14&lt;=_TM2,OR(TH!N14="1111",TH!O14="1111")),TH!D14,""),"")</f>
        <v/>
      </c>
      <c r="B14" s="63">
        <f t="shared" si="0"/>
        <v>12</v>
      </c>
      <c r="C14" s="82">
        <v>42369</v>
      </c>
      <c r="D14" s="82" t="s">
        <v>150</v>
      </c>
      <c r="E14" s="82">
        <v>42369</v>
      </c>
      <c r="F14" s="83" t="s">
        <v>155</v>
      </c>
      <c r="G14" s="376"/>
      <c r="H14" s="84"/>
      <c r="I14" s="512"/>
      <c r="J14" s="512"/>
      <c r="K14" s="504"/>
      <c r="L14" s="512"/>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402" customFormat="1" ht="15.75" hidden="1" customHeight="1">
      <c r="A15" s="397" t="str">
        <f>IF(B15&lt;&gt;"",IF(AND(B15&gt;=_TM1,B15&lt;=_TM2,OR(TH!N15="1111",TH!O15="1111")),TH!D15,""),"")</f>
        <v/>
      </c>
      <c r="B15" s="63">
        <f t="shared" si="0"/>
        <v>12</v>
      </c>
      <c r="C15" s="82">
        <v>42369</v>
      </c>
      <c r="D15" s="82" t="s">
        <v>150</v>
      </c>
      <c r="E15" s="82">
        <v>42369</v>
      </c>
      <c r="F15" s="83" t="s">
        <v>156</v>
      </c>
      <c r="G15" s="376"/>
      <c r="H15" s="84"/>
      <c r="I15" s="512"/>
      <c r="J15" s="512"/>
      <c r="K15" s="504"/>
      <c r="L15" s="512"/>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402" customFormat="1" ht="15.75" hidden="1" customHeight="1">
      <c r="A16" s="397" t="str">
        <f>IF(B16&lt;&gt;"",IF(AND(B16&gt;=_TM1,B16&lt;=_TM2,OR(TH!N16="1111",TH!O16="1111")),TH!D16,""),"")</f>
        <v/>
      </c>
      <c r="B16" s="63">
        <f t="shared" ref="B16:B82" si="1">IF(C16&lt;&gt;"",MONTH(C16),"")</f>
        <v>12</v>
      </c>
      <c r="C16" s="82">
        <v>42369</v>
      </c>
      <c r="D16" s="82" t="s">
        <v>150</v>
      </c>
      <c r="E16" s="82">
        <v>42369</v>
      </c>
      <c r="F16" s="83" t="s">
        <v>305</v>
      </c>
      <c r="G16" s="376"/>
      <c r="H16" s="84"/>
      <c r="I16" s="512"/>
      <c r="J16" s="512"/>
      <c r="K16" s="504"/>
      <c r="L16" s="512"/>
      <c r="M16" s="85">
        <f>CDPS!$C$46</f>
        <v>223589505</v>
      </c>
      <c r="N16" s="90"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1048" customFormat="1" ht="15.75" hidden="1" customHeight="1">
      <c r="A17" s="397" t="str">
        <f>IF(B17&lt;&gt;"",IF(AND(B17&gt;=_TM1,B17&lt;=_TM2,OR(TH!N17="1111",TH!O17="1111")),TH!D17,""),"")</f>
        <v/>
      </c>
      <c r="B17" s="63">
        <f t="shared" si="1"/>
        <v>1</v>
      </c>
      <c r="C17" s="403">
        <v>42370</v>
      </c>
      <c r="D17" s="64" t="s">
        <v>45</v>
      </c>
      <c r="E17" s="64">
        <v>42370</v>
      </c>
      <c r="F17" s="67" t="s">
        <v>316</v>
      </c>
      <c r="G17" s="361" t="s">
        <v>369</v>
      </c>
      <c r="H17" s="74" t="s">
        <v>317</v>
      </c>
      <c r="I17" s="514"/>
      <c r="J17" s="514"/>
      <c r="K17" s="506"/>
      <c r="L17" s="514"/>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c r="AI17" s="1048">
        <v>1</v>
      </c>
    </row>
    <row r="18" spans="1:35" s="1048" customFormat="1" ht="15.75" hidden="1" customHeight="1">
      <c r="A18" s="397" t="str">
        <f>IF(B18&lt;&gt;"",IF(AND(B18&gt;=_TM1,B18&lt;=_TM2,OR(TH!N18="1111",TH!O18="1111")),TH!D18,""),"")</f>
        <v/>
      </c>
      <c r="B18" s="63">
        <f t="shared" si="1"/>
        <v>1</v>
      </c>
      <c r="C18" s="64">
        <v>42370</v>
      </c>
      <c r="D18" s="64" t="s">
        <v>45</v>
      </c>
      <c r="E18" s="64">
        <v>42370</v>
      </c>
      <c r="F18" s="67" t="s">
        <v>318</v>
      </c>
      <c r="G18" s="361" t="s">
        <v>369</v>
      </c>
      <c r="H18" s="74" t="s">
        <v>317</v>
      </c>
      <c r="I18" s="514"/>
      <c r="J18" s="514"/>
      <c r="K18" s="506"/>
      <c r="L18" s="514"/>
      <c r="M18" s="100">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1"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c r="AI18" s="1048">
        <v>1</v>
      </c>
    </row>
    <row r="19" spans="1:35" s="1048" customFormat="1" ht="15.75" customHeight="1">
      <c r="A19" s="397" t="str">
        <f>IF(B19&lt;&gt;"",IF(AND(B19&gt;=_TM1,B19&lt;=_TM2,OR(TH!N19="1111",TH!O19="1111")),TH!D19,""),"")</f>
        <v>C01</v>
      </c>
      <c r="B19" s="63">
        <f t="shared" si="1"/>
        <v>1</v>
      </c>
      <c r="C19" s="64">
        <v>42371</v>
      </c>
      <c r="D19" s="64" t="s">
        <v>42</v>
      </c>
      <c r="E19" s="64">
        <v>42371</v>
      </c>
      <c r="F19" s="67" t="s">
        <v>370</v>
      </c>
      <c r="G19" s="361" t="s">
        <v>220</v>
      </c>
      <c r="H19" s="74" t="s">
        <v>184</v>
      </c>
      <c r="I19" s="514"/>
      <c r="J19" s="514"/>
      <c r="K19" s="506"/>
      <c r="L19" s="514"/>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c r="AI19" s="1048">
        <v>2</v>
      </c>
    </row>
    <row r="20" spans="1:35" s="1048" customFormat="1" ht="15.75" customHeight="1">
      <c r="A20" s="397" t="str">
        <f>IF(B20&lt;&gt;"",IF(AND(B20&gt;=_TM1,B20&lt;=_TM2,OR(TH!N20="1111",TH!O20="1111")),TH!D20,""),"")</f>
        <v>C01</v>
      </c>
      <c r="B20" s="63">
        <f t="shared" si="1"/>
        <v>1</v>
      </c>
      <c r="C20" s="64">
        <v>42371</v>
      </c>
      <c r="D20" s="64" t="s">
        <v>42</v>
      </c>
      <c r="E20" s="64">
        <v>42371</v>
      </c>
      <c r="F20" s="67" t="s">
        <v>371</v>
      </c>
      <c r="G20" s="361" t="s">
        <v>220</v>
      </c>
      <c r="H20" s="74" t="s">
        <v>184</v>
      </c>
      <c r="I20" s="514"/>
      <c r="J20" s="514"/>
      <c r="K20" s="506"/>
      <c r="L20" s="514"/>
      <c r="M20" s="85">
        <v>450000</v>
      </c>
      <c r="N20" s="66" t="s">
        <v>993</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c r="AI20" s="1048">
        <v>2</v>
      </c>
    </row>
    <row r="21" spans="1:35" s="1048" customFormat="1" ht="15.75" customHeight="1">
      <c r="A21" s="397" t="str">
        <f>IF(B21&lt;&gt;"",IF(AND(B21&gt;=_TM1,B21&lt;=_TM2,OR(TH!N21="1111",TH!O21="1111")),TH!D21,""),"")</f>
        <v>C02</v>
      </c>
      <c r="B21" s="63">
        <f t="shared" si="1"/>
        <v>1</v>
      </c>
      <c r="C21" s="403">
        <v>42373</v>
      </c>
      <c r="D21" s="64" t="s">
        <v>54</v>
      </c>
      <c r="E21" s="64">
        <v>42373</v>
      </c>
      <c r="F21" s="67" t="s">
        <v>370</v>
      </c>
      <c r="G21" s="361" t="s">
        <v>221</v>
      </c>
      <c r="H21" s="74" t="s">
        <v>184</v>
      </c>
      <c r="I21" s="514"/>
      <c r="J21" s="514"/>
      <c r="K21" s="506"/>
      <c r="L21" s="514"/>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c r="AI21" s="1048">
        <v>2</v>
      </c>
    </row>
    <row r="22" spans="1:35" s="1048" customFormat="1" ht="15.75" customHeight="1">
      <c r="A22" s="397" t="str">
        <f>IF(B22&lt;&gt;"",IF(AND(B22&gt;=_TM1,B22&lt;=_TM2,OR(TH!N22="1111",TH!O22="1111")),TH!D22,""),"")</f>
        <v>C02</v>
      </c>
      <c r="B22" s="63">
        <f t="shared" si="1"/>
        <v>1</v>
      </c>
      <c r="C22" s="64">
        <v>42373</v>
      </c>
      <c r="D22" s="64" t="s">
        <v>54</v>
      </c>
      <c r="E22" s="64">
        <v>42373</v>
      </c>
      <c r="F22" s="67" t="s">
        <v>371</v>
      </c>
      <c r="G22" s="361" t="s">
        <v>221</v>
      </c>
      <c r="H22" s="74" t="s">
        <v>184</v>
      </c>
      <c r="I22" s="514"/>
      <c r="J22" s="514"/>
      <c r="K22" s="506"/>
      <c r="L22" s="514"/>
      <c r="M22" s="85">
        <v>1800000</v>
      </c>
      <c r="N22" s="66" t="s">
        <v>993</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c r="AI22" s="1048">
        <v>2</v>
      </c>
    </row>
    <row r="23" spans="1:35" s="1048" customFormat="1" ht="15.75" hidden="1" customHeight="1">
      <c r="A23" s="397" t="str">
        <f>IF(B23&lt;&gt;"",IF(AND(B23&gt;=_TM1,B23&lt;=_TM2,OR(TH!N23="1111",TH!O23="1111")),TH!D23,""),"")</f>
        <v/>
      </c>
      <c r="B23" s="63">
        <f t="shared" si="1"/>
        <v>1</v>
      </c>
      <c r="C23" s="64">
        <v>42374</v>
      </c>
      <c r="D23" s="64" t="s">
        <v>8</v>
      </c>
      <c r="E23" s="64">
        <v>42374</v>
      </c>
      <c r="F23" s="67" t="s">
        <v>164</v>
      </c>
      <c r="G23" s="361" t="s">
        <v>808</v>
      </c>
      <c r="H23" s="74" t="s">
        <v>166</v>
      </c>
      <c r="I23" s="514"/>
      <c r="J23" s="514"/>
      <c r="K23" s="506"/>
      <c r="L23" s="514"/>
      <c r="M23" s="65">
        <v>300000000</v>
      </c>
      <c r="N23" s="66" t="s">
        <v>9</v>
      </c>
      <c r="O23" s="66" t="s">
        <v>31</v>
      </c>
      <c r="P23" s="66" t="str">
        <f>IF(AND('331-CT'!$E$7=TH!H23,OR(N23="331",O23="331")),"x","")</f>
        <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5" s="1048" customFormat="1" ht="15.75" hidden="1" customHeight="1">
      <c r="A24" s="397" t="str">
        <f>IF(B24&lt;&gt;"",IF(AND(B24&gt;=_TM1,B24&lt;=_TM2,OR(TH!N24="1111",TH!O24="1111")),TH!D24,""),"")</f>
        <v/>
      </c>
      <c r="B24" s="63">
        <f t="shared" si="1"/>
        <v>1</v>
      </c>
      <c r="C24" s="64">
        <v>42374</v>
      </c>
      <c r="D24" s="64" t="s">
        <v>8</v>
      </c>
      <c r="E24" s="64">
        <v>42374</v>
      </c>
      <c r="F24" s="67" t="s">
        <v>22</v>
      </c>
      <c r="G24" s="361" t="s">
        <v>808</v>
      </c>
      <c r="H24" s="74"/>
      <c r="I24" s="514"/>
      <c r="J24" s="514"/>
      <c r="K24" s="506"/>
      <c r="L24" s="514"/>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8">
        <v>1</v>
      </c>
    </row>
    <row r="25" spans="1:35" s="1048" customFormat="1" ht="15.75" hidden="1" customHeight="1">
      <c r="A25" s="397" t="str">
        <f>IF(B25&lt;&gt;"",IF(AND(B25&gt;=_TM1,B25&lt;=_TM2,OR(TH!N25="1111",TH!O25="1111")),TH!D25,""),"")</f>
        <v/>
      </c>
      <c r="B25" s="63">
        <f t="shared" si="1"/>
        <v>1</v>
      </c>
      <c r="C25" s="64">
        <v>42374</v>
      </c>
      <c r="D25" s="64" t="s">
        <v>8</v>
      </c>
      <c r="E25" s="64">
        <v>42374</v>
      </c>
      <c r="F25" s="67" t="s">
        <v>23</v>
      </c>
      <c r="G25" s="361" t="s">
        <v>808</v>
      </c>
      <c r="H25" s="74"/>
      <c r="I25" s="514"/>
      <c r="J25" s="514"/>
      <c r="K25" s="506"/>
      <c r="L25" s="514"/>
      <c r="M25" s="100">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8">
        <v>1</v>
      </c>
    </row>
    <row r="26" spans="1:35" s="1048" customFormat="1" ht="15.75" customHeight="1">
      <c r="A26" s="397" t="str">
        <f>IF(B26&lt;&gt;"",IF(AND(B26&gt;=_TM1,B26&lt;=_TM2,OR(TH!N26="1111",TH!O26="1111")),TH!D26,""),"")</f>
        <v>C03</v>
      </c>
      <c r="B26" s="63">
        <f t="shared" si="1"/>
        <v>1</v>
      </c>
      <c r="C26" s="64">
        <v>42374</v>
      </c>
      <c r="D26" s="64" t="s">
        <v>55</v>
      </c>
      <c r="E26" s="64">
        <v>42374</v>
      </c>
      <c r="F26" s="67" t="s">
        <v>372</v>
      </c>
      <c r="G26" s="361" t="s">
        <v>373</v>
      </c>
      <c r="H26" s="74" t="s">
        <v>178</v>
      </c>
      <c r="I26" s="514"/>
      <c r="J26" s="514"/>
      <c r="K26" s="506"/>
      <c r="L26" s="514"/>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8">
        <v>2</v>
      </c>
    </row>
    <row r="27" spans="1:35" s="1048" customFormat="1" ht="15.75" customHeight="1">
      <c r="A27" s="397" t="str">
        <f>IF(B27&lt;&gt;"",IF(AND(B27&gt;=_TM1,B27&lt;=_TM2,OR(TH!N27="1111",TH!O27="1111")),TH!D27,""),"")</f>
        <v>C03</v>
      </c>
      <c r="B27" s="63">
        <f t="shared" si="1"/>
        <v>1</v>
      </c>
      <c r="C27" s="64">
        <v>42374</v>
      </c>
      <c r="D27" s="64" t="s">
        <v>55</v>
      </c>
      <c r="E27" s="64">
        <v>42374</v>
      </c>
      <c r="F27" s="67" t="s">
        <v>374</v>
      </c>
      <c r="G27" s="361" t="s">
        <v>373</v>
      </c>
      <c r="H27" s="74" t="s">
        <v>178</v>
      </c>
      <c r="I27" s="514"/>
      <c r="J27" s="514"/>
      <c r="K27" s="506"/>
      <c r="L27" s="514"/>
      <c r="M27" s="85">
        <v>165359</v>
      </c>
      <c r="N27" s="66" t="s">
        <v>993</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048">
        <v>2</v>
      </c>
    </row>
    <row r="28" spans="1:35" s="1048" customFormat="1" ht="15.75" hidden="1" customHeight="1">
      <c r="A28" s="397" t="str">
        <f>IF(B28&lt;&gt;"",IF(AND(B28&gt;=_TM1,B28&lt;=_TM2,OR(TH!N28="1111",TH!O28="1111")),TH!D28,""),"")</f>
        <v/>
      </c>
      <c r="B28" s="63">
        <f t="shared" si="1"/>
        <v>1</v>
      </c>
      <c r="C28" s="64">
        <v>42374</v>
      </c>
      <c r="D28" s="64" t="s">
        <v>45</v>
      </c>
      <c r="E28" s="64">
        <v>42374</v>
      </c>
      <c r="F28" s="67" t="s">
        <v>375</v>
      </c>
      <c r="G28" s="361" t="s">
        <v>376</v>
      </c>
      <c r="H28" s="74" t="s">
        <v>83</v>
      </c>
      <c r="I28" s="514"/>
      <c r="J28" s="514"/>
      <c r="K28" s="506"/>
      <c r="L28" s="514"/>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8">
        <v>2</v>
      </c>
    </row>
    <row r="29" spans="1:35" s="1048" customFormat="1" ht="15.75" hidden="1" customHeight="1">
      <c r="A29" s="397" t="str">
        <f>IF(B29&lt;&gt;"",IF(AND(B29&gt;=_TM1,B29&lt;=_TM2,OR(TH!N29="1111",TH!O29="1111")),TH!D29,""),"")</f>
        <v/>
      </c>
      <c r="B29" s="63">
        <f t="shared" si="1"/>
        <v>1</v>
      </c>
      <c r="C29" s="64">
        <v>42374</v>
      </c>
      <c r="D29" s="64" t="s">
        <v>45</v>
      </c>
      <c r="E29" s="64">
        <v>42374</v>
      </c>
      <c r="F29" s="67" t="s">
        <v>377</v>
      </c>
      <c r="G29" s="361" t="s">
        <v>376</v>
      </c>
      <c r="H29" s="74" t="s">
        <v>83</v>
      </c>
      <c r="I29" s="514"/>
      <c r="J29" s="514"/>
      <c r="K29" s="506"/>
      <c r="L29" s="514"/>
      <c r="M29" s="85">
        <v>80909091</v>
      </c>
      <c r="N29" s="66" t="s">
        <v>993</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c r="AI29" s="1048">
        <v>2</v>
      </c>
    </row>
    <row r="30" spans="1:35" s="1048" customFormat="1" ht="15.75" hidden="1" customHeight="1">
      <c r="A30" s="397" t="str">
        <f>IF(B30&lt;&gt;"",IF(AND(B30&gt;=_TM1,B30&lt;=_TM2,OR(TH!N30="1111",TH!O30="1111")),TH!D30,""),"")</f>
        <v/>
      </c>
      <c r="B30" s="63">
        <f t="shared" si="1"/>
        <v>1</v>
      </c>
      <c r="C30" s="64">
        <v>42375</v>
      </c>
      <c r="D30" s="64" t="s">
        <v>8</v>
      </c>
      <c r="E30" s="64">
        <v>42375</v>
      </c>
      <c r="F30" s="67" t="s">
        <v>164</v>
      </c>
      <c r="G30" s="361" t="s">
        <v>808</v>
      </c>
      <c r="H30" s="74" t="s">
        <v>69</v>
      </c>
      <c r="I30" s="514"/>
      <c r="J30" s="514"/>
      <c r="K30" s="506"/>
      <c r="L30" s="514"/>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5" s="1048" customFormat="1" ht="15.75" hidden="1" customHeight="1">
      <c r="A31" s="397" t="str">
        <f>IF(B31&lt;&gt;"",IF(AND(B31&gt;=_TM1,B31&lt;=_TM2,OR(TH!N31="1111",TH!O31="1111")),TH!D31,""),"")</f>
        <v/>
      </c>
      <c r="B31" s="63">
        <f t="shared" si="1"/>
        <v>1</v>
      </c>
      <c r="C31" s="64">
        <v>42375</v>
      </c>
      <c r="D31" s="64" t="s">
        <v>8</v>
      </c>
      <c r="E31" s="64">
        <v>42375</v>
      </c>
      <c r="F31" s="67" t="s">
        <v>22</v>
      </c>
      <c r="G31" s="361" t="s">
        <v>808</v>
      </c>
      <c r="H31" s="74"/>
      <c r="I31" s="514"/>
      <c r="J31" s="514"/>
      <c r="K31" s="506"/>
      <c r="L31" s="514"/>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8">
        <v>1</v>
      </c>
    </row>
    <row r="32" spans="1:35" s="1048" customFormat="1" ht="15.75" hidden="1" customHeight="1">
      <c r="A32" s="397" t="str">
        <f>IF(B32&lt;&gt;"",IF(AND(B32&gt;=_TM1,B32&lt;=_TM2,OR(TH!N32="1111",TH!O32="1111")),TH!D32,""),"")</f>
        <v/>
      </c>
      <c r="B32" s="63">
        <f t="shared" si="1"/>
        <v>1</v>
      </c>
      <c r="C32" s="403">
        <v>42375</v>
      </c>
      <c r="D32" s="64" t="s">
        <v>8</v>
      </c>
      <c r="E32" s="64">
        <v>42375</v>
      </c>
      <c r="F32" s="67" t="s">
        <v>23</v>
      </c>
      <c r="G32" s="361" t="s">
        <v>808</v>
      </c>
      <c r="H32" s="74"/>
      <c r="I32" s="514"/>
      <c r="J32" s="514"/>
      <c r="K32" s="506"/>
      <c r="L32" s="514"/>
      <c r="M32" s="100">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8">
        <v>1</v>
      </c>
    </row>
    <row r="33" spans="1:35" s="1048" customFormat="1" ht="15.75" hidden="1" customHeight="1">
      <c r="A33" s="397" t="str">
        <f>IF(B33&lt;&gt;"",IF(AND(B33&gt;=_TM1,B33&lt;=_TM2,OR(TH!N33="1111",TH!O33="1111")),TH!D33,""),"")</f>
        <v/>
      </c>
      <c r="B33" s="63">
        <f t="shared" si="1"/>
        <v>1</v>
      </c>
      <c r="C33" s="403">
        <v>42375</v>
      </c>
      <c r="D33" s="64" t="s">
        <v>45</v>
      </c>
      <c r="E33" s="64">
        <v>42375</v>
      </c>
      <c r="F33" s="67" t="s">
        <v>378</v>
      </c>
      <c r="G33" s="361" t="s">
        <v>379</v>
      </c>
      <c r="H33" s="74" t="s">
        <v>165</v>
      </c>
      <c r="I33" s="514"/>
      <c r="J33" s="514"/>
      <c r="K33" s="506"/>
      <c r="L33" s="514"/>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8">
        <v>2</v>
      </c>
    </row>
    <row r="34" spans="1:35" s="1048" customFormat="1" ht="15.75" hidden="1" customHeight="1">
      <c r="A34" s="397" t="str">
        <f>IF(B34&lt;&gt;"",IF(AND(B34&gt;=_TM1,B34&lt;=_TM2,OR(TH!N34="1111",TH!O34="1111")),TH!D34,""),"")</f>
        <v/>
      </c>
      <c r="B34" s="63">
        <f t="shared" si="1"/>
        <v>1</v>
      </c>
      <c r="C34" s="403">
        <v>42375</v>
      </c>
      <c r="D34" s="64" t="s">
        <v>45</v>
      </c>
      <c r="E34" s="64">
        <v>42375</v>
      </c>
      <c r="F34" s="67" t="s">
        <v>380</v>
      </c>
      <c r="G34" s="361" t="s">
        <v>379</v>
      </c>
      <c r="H34" s="74" t="s">
        <v>165</v>
      </c>
      <c r="I34" s="514"/>
      <c r="J34" s="514"/>
      <c r="K34" s="506"/>
      <c r="L34" s="514"/>
      <c r="M34" s="85">
        <v>15545455</v>
      </c>
      <c r="N34" s="66" t="s">
        <v>993</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8">
        <v>2</v>
      </c>
    </row>
    <row r="35" spans="1:35" s="1048" customFormat="1" ht="15.75" customHeight="1">
      <c r="A35" s="397" t="str">
        <f>IF(B35&lt;&gt;"",IF(AND(B35&gt;=_TM1,B35&lt;=_TM2,OR(TH!N35="1111",TH!O35="1111")),TH!D35,""),"")</f>
        <v>C04</v>
      </c>
      <c r="B35" s="63">
        <f t="shared" si="1"/>
        <v>1</v>
      </c>
      <c r="C35" s="64">
        <v>42379</v>
      </c>
      <c r="D35" s="64" t="s">
        <v>41</v>
      </c>
      <c r="E35" s="64">
        <v>42379</v>
      </c>
      <c r="F35" s="67" t="s">
        <v>381</v>
      </c>
      <c r="G35" s="361" t="s">
        <v>382</v>
      </c>
      <c r="H35" s="74" t="s">
        <v>323</v>
      </c>
      <c r="I35" s="514"/>
      <c r="J35" s="514"/>
      <c r="K35" s="506"/>
      <c r="L35" s="514"/>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8">
        <v>1</v>
      </c>
    </row>
    <row r="36" spans="1:35" s="1048" customFormat="1" ht="15.75" customHeight="1">
      <c r="A36" s="397" t="str">
        <f>IF(B36&lt;&gt;"",IF(AND(B36&gt;=_TM1,B36&lt;=_TM2,OR(TH!N36="1111",TH!O36="1111")),TH!D36,""),"")</f>
        <v>C04</v>
      </c>
      <c r="B36" s="63">
        <f t="shared" si="1"/>
        <v>1</v>
      </c>
      <c r="C36" s="64">
        <v>42379</v>
      </c>
      <c r="D36" s="64" t="s">
        <v>41</v>
      </c>
      <c r="E36" s="64">
        <v>42379</v>
      </c>
      <c r="F36" s="67" t="s">
        <v>383</v>
      </c>
      <c r="G36" s="361" t="s">
        <v>382</v>
      </c>
      <c r="H36" s="74" t="s">
        <v>323</v>
      </c>
      <c r="I36" s="514"/>
      <c r="J36" s="514"/>
      <c r="K36" s="506"/>
      <c r="L36" s="514"/>
      <c r="M36" s="100">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c r="AI36" s="1048">
        <v>1</v>
      </c>
    </row>
    <row r="37" spans="1:35" s="1048" customFormat="1" ht="15.75" customHeight="1">
      <c r="A37" s="397" t="str">
        <f>IF(B37&lt;&gt;"",IF(AND(B37&gt;=_TM1,B37&lt;=_TM2,OR(TH!N37="1111",TH!O37="1111")),TH!D37,""),"")</f>
        <v>C05</v>
      </c>
      <c r="B37" s="63">
        <f t="shared" si="1"/>
        <v>1</v>
      </c>
      <c r="C37" s="403">
        <v>42380</v>
      </c>
      <c r="D37" s="64" t="s">
        <v>40</v>
      </c>
      <c r="E37" s="64">
        <v>42380</v>
      </c>
      <c r="F37" s="67" t="s">
        <v>332</v>
      </c>
      <c r="G37" s="361" t="s">
        <v>384</v>
      </c>
      <c r="H37" s="74" t="s">
        <v>162</v>
      </c>
      <c r="I37" s="514"/>
      <c r="J37" s="514"/>
      <c r="K37" s="506"/>
      <c r="L37" s="514"/>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8">
        <v>1</v>
      </c>
    </row>
    <row r="38" spans="1:35" s="1048" customFormat="1" ht="15.75" customHeight="1">
      <c r="A38" s="397" t="str">
        <f>IF(B38&lt;&gt;"",IF(AND(B38&gt;=_TM1,B38&lt;=_TM2,OR(TH!N38="1111",TH!O38="1111")),TH!D38,""),"")</f>
        <v>C05</v>
      </c>
      <c r="B38" s="63">
        <f t="shared" si="1"/>
        <v>1</v>
      </c>
      <c r="C38" s="64">
        <v>42380</v>
      </c>
      <c r="D38" s="64" t="s">
        <v>40</v>
      </c>
      <c r="E38" s="64">
        <v>42380</v>
      </c>
      <c r="F38" s="67" t="s">
        <v>334</v>
      </c>
      <c r="G38" s="361" t="s">
        <v>384</v>
      </c>
      <c r="H38" s="74" t="s">
        <v>162</v>
      </c>
      <c r="I38" s="514"/>
      <c r="J38" s="514"/>
      <c r="K38" s="506"/>
      <c r="L38" s="514"/>
      <c r="M38" s="100">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8">
        <v>1</v>
      </c>
    </row>
    <row r="39" spans="1:35" s="1048" customFormat="1" ht="15.75" hidden="1" customHeight="1">
      <c r="A39" s="397" t="str">
        <f>IF(B39&lt;&gt;"",IF(AND(B39&gt;=_TM1,B39&lt;=_TM2,OR(TH!N39="1111",TH!O39="1111")),TH!D39,""),"")</f>
        <v/>
      </c>
      <c r="B39" s="63">
        <f>IF(C39&lt;&gt;"",MONTH(C39),"")</f>
        <v>1</v>
      </c>
      <c r="C39" s="64">
        <v>42380</v>
      </c>
      <c r="D39" s="500" t="s">
        <v>45</v>
      </c>
      <c r="E39" s="64">
        <v>42380</v>
      </c>
      <c r="F39" s="67" t="s">
        <v>457</v>
      </c>
      <c r="G39" s="500" t="s">
        <v>455</v>
      </c>
      <c r="H39" s="74" t="s">
        <v>222</v>
      </c>
      <c r="I39" s="514"/>
      <c r="J39" s="514"/>
      <c r="K39" s="506"/>
      <c r="L39" s="514"/>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8">
        <v>1</v>
      </c>
    </row>
    <row r="40" spans="1:35" s="1048" customFormat="1" ht="15.75" hidden="1" customHeight="1">
      <c r="A40" s="397" t="str">
        <f>IF(B40&lt;&gt;"",IF(AND(B40&gt;=_TM1,B40&lt;=_TM2,OR(TH!N40="1111",TH!O40="1111")),TH!D40,""),"")</f>
        <v/>
      </c>
      <c r="B40" s="63">
        <f>IF(C40&lt;&gt;"",MONTH(C40),"")</f>
        <v>1</v>
      </c>
      <c r="C40" s="64">
        <v>42380</v>
      </c>
      <c r="D40" s="500" t="s">
        <v>45</v>
      </c>
      <c r="E40" s="64">
        <v>42380</v>
      </c>
      <c r="F40" s="67" t="s">
        <v>458</v>
      </c>
      <c r="G40" s="500" t="s">
        <v>455</v>
      </c>
      <c r="H40" s="74" t="s">
        <v>222</v>
      </c>
      <c r="I40" s="514"/>
      <c r="J40" s="514"/>
      <c r="K40" s="506"/>
      <c r="L40" s="514"/>
      <c r="M40" s="100">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8">
        <v>1</v>
      </c>
    </row>
    <row r="41" spans="1:35" s="1048" customFormat="1" ht="15.75" hidden="1" customHeight="1">
      <c r="A41" s="397" t="str">
        <f>IF(B41&lt;&gt;"",IF(AND(B41&gt;=_TM1,B41&lt;=_TM2,OR(TH!N41="1111",TH!O41="1111")),TH!D41,""),"")</f>
        <v/>
      </c>
      <c r="B41" s="63">
        <f>IF(C41&lt;&gt;"",MONTH(C41),"")</f>
        <v>1</v>
      </c>
      <c r="C41" s="64">
        <v>42395</v>
      </c>
      <c r="D41" s="500" t="s">
        <v>45</v>
      </c>
      <c r="E41" s="64">
        <v>42395</v>
      </c>
      <c r="F41" s="67" t="s">
        <v>460</v>
      </c>
      <c r="G41" s="500" t="s">
        <v>456</v>
      </c>
      <c r="H41" s="74" t="s">
        <v>222</v>
      </c>
      <c r="I41" s="514"/>
      <c r="J41" s="514"/>
      <c r="K41" s="506"/>
      <c r="L41" s="514"/>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8">
        <v>1</v>
      </c>
    </row>
    <row r="42" spans="1:35" s="1048" customFormat="1" ht="15.75" hidden="1" customHeight="1">
      <c r="A42" s="397" t="str">
        <f>IF(B42&lt;&gt;"",IF(AND(B42&gt;=_TM1,B42&lt;=_TM2,OR(TH!N42="1111",TH!O42="1111")),TH!D42,""),"")</f>
        <v/>
      </c>
      <c r="B42" s="63">
        <f>IF(C42&lt;&gt;"",MONTH(C42),"")</f>
        <v>1</v>
      </c>
      <c r="C42" s="64">
        <v>42395</v>
      </c>
      <c r="D42" s="500" t="s">
        <v>45</v>
      </c>
      <c r="E42" s="64">
        <v>42395</v>
      </c>
      <c r="F42" s="67" t="s">
        <v>459</v>
      </c>
      <c r="G42" s="500" t="s">
        <v>456</v>
      </c>
      <c r="H42" s="74" t="s">
        <v>222</v>
      </c>
      <c r="I42" s="514"/>
      <c r="J42" s="514"/>
      <c r="K42" s="506"/>
      <c r="L42" s="514"/>
      <c r="M42" s="100">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8">
        <v>1</v>
      </c>
    </row>
    <row r="43" spans="1:35" s="1048" customFormat="1" ht="15.75" hidden="1" customHeight="1">
      <c r="A43" s="397" t="str">
        <f>IF(B43&lt;&gt;"",IF(AND(B43&gt;=_TM1,B43&lt;=_TM2,OR(TH!N43="1111",TH!O43="1111")),TH!D43,""),"")</f>
        <v/>
      </c>
      <c r="B43" s="63">
        <f t="shared" si="1"/>
        <v>1</v>
      </c>
      <c r="C43" s="64">
        <v>42381</v>
      </c>
      <c r="D43" s="64" t="s">
        <v>45</v>
      </c>
      <c r="E43" s="64">
        <v>42381</v>
      </c>
      <c r="F43" s="67" t="s">
        <v>385</v>
      </c>
      <c r="G43" s="361" t="s">
        <v>386</v>
      </c>
      <c r="H43" s="74" t="s">
        <v>70</v>
      </c>
      <c r="I43" s="514"/>
      <c r="J43" s="514"/>
      <c r="K43" s="506"/>
      <c r="L43" s="514"/>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8">
        <v>2</v>
      </c>
    </row>
    <row r="44" spans="1:35" s="1048" customFormat="1" ht="15.75" hidden="1" customHeight="1">
      <c r="A44" s="397" t="str">
        <f>IF(B44&lt;&gt;"",IF(AND(B44&gt;=_TM1,B44&lt;=_TM2,OR(TH!N44="1111",TH!O44="1111")),TH!D44,""),"")</f>
        <v/>
      </c>
      <c r="B44" s="63">
        <f t="shared" si="1"/>
        <v>1</v>
      </c>
      <c r="C44" s="403">
        <v>42381</v>
      </c>
      <c r="D44" s="64" t="s">
        <v>45</v>
      </c>
      <c r="E44" s="64">
        <v>42381</v>
      </c>
      <c r="F44" s="67" t="s">
        <v>387</v>
      </c>
      <c r="G44" s="361" t="s">
        <v>386</v>
      </c>
      <c r="H44" s="74" t="s">
        <v>70</v>
      </c>
      <c r="I44" s="514"/>
      <c r="J44" s="514"/>
      <c r="K44" s="506"/>
      <c r="L44" s="514"/>
      <c r="M44" s="85">
        <v>35827273</v>
      </c>
      <c r="N44" s="69" t="s">
        <v>993</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8">
        <v>2</v>
      </c>
    </row>
    <row r="45" spans="1:35" s="1048" customFormat="1" ht="15.75" hidden="1" customHeight="1">
      <c r="A45" s="397" t="str">
        <f>IF(B45&lt;&gt;"",IF(AND(B45&gt;=_TM1,B45&lt;=_TM2,OR(TH!N45="1111",TH!O45="1111")),TH!D45,""),"")</f>
        <v/>
      </c>
      <c r="B45" s="63">
        <f t="shared" si="1"/>
        <v>1</v>
      </c>
      <c r="C45" s="64">
        <v>42381</v>
      </c>
      <c r="D45" s="64" t="s">
        <v>8</v>
      </c>
      <c r="E45" s="64">
        <v>42381</v>
      </c>
      <c r="F45" s="67" t="s">
        <v>164</v>
      </c>
      <c r="G45" s="361" t="s">
        <v>808</v>
      </c>
      <c r="H45" s="74" t="s">
        <v>68</v>
      </c>
      <c r="I45" s="514"/>
      <c r="J45" s="514"/>
      <c r="K45" s="506"/>
      <c r="L45" s="514"/>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5" s="1048" customFormat="1" ht="15.75" hidden="1" customHeight="1">
      <c r="A46" s="397" t="str">
        <f>IF(B46&lt;&gt;"",IF(AND(B46&gt;=_TM1,B46&lt;=_TM2,OR(TH!N46="1111",TH!O46="1111")),TH!D46,""),"")</f>
        <v/>
      </c>
      <c r="B46" s="63">
        <f t="shared" si="1"/>
        <v>1</v>
      </c>
      <c r="C46" s="64">
        <v>42381</v>
      </c>
      <c r="D46" s="64" t="s">
        <v>8</v>
      </c>
      <c r="E46" s="64">
        <v>42381</v>
      </c>
      <c r="F46" s="67" t="s">
        <v>164</v>
      </c>
      <c r="G46" s="361" t="s">
        <v>808</v>
      </c>
      <c r="H46" s="74" t="s">
        <v>70</v>
      </c>
      <c r="I46" s="514"/>
      <c r="J46" s="514"/>
      <c r="K46" s="506"/>
      <c r="L46" s="514"/>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5" s="1048" customFormat="1" ht="15.75" hidden="1" customHeight="1">
      <c r="A47" s="397" t="str">
        <f>IF(B47&lt;&gt;"",IF(AND(B47&gt;=_TM1,B47&lt;=_TM2,OR(TH!N47="1111",TH!O47="1111")),TH!D47,""),"")</f>
        <v/>
      </c>
      <c r="B47" s="63">
        <f t="shared" si="1"/>
        <v>1</v>
      </c>
      <c r="C47" s="403">
        <v>42381</v>
      </c>
      <c r="D47" s="64" t="s">
        <v>8</v>
      </c>
      <c r="E47" s="64">
        <v>42381</v>
      </c>
      <c r="F47" s="67" t="s">
        <v>22</v>
      </c>
      <c r="G47" s="361" t="s">
        <v>808</v>
      </c>
      <c r="H47" s="74"/>
      <c r="I47" s="514"/>
      <c r="J47" s="514"/>
      <c r="K47" s="506"/>
      <c r="L47" s="514"/>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8">
        <v>1</v>
      </c>
    </row>
    <row r="48" spans="1:35" s="1048" customFormat="1" ht="15.75" hidden="1" customHeight="1">
      <c r="A48" s="397" t="str">
        <f>IF(B48&lt;&gt;"",IF(AND(B48&gt;=_TM1,B48&lt;=_TM2,OR(TH!N48="1111",TH!O48="1111")),TH!D48,""),"")</f>
        <v/>
      </c>
      <c r="B48" s="63">
        <f t="shared" si="1"/>
        <v>1</v>
      </c>
      <c r="C48" s="64">
        <v>42381</v>
      </c>
      <c r="D48" s="64" t="s">
        <v>8</v>
      </c>
      <c r="E48" s="64">
        <v>42381</v>
      </c>
      <c r="F48" s="67" t="s">
        <v>23</v>
      </c>
      <c r="G48" s="361" t="s">
        <v>808</v>
      </c>
      <c r="H48" s="74"/>
      <c r="I48" s="514"/>
      <c r="J48" s="514"/>
      <c r="K48" s="506"/>
      <c r="L48" s="514"/>
      <c r="M48" s="100">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8">
        <v>1</v>
      </c>
    </row>
    <row r="49" spans="1:35" s="1048" customFormat="1" ht="15.75" customHeight="1">
      <c r="A49" s="397" t="str">
        <f>IF(B49&lt;&gt;"",IF(AND(B49&gt;=_TM1,B49&lt;=_TM2,OR(TH!N49="1111",TH!O49="1111")),TH!D49,""),"")</f>
        <v>C06</v>
      </c>
      <c r="B49" s="63">
        <f t="shared" si="1"/>
        <v>1</v>
      </c>
      <c r="C49" s="403">
        <v>42381</v>
      </c>
      <c r="D49" s="64" t="s">
        <v>64</v>
      </c>
      <c r="E49" s="64">
        <v>42381</v>
      </c>
      <c r="F49" s="67" t="s">
        <v>325</v>
      </c>
      <c r="G49" s="361" t="s">
        <v>388</v>
      </c>
      <c r="H49" s="74" t="s">
        <v>324</v>
      </c>
      <c r="I49" s="514"/>
      <c r="J49" s="514"/>
      <c r="K49" s="506"/>
      <c r="L49" s="514"/>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8">
        <v>2</v>
      </c>
    </row>
    <row r="50" spans="1:35" s="1048" customFormat="1" ht="15.75" customHeight="1">
      <c r="A50" s="397" t="str">
        <f>IF(B50&lt;&gt;"",IF(AND(B50&gt;=_TM1,B50&lt;=_TM2,OR(TH!N50="1111",TH!O50="1111")),TH!D50,""),"")</f>
        <v>C06</v>
      </c>
      <c r="B50" s="63">
        <f t="shared" si="1"/>
        <v>1</v>
      </c>
      <c r="C50" s="64">
        <v>42381</v>
      </c>
      <c r="D50" s="64" t="s">
        <v>64</v>
      </c>
      <c r="E50" s="64">
        <v>42381</v>
      </c>
      <c r="F50" s="67" t="s">
        <v>326</v>
      </c>
      <c r="G50" s="361" t="s">
        <v>388</v>
      </c>
      <c r="H50" s="74" t="s">
        <v>324</v>
      </c>
      <c r="I50" s="514"/>
      <c r="J50" s="514"/>
      <c r="K50" s="506"/>
      <c r="L50" s="514"/>
      <c r="M50" s="85">
        <v>1215000</v>
      </c>
      <c r="N50" s="66" t="s">
        <v>993</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8">
        <v>2</v>
      </c>
    </row>
    <row r="51" spans="1:35" s="1048" customFormat="1" ht="15.75" customHeight="1">
      <c r="A51" s="397" t="str">
        <f>IF(B51&lt;&gt;"",IF(AND(B51&gt;=_TM1,B51&lt;=_TM2,OR(TH!N51="1111",TH!O51="1111")),TH!D51,""),"")</f>
        <v>C07</v>
      </c>
      <c r="B51" s="63">
        <f t="shared" si="1"/>
        <v>1</v>
      </c>
      <c r="C51" s="64">
        <v>42381</v>
      </c>
      <c r="D51" s="64" t="s">
        <v>65</v>
      </c>
      <c r="E51" s="64">
        <v>42381</v>
      </c>
      <c r="F51" s="67" t="s">
        <v>389</v>
      </c>
      <c r="G51" s="361" t="s">
        <v>390</v>
      </c>
      <c r="H51" s="74" t="s">
        <v>391</v>
      </c>
      <c r="I51" s="514"/>
      <c r="J51" s="514"/>
      <c r="K51" s="506"/>
      <c r="L51" s="514"/>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8" customFormat="1" ht="15.75" hidden="1" customHeight="1">
      <c r="A52" s="397" t="str">
        <f>IF(B52&lt;&gt;"",IF(AND(B52&gt;=_TM1,B52&lt;=_TM2,OR(TH!N52="1111",TH!O52="1111")),TH!D52,""),"")</f>
        <v/>
      </c>
      <c r="B52" s="63">
        <f t="shared" si="1"/>
        <v>1</v>
      </c>
      <c r="C52" s="64">
        <v>42382</v>
      </c>
      <c r="D52" s="64" t="s">
        <v>45</v>
      </c>
      <c r="E52" s="64">
        <v>42382</v>
      </c>
      <c r="F52" s="67" t="s">
        <v>392</v>
      </c>
      <c r="G52" s="361" t="s">
        <v>393</v>
      </c>
      <c r="H52" s="74" t="s">
        <v>52</v>
      </c>
      <c r="I52" s="514"/>
      <c r="J52" s="514"/>
      <c r="K52" s="506"/>
      <c r="L52" s="514"/>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c r="AI52" s="1048">
        <v>2</v>
      </c>
    </row>
    <row r="53" spans="1:35" s="1048" customFormat="1" ht="15.75" hidden="1" customHeight="1">
      <c r="A53" s="397" t="str">
        <f>IF(B53&lt;&gt;"",IF(AND(B53&gt;=_TM1,B53&lt;=_TM2,OR(TH!N53="1111",TH!O53="1111")),TH!D53,""),"")</f>
        <v/>
      </c>
      <c r="B53" s="63">
        <f t="shared" si="1"/>
        <v>1</v>
      </c>
      <c r="C53" s="64">
        <v>42382</v>
      </c>
      <c r="D53" s="64" t="s">
        <v>45</v>
      </c>
      <c r="E53" s="64">
        <v>42382</v>
      </c>
      <c r="F53" s="67" t="s">
        <v>394</v>
      </c>
      <c r="G53" s="361" t="s">
        <v>393</v>
      </c>
      <c r="H53" s="74" t="s">
        <v>52</v>
      </c>
      <c r="I53" s="514"/>
      <c r="J53" s="514"/>
      <c r="K53" s="506"/>
      <c r="L53" s="514"/>
      <c r="M53" s="85">
        <v>38909091</v>
      </c>
      <c r="N53" s="66" t="s">
        <v>993</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8">
        <v>2</v>
      </c>
    </row>
    <row r="54" spans="1:35" s="1048" customFormat="1" ht="15.75" hidden="1" customHeight="1">
      <c r="A54" s="397" t="str">
        <f>IF(B54&lt;&gt;"",IF(AND(B54&gt;=_TM1,B54&lt;=_TM2,OR(TH!N54="1111",TH!O54="1111")),TH!D54,""),"")</f>
        <v/>
      </c>
      <c r="B54" s="63">
        <f t="shared" si="1"/>
        <v>1</v>
      </c>
      <c r="C54" s="64">
        <v>42383</v>
      </c>
      <c r="D54" s="64" t="s">
        <v>8</v>
      </c>
      <c r="E54" s="64">
        <v>42383</v>
      </c>
      <c r="F54" s="67" t="s">
        <v>395</v>
      </c>
      <c r="G54" s="361" t="s">
        <v>808</v>
      </c>
      <c r="H54" s="74"/>
      <c r="I54" s="514"/>
      <c r="J54" s="514"/>
      <c r="K54" s="506"/>
      <c r="L54" s="514"/>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5" s="1048" customFormat="1" ht="15.75" hidden="1" customHeight="1">
      <c r="A55" s="397" t="str">
        <f>IF(B55&lt;&gt;"",IF(AND(B55&gt;=_TM1,B55&lt;=_TM2,OR(TH!N55="1111",TH!O55="1111")),TH!D55,""),"")</f>
        <v/>
      </c>
      <c r="B55" s="63">
        <f t="shared" si="1"/>
        <v>1</v>
      </c>
      <c r="C55" s="64">
        <v>42383</v>
      </c>
      <c r="D55" s="64" t="s">
        <v>45</v>
      </c>
      <c r="E55" s="64">
        <v>42383</v>
      </c>
      <c r="F55" s="67" t="s">
        <v>395</v>
      </c>
      <c r="G55" s="361"/>
      <c r="H55" s="74"/>
      <c r="I55" s="514"/>
      <c r="J55" s="514"/>
      <c r="K55" s="506"/>
      <c r="L55" s="514"/>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5" s="1048" customFormat="1" ht="15.75" customHeight="1">
      <c r="A56" s="397" t="str">
        <f>IF(B56&lt;&gt;"",IF(AND(B56&gt;=_TM1,B56&lt;=_TM2,OR(TH!N56="1111",TH!O56="1111")),TH!D56,""),"")</f>
        <v>C08</v>
      </c>
      <c r="B56" s="63">
        <f t="shared" si="1"/>
        <v>1</v>
      </c>
      <c r="C56" s="403">
        <v>42384</v>
      </c>
      <c r="D56" s="64" t="s">
        <v>66</v>
      </c>
      <c r="E56" s="64">
        <v>42384</v>
      </c>
      <c r="F56" s="67" t="s">
        <v>186</v>
      </c>
      <c r="G56" s="361" t="s">
        <v>396</v>
      </c>
      <c r="H56" s="74" t="s">
        <v>327</v>
      </c>
      <c r="I56" s="514"/>
      <c r="J56" s="514"/>
      <c r="K56" s="506"/>
      <c r="L56" s="514"/>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5" s="1048" customFormat="1" ht="15.75" hidden="1" customHeight="1">
      <c r="A57" s="397" t="str">
        <f>IF(B57&lt;&gt;"",IF(AND(B57&gt;=_TM1,B57&lt;=_TM2,OR(TH!N57="1111",TH!O57="1111")),TH!D57,""),"")</f>
        <v>T01</v>
      </c>
      <c r="B57" s="63">
        <f t="shared" si="1"/>
        <v>1</v>
      </c>
      <c r="C57" s="64">
        <v>42384</v>
      </c>
      <c r="D57" s="64" t="s">
        <v>11</v>
      </c>
      <c r="E57" s="64">
        <v>42384</v>
      </c>
      <c r="F57" s="67" t="s">
        <v>397</v>
      </c>
      <c r="G57" s="361" t="s">
        <v>808</v>
      </c>
      <c r="H57" s="74" t="s">
        <v>161</v>
      </c>
      <c r="I57" s="514"/>
      <c r="J57" s="514"/>
      <c r="K57" s="506"/>
      <c r="L57" s="514"/>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8" customFormat="1" ht="15.75" customHeight="1">
      <c r="A58" s="397" t="str">
        <f>IF(B58&lt;&gt;"",IF(AND(B58&gt;=_TM1,B58&lt;=_TM2,OR(TH!N58="1111",TH!O58="1111")),TH!D58,""),"")</f>
        <v>C09</v>
      </c>
      <c r="B58" s="63">
        <f t="shared" si="1"/>
        <v>1</v>
      </c>
      <c r="C58" s="64">
        <v>42385</v>
      </c>
      <c r="D58" s="64" t="s">
        <v>71</v>
      </c>
      <c r="E58" s="64">
        <v>42385</v>
      </c>
      <c r="F58" s="67" t="s">
        <v>398</v>
      </c>
      <c r="G58" s="361" t="s">
        <v>218</v>
      </c>
      <c r="H58" s="74" t="s">
        <v>399</v>
      </c>
      <c r="I58" s="514"/>
      <c r="J58" s="514"/>
      <c r="K58" s="506"/>
      <c r="L58" s="514"/>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8">
        <v>2</v>
      </c>
    </row>
    <row r="59" spans="1:35" s="1048" customFormat="1" ht="15.75" customHeight="1">
      <c r="A59" s="397" t="str">
        <f>IF(B59&lt;&gt;"",IF(AND(B59&gt;=_TM1,B59&lt;=_TM2,OR(TH!N59="1111",TH!O59="1111")),TH!D59,""),"")</f>
        <v>C09</v>
      </c>
      <c r="B59" s="63">
        <f t="shared" si="1"/>
        <v>1</v>
      </c>
      <c r="C59" s="64">
        <v>42385</v>
      </c>
      <c r="D59" s="64" t="s">
        <v>71</v>
      </c>
      <c r="E59" s="64">
        <v>42385</v>
      </c>
      <c r="F59" s="67" t="s">
        <v>400</v>
      </c>
      <c r="G59" s="361" t="s">
        <v>218</v>
      </c>
      <c r="H59" s="74" t="s">
        <v>399</v>
      </c>
      <c r="I59" s="514"/>
      <c r="J59" s="514"/>
      <c r="K59" s="506"/>
      <c r="L59" s="514"/>
      <c r="M59" s="85">
        <v>1275000</v>
      </c>
      <c r="N59" s="66" t="s">
        <v>993</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8">
        <v>2</v>
      </c>
    </row>
    <row r="60" spans="1:35" s="1048" customFormat="1" ht="15.75" customHeight="1">
      <c r="A60" s="397" t="str">
        <f>IF(B60&lt;&gt;"",IF(AND(B60&gt;=_TM1,B60&lt;=_TM2,OR(TH!N60="1111",TH!O60="1111")),TH!D60,""),"")</f>
        <v>C10</v>
      </c>
      <c r="B60" s="63">
        <f t="shared" si="1"/>
        <v>1</v>
      </c>
      <c r="C60" s="64">
        <v>42387</v>
      </c>
      <c r="D60" s="64" t="s">
        <v>72</v>
      </c>
      <c r="E60" s="64">
        <v>42387</v>
      </c>
      <c r="F60" s="67" t="s">
        <v>401</v>
      </c>
      <c r="G60" s="361" t="s">
        <v>402</v>
      </c>
      <c r="H60" s="74" t="s">
        <v>399</v>
      </c>
      <c r="I60" s="514"/>
      <c r="J60" s="514"/>
      <c r="K60" s="506"/>
      <c r="L60" s="514"/>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c r="AI60" s="1048">
        <v>2</v>
      </c>
    </row>
    <row r="61" spans="1:35" s="1048" customFormat="1" ht="15.75" customHeight="1">
      <c r="A61" s="397" t="str">
        <f>IF(B61&lt;&gt;"",IF(AND(B61&gt;=_TM1,B61&lt;=_TM2,OR(TH!N61="1111",TH!O61="1111")),TH!D61,""),"")</f>
        <v>C10</v>
      </c>
      <c r="B61" s="63">
        <f t="shared" si="1"/>
        <v>1</v>
      </c>
      <c r="C61" s="64">
        <v>42387</v>
      </c>
      <c r="D61" s="64" t="s">
        <v>72</v>
      </c>
      <c r="E61" s="64">
        <v>42387</v>
      </c>
      <c r="F61" s="67" t="s">
        <v>403</v>
      </c>
      <c r="G61" s="361" t="s">
        <v>402</v>
      </c>
      <c r="H61" s="74" t="s">
        <v>399</v>
      </c>
      <c r="I61" s="514"/>
      <c r="J61" s="514"/>
      <c r="K61" s="506"/>
      <c r="L61" s="514"/>
      <c r="M61" s="85">
        <v>1660000</v>
      </c>
      <c r="N61" s="66" t="s">
        <v>993</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c r="AI61" s="1048">
        <v>2</v>
      </c>
    </row>
    <row r="62" spans="1:35" s="1048" customFormat="1" ht="15.75" customHeight="1">
      <c r="A62" s="397" t="str">
        <f>IF(B62&lt;&gt;"",IF(AND(B62&gt;=_TM1,B62&lt;=_TM2,OR(TH!N62="1111",TH!O62="1111")),TH!D62,""),"")</f>
        <v>C11</v>
      </c>
      <c r="B62" s="63">
        <f t="shared" si="1"/>
        <v>1</v>
      </c>
      <c r="C62" s="64">
        <v>42388</v>
      </c>
      <c r="D62" s="64" t="s">
        <v>73</v>
      </c>
      <c r="E62" s="64">
        <v>42388</v>
      </c>
      <c r="F62" s="67" t="s">
        <v>404</v>
      </c>
      <c r="G62" s="361" t="s">
        <v>405</v>
      </c>
      <c r="H62" s="74" t="s">
        <v>399</v>
      </c>
      <c r="I62" s="514"/>
      <c r="J62" s="514"/>
      <c r="K62" s="506"/>
      <c r="L62" s="514"/>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c r="AI62" s="1048">
        <v>2</v>
      </c>
    </row>
    <row r="63" spans="1:35" s="1048" customFormat="1" ht="15.75" customHeight="1">
      <c r="A63" s="397" t="str">
        <f>IF(B63&lt;&gt;"",IF(AND(B63&gt;=_TM1,B63&lt;=_TM2,OR(TH!N63="1111",TH!O63="1111")),TH!D63,""),"")</f>
        <v>C11</v>
      </c>
      <c r="B63" s="63">
        <f t="shared" si="1"/>
        <v>1</v>
      </c>
      <c r="C63" s="64">
        <v>42388</v>
      </c>
      <c r="D63" s="64" t="s">
        <v>73</v>
      </c>
      <c r="E63" s="64">
        <v>42388</v>
      </c>
      <c r="F63" s="67" t="s">
        <v>406</v>
      </c>
      <c r="G63" s="361" t="s">
        <v>405</v>
      </c>
      <c r="H63" s="74" t="s">
        <v>399</v>
      </c>
      <c r="I63" s="514"/>
      <c r="J63" s="514"/>
      <c r="K63" s="506"/>
      <c r="L63" s="514"/>
      <c r="M63" s="85">
        <v>1620000</v>
      </c>
      <c r="N63" s="66" t="s">
        <v>993</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c r="AI63" s="1048">
        <v>2</v>
      </c>
    </row>
    <row r="64" spans="1:35" s="1048" customFormat="1" ht="15.75" customHeight="1">
      <c r="A64" s="397" t="str">
        <f>IF(B64&lt;&gt;"",IF(AND(B64&gt;=_TM1,B64&lt;=_TM2,OR(TH!N64="1111",TH!O64="1111")),TH!D64,""),"")</f>
        <v>C12</v>
      </c>
      <c r="B64" s="63">
        <f t="shared" si="1"/>
        <v>1</v>
      </c>
      <c r="C64" s="64">
        <v>42389</v>
      </c>
      <c r="D64" s="64" t="s">
        <v>74</v>
      </c>
      <c r="E64" s="64">
        <v>42389</v>
      </c>
      <c r="F64" s="67" t="s">
        <v>186</v>
      </c>
      <c r="G64" s="361" t="s">
        <v>407</v>
      </c>
      <c r="H64" s="74" t="s">
        <v>327</v>
      </c>
      <c r="I64" s="514"/>
      <c r="J64" s="514"/>
      <c r="K64" s="506"/>
      <c r="L64" s="514"/>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5" s="1048" customFormat="1" ht="15.75" customHeight="1">
      <c r="A65" s="397" t="str">
        <f>IF(B65&lt;&gt;"",IF(AND(B65&gt;=_TM1,B65&lt;=_TM2,OR(TH!N65="1111",TH!O65="1111")),TH!D65,""),"")</f>
        <v>C13</v>
      </c>
      <c r="B65" s="63">
        <f t="shared" si="1"/>
        <v>1</v>
      </c>
      <c r="C65" s="64">
        <v>42389</v>
      </c>
      <c r="D65" s="64" t="s">
        <v>75</v>
      </c>
      <c r="E65" s="64">
        <v>42389</v>
      </c>
      <c r="F65" s="67" t="s">
        <v>408</v>
      </c>
      <c r="G65" s="361" t="s">
        <v>409</v>
      </c>
      <c r="H65" s="74" t="s">
        <v>330</v>
      </c>
      <c r="I65" s="514"/>
      <c r="J65" s="514"/>
      <c r="K65" s="506"/>
      <c r="L65" s="514"/>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5" s="1048" customFormat="1" ht="15.75" customHeight="1">
      <c r="A66" s="397" t="str">
        <f>IF(B66&lt;&gt;"",IF(AND(B66&gt;=_TM1,B66&lt;=_TM2,OR(TH!N66="1111",TH!O66="1111")),TH!D66,""),"")</f>
        <v>C14</v>
      </c>
      <c r="B66" s="63">
        <f t="shared" si="1"/>
        <v>1</v>
      </c>
      <c r="C66" s="64">
        <v>42390</v>
      </c>
      <c r="D66" s="64" t="s">
        <v>76</v>
      </c>
      <c r="E66" s="64">
        <v>42343</v>
      </c>
      <c r="F66" s="67" t="s">
        <v>410</v>
      </c>
      <c r="G66" s="361" t="s">
        <v>411</v>
      </c>
      <c r="H66" s="74" t="s">
        <v>412</v>
      </c>
      <c r="I66" s="514"/>
      <c r="J66" s="514"/>
      <c r="K66" s="506"/>
      <c r="L66" s="514"/>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8">
        <v>2</v>
      </c>
    </row>
    <row r="67" spans="1:35" s="1048" customFormat="1" ht="15.75" customHeight="1">
      <c r="A67" s="397" t="str">
        <f>IF(B67&lt;&gt;"",IF(AND(B67&gt;=_TM1,B67&lt;=_TM2,OR(TH!N67="1111",TH!O67="1111")),TH!D67,""),"")</f>
        <v>C14</v>
      </c>
      <c r="B67" s="63">
        <f t="shared" si="1"/>
        <v>1</v>
      </c>
      <c r="C67" s="403">
        <v>42390</v>
      </c>
      <c r="D67" s="64" t="s">
        <v>76</v>
      </c>
      <c r="E67" s="64">
        <v>42343</v>
      </c>
      <c r="F67" s="67" t="s">
        <v>413</v>
      </c>
      <c r="G67" s="361" t="s">
        <v>411</v>
      </c>
      <c r="H67" s="74" t="s">
        <v>412</v>
      </c>
      <c r="I67" s="514"/>
      <c r="J67" s="514"/>
      <c r="K67" s="506"/>
      <c r="L67" s="514"/>
      <c r="M67" s="85">
        <v>1380400</v>
      </c>
      <c r="N67" s="66" t="s">
        <v>993</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8">
        <v>2</v>
      </c>
    </row>
    <row r="68" spans="1:35" s="1048" customFormat="1" ht="15.75" hidden="1" customHeight="1">
      <c r="A68" s="397" t="str">
        <f>IF(B68&lt;&gt;"",IF(AND(B68&gt;=_TM1,B68&lt;=_TM2,OR(TH!N68="1111",TH!O68="1111")),TH!D68,""),"")</f>
        <v/>
      </c>
      <c r="B68" s="63">
        <f t="shared" si="1"/>
        <v>1</v>
      </c>
      <c r="C68" s="403">
        <v>42390</v>
      </c>
      <c r="D68" s="64" t="s">
        <v>8</v>
      </c>
      <c r="E68" s="64">
        <v>42390</v>
      </c>
      <c r="F68" s="67" t="s">
        <v>414</v>
      </c>
      <c r="G68" s="361" t="s">
        <v>808</v>
      </c>
      <c r="H68" s="74" t="s">
        <v>167</v>
      </c>
      <c r="I68" s="514"/>
      <c r="J68" s="514"/>
      <c r="K68" s="506"/>
      <c r="L68" s="514"/>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5" s="1048" customFormat="1" ht="15.75" hidden="1" customHeight="1">
      <c r="A69" s="397" t="str">
        <f>IF(B69&lt;&gt;"",IF(AND(B69&gt;=_TM1,B69&lt;=_TM2,OR(TH!N69="1111",TH!O69="1111")),TH!D69,""),"")</f>
        <v/>
      </c>
      <c r="B69" s="63">
        <f t="shared" si="1"/>
        <v>1</v>
      </c>
      <c r="C69" s="403">
        <v>42390</v>
      </c>
      <c r="D69" s="64" t="s">
        <v>8</v>
      </c>
      <c r="E69" s="64">
        <v>42390</v>
      </c>
      <c r="F69" s="67" t="s">
        <v>414</v>
      </c>
      <c r="G69" s="361" t="s">
        <v>808</v>
      </c>
      <c r="H69" s="74" t="s">
        <v>168</v>
      </c>
      <c r="I69" s="514"/>
      <c r="J69" s="514"/>
      <c r="K69" s="506"/>
      <c r="L69" s="514"/>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5" s="1048" customFormat="1" ht="15.75" customHeight="1">
      <c r="A70" s="397" t="str">
        <f>IF(B70&lt;&gt;"",IF(AND(B70&gt;=_TM1,B70&lt;=_TM2,OR(TH!N70="1111",TH!O70="1111")),TH!D70,""),"")</f>
        <v>C15</v>
      </c>
      <c r="B70" s="63">
        <f t="shared" si="1"/>
        <v>1</v>
      </c>
      <c r="C70" s="64">
        <v>42390</v>
      </c>
      <c r="D70" s="64" t="s">
        <v>77</v>
      </c>
      <c r="E70" s="64">
        <v>42390</v>
      </c>
      <c r="F70" s="67" t="s">
        <v>408</v>
      </c>
      <c r="G70" s="361" t="s">
        <v>415</v>
      </c>
      <c r="H70" s="74" t="s">
        <v>327</v>
      </c>
      <c r="I70" s="514"/>
      <c r="J70" s="514"/>
      <c r="K70" s="506"/>
      <c r="L70" s="514"/>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8" customFormat="1" ht="15.75" customHeight="1">
      <c r="A71" s="397" t="str">
        <f>IF(B71&lt;&gt;"",IF(AND(B71&gt;=_TM1,B71&lt;=_TM2,OR(TH!N71="1111",TH!O71="1111")),TH!D71,""),"")</f>
        <v>C16</v>
      </c>
      <c r="B71" s="63">
        <f t="shared" si="1"/>
        <v>1</v>
      </c>
      <c r="C71" s="64">
        <v>42390</v>
      </c>
      <c r="D71" s="64" t="s">
        <v>78</v>
      </c>
      <c r="E71" s="64">
        <v>42390</v>
      </c>
      <c r="F71" s="67" t="s">
        <v>416</v>
      </c>
      <c r="G71" s="361" t="s">
        <v>417</v>
      </c>
      <c r="H71" s="74" t="s">
        <v>88</v>
      </c>
      <c r="I71" s="514"/>
      <c r="J71" s="514"/>
      <c r="K71" s="506"/>
      <c r="L71" s="514"/>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c r="AI71" s="1048">
        <v>1</v>
      </c>
    </row>
    <row r="72" spans="1:35" s="1048" customFormat="1" ht="15.75" customHeight="1">
      <c r="A72" s="397" t="str">
        <f>IF(B72&lt;&gt;"",IF(AND(B72&gt;=_TM1,B72&lt;=_TM2,OR(TH!N72="1111",TH!O72="1111")),TH!D72,""),"")</f>
        <v>C16</v>
      </c>
      <c r="B72" s="63">
        <f t="shared" si="1"/>
        <v>1</v>
      </c>
      <c r="C72" s="403">
        <v>42390</v>
      </c>
      <c r="D72" s="64" t="s">
        <v>78</v>
      </c>
      <c r="E72" s="64">
        <v>42390</v>
      </c>
      <c r="F72" s="67" t="s">
        <v>418</v>
      </c>
      <c r="G72" s="361" t="s">
        <v>417</v>
      </c>
      <c r="H72" s="74" t="s">
        <v>88</v>
      </c>
      <c r="I72" s="514"/>
      <c r="J72" s="514"/>
      <c r="K72" s="506"/>
      <c r="L72" s="514"/>
      <c r="M72" s="100">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8">
        <v>1</v>
      </c>
    </row>
    <row r="73" spans="1:35" s="1048" customFormat="1" ht="15.75" customHeight="1">
      <c r="A73" s="397" t="str">
        <f>IF(B73&lt;&gt;"",IF(AND(B73&gt;=_TM1,B73&lt;=_TM2,OR(TH!N73="1111",TH!O73="1111")),TH!D73,""),"")</f>
        <v>C17</v>
      </c>
      <c r="B73" s="63">
        <f t="shared" si="1"/>
        <v>1</v>
      </c>
      <c r="C73" s="403">
        <v>42391</v>
      </c>
      <c r="D73" s="64" t="s">
        <v>79</v>
      </c>
      <c r="E73" s="64">
        <v>42391</v>
      </c>
      <c r="F73" s="67" t="s">
        <v>419</v>
      </c>
      <c r="G73" s="361" t="s">
        <v>808</v>
      </c>
      <c r="H73" s="74" t="s">
        <v>161</v>
      </c>
      <c r="I73" s="514"/>
      <c r="J73" s="514"/>
      <c r="K73" s="506"/>
      <c r="L73" s="514"/>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5" s="1048" customFormat="1" ht="15.75" hidden="1" customHeight="1">
      <c r="A74" s="397" t="str">
        <f>IF(B74&lt;&gt;"",IF(AND(B74&gt;=_TM1,B74&lt;=_TM2,OR(TH!N74="1111",TH!O74="1111")),TH!D74,""),"")</f>
        <v/>
      </c>
      <c r="B74" s="63">
        <f t="shared" si="1"/>
        <v>1</v>
      </c>
      <c r="C74" s="64">
        <v>42391</v>
      </c>
      <c r="D74" s="64" t="s">
        <v>8</v>
      </c>
      <c r="E74" s="64">
        <v>42391</v>
      </c>
      <c r="F74" s="67" t="s">
        <v>414</v>
      </c>
      <c r="G74" s="361" t="s">
        <v>808</v>
      </c>
      <c r="H74" s="74" t="s">
        <v>170</v>
      </c>
      <c r="I74" s="514"/>
      <c r="J74" s="514"/>
      <c r="K74" s="506"/>
      <c r="L74" s="514"/>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8" customFormat="1" ht="15.75" hidden="1" customHeight="1">
      <c r="A75" s="397" t="str">
        <f>IF(B75&lt;&gt;"",IF(AND(B75&gt;=_TM1,B75&lt;=_TM2,OR(TH!N75="1111",TH!O75="1111")),TH!D75,""),"")</f>
        <v/>
      </c>
      <c r="B75" s="63">
        <f t="shared" si="1"/>
        <v>1</v>
      </c>
      <c r="C75" s="64">
        <v>42391</v>
      </c>
      <c r="D75" s="64" t="s">
        <v>8</v>
      </c>
      <c r="E75" s="64">
        <v>42391</v>
      </c>
      <c r="F75" s="67" t="s">
        <v>414</v>
      </c>
      <c r="G75" s="361" t="s">
        <v>808</v>
      </c>
      <c r="H75" s="74" t="s">
        <v>169</v>
      </c>
      <c r="I75" s="514"/>
      <c r="J75" s="514"/>
      <c r="K75" s="506"/>
      <c r="L75" s="514"/>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8" customFormat="1" ht="15.75" hidden="1" customHeight="1">
      <c r="A76" s="397" t="str">
        <f>IF(B76&lt;&gt;"",IF(AND(B76&gt;=_TM1,B76&lt;=_TM2,OR(TH!N76="1111",TH!O76="1111")),TH!D76,""),"")</f>
        <v/>
      </c>
      <c r="B76" s="63">
        <f t="shared" si="1"/>
        <v>1</v>
      </c>
      <c r="C76" s="64">
        <v>42391</v>
      </c>
      <c r="D76" s="64" t="s">
        <v>8</v>
      </c>
      <c r="E76" s="64">
        <v>42391</v>
      </c>
      <c r="F76" s="67" t="s">
        <v>414</v>
      </c>
      <c r="G76" s="361" t="s">
        <v>808</v>
      </c>
      <c r="H76" s="74" t="s">
        <v>171</v>
      </c>
      <c r="I76" s="514"/>
      <c r="J76" s="514"/>
      <c r="K76" s="506"/>
      <c r="L76" s="514"/>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8" customFormat="1" ht="15.75" hidden="1" customHeight="1">
      <c r="A77" s="397" t="str">
        <f>IF(B77&lt;&gt;"",IF(AND(B77&gt;=_TM1,B77&lt;=_TM2,OR(TH!N77="1111",TH!O77="1111")),TH!D77,""),"")</f>
        <v/>
      </c>
      <c r="B77" s="63">
        <f t="shared" si="1"/>
        <v>1</v>
      </c>
      <c r="C77" s="64">
        <v>42391</v>
      </c>
      <c r="D77" s="64" t="s">
        <v>8</v>
      </c>
      <c r="E77" s="64">
        <v>42391</v>
      </c>
      <c r="F77" s="67" t="s">
        <v>414</v>
      </c>
      <c r="G77" s="361" t="s">
        <v>808</v>
      </c>
      <c r="H77" s="74" t="s">
        <v>172</v>
      </c>
      <c r="I77" s="514"/>
      <c r="J77" s="514"/>
      <c r="K77" s="506"/>
      <c r="L77" s="514"/>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5" s="1048" customFormat="1" ht="15.75" hidden="1" customHeight="1">
      <c r="A78" s="397" t="str">
        <f>IF(B78&lt;&gt;"",IF(AND(B78&gt;=_TM1,B78&lt;=_TM2,OR(TH!N78="1111",TH!O78="1111")),TH!D78,""),"")</f>
        <v/>
      </c>
      <c r="B78" s="63">
        <f t="shared" si="1"/>
        <v>1</v>
      </c>
      <c r="C78" s="403">
        <v>42391</v>
      </c>
      <c r="D78" s="64" t="s">
        <v>8</v>
      </c>
      <c r="E78" s="64">
        <v>42391</v>
      </c>
      <c r="F78" s="67" t="s">
        <v>414</v>
      </c>
      <c r="G78" s="361" t="s">
        <v>808</v>
      </c>
      <c r="H78" s="74" t="s">
        <v>173</v>
      </c>
      <c r="I78" s="514"/>
      <c r="J78" s="514"/>
      <c r="K78" s="506"/>
      <c r="L78" s="514"/>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5" s="1048" customFormat="1" ht="15.75" hidden="1" customHeight="1">
      <c r="A79" s="397" t="str">
        <f>IF(B79&lt;&gt;"",IF(AND(B79&gt;=_TM1,B79&lt;=_TM2,OR(TH!N79="1111",TH!O79="1111")),TH!D79,""),"")</f>
        <v/>
      </c>
      <c r="B79" s="63">
        <f t="shared" si="1"/>
        <v>1</v>
      </c>
      <c r="C79" s="64">
        <v>42391</v>
      </c>
      <c r="D79" s="64" t="s">
        <v>8</v>
      </c>
      <c r="E79" s="64">
        <v>42391</v>
      </c>
      <c r="F79" s="67" t="s">
        <v>414</v>
      </c>
      <c r="G79" s="361" t="s">
        <v>808</v>
      </c>
      <c r="H79" s="74" t="s">
        <v>174</v>
      </c>
      <c r="I79" s="514"/>
      <c r="J79" s="514"/>
      <c r="K79" s="506"/>
      <c r="L79" s="514"/>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8" customFormat="1" ht="15.75" hidden="1" customHeight="1">
      <c r="A80" s="397" t="str">
        <f>IF(B80&lt;&gt;"",IF(AND(B80&gt;=_TM1,B80&lt;=_TM2,OR(TH!N80="1111",TH!O80="1111")),TH!D80,""),"")</f>
        <v/>
      </c>
      <c r="B80" s="63">
        <f t="shared" si="1"/>
        <v>1</v>
      </c>
      <c r="C80" s="64">
        <v>42391</v>
      </c>
      <c r="D80" s="64" t="s">
        <v>8</v>
      </c>
      <c r="E80" s="64">
        <v>42391</v>
      </c>
      <c r="F80" s="67" t="s">
        <v>414</v>
      </c>
      <c r="G80" s="361" t="s">
        <v>808</v>
      </c>
      <c r="H80" s="74" t="s">
        <v>175</v>
      </c>
      <c r="I80" s="514"/>
      <c r="J80" s="514"/>
      <c r="K80" s="506"/>
      <c r="L80" s="514"/>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5" s="1048" customFormat="1" ht="15.75" hidden="1" customHeight="1">
      <c r="A81" s="397" t="str">
        <f>IF(B81&lt;&gt;"",IF(AND(B81&gt;=_TM1,B81&lt;=_TM2,OR(TH!N81="1111",TH!O81="1111")),TH!D81,""),"")</f>
        <v/>
      </c>
      <c r="B81" s="63">
        <f t="shared" si="1"/>
        <v>1</v>
      </c>
      <c r="C81" s="64">
        <v>42391</v>
      </c>
      <c r="D81" s="64" t="s">
        <v>8</v>
      </c>
      <c r="E81" s="64">
        <v>42391</v>
      </c>
      <c r="F81" s="67" t="s">
        <v>414</v>
      </c>
      <c r="G81" s="361" t="s">
        <v>808</v>
      </c>
      <c r="H81" s="74" t="s">
        <v>177</v>
      </c>
      <c r="I81" s="514"/>
      <c r="J81" s="514"/>
      <c r="K81" s="506"/>
      <c r="L81" s="514"/>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5" s="1048" customFormat="1" ht="15.75" hidden="1" customHeight="1">
      <c r="A82" s="397" t="str">
        <f>IF(B82&lt;&gt;"",IF(AND(B82&gt;=_TM1,B82&lt;=_TM2,OR(TH!N82="1111",TH!O82="1111")),TH!D82,""),"")</f>
        <v/>
      </c>
      <c r="B82" s="63">
        <f t="shared" si="1"/>
        <v>1</v>
      </c>
      <c r="C82" s="64">
        <v>42391</v>
      </c>
      <c r="D82" s="64" t="s">
        <v>8</v>
      </c>
      <c r="E82" s="64">
        <v>42391</v>
      </c>
      <c r="F82" s="67" t="s">
        <v>414</v>
      </c>
      <c r="G82" s="361" t="s">
        <v>808</v>
      </c>
      <c r="H82" s="74" t="s">
        <v>180</v>
      </c>
      <c r="I82" s="514"/>
      <c r="J82" s="514"/>
      <c r="K82" s="506"/>
      <c r="L82" s="514"/>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ref="AC82:AC145" si="3">IF(AND(1&lt;=$B82,$B82&lt;=3),"1",IF(AND(4&lt;=$B82,$B82&lt;=6),"2",IF(AND(7&lt;=$B82,$B82&lt;=9),"3",IF(AND(10&lt;=$B82,$B82&lt;=12),"4",""))))</f>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5" s="1048" customFormat="1" ht="15.75" hidden="1" customHeight="1">
      <c r="A83" s="397" t="str">
        <f>IF(B83&lt;&gt;"",IF(AND(B83&gt;=_TM1,B83&lt;=_TM2,OR(TH!N83="1111",TH!O83="1111")),TH!D83,""),"")</f>
        <v/>
      </c>
      <c r="B83" s="63">
        <f t="shared" ref="B83:B146" si="4">IF(C83&lt;&gt;"",MONTH(C83),"")</f>
        <v>1</v>
      </c>
      <c r="C83" s="64">
        <v>42391</v>
      </c>
      <c r="D83" s="64" t="s">
        <v>8</v>
      </c>
      <c r="E83" s="64">
        <v>42391</v>
      </c>
      <c r="F83" s="67" t="s">
        <v>414</v>
      </c>
      <c r="G83" s="361" t="s">
        <v>808</v>
      </c>
      <c r="H83" s="74" t="s">
        <v>181</v>
      </c>
      <c r="I83" s="514"/>
      <c r="J83" s="514"/>
      <c r="K83" s="506"/>
      <c r="L83" s="514"/>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3"/>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5" s="1048" customFormat="1" ht="15.75" hidden="1" customHeight="1">
      <c r="A84" s="397" t="str">
        <f>IF(B84&lt;&gt;"",IF(AND(B84&gt;=_TM1,B84&lt;=_TM2,OR(TH!N84="1111",TH!O84="1111")),TH!D84,""),"")</f>
        <v/>
      </c>
      <c r="B84" s="63">
        <f t="shared" si="4"/>
        <v>1</v>
      </c>
      <c r="C84" s="64">
        <v>42391</v>
      </c>
      <c r="D84" s="64" t="s">
        <v>8</v>
      </c>
      <c r="E84" s="64">
        <v>42391</v>
      </c>
      <c r="F84" s="67" t="s">
        <v>414</v>
      </c>
      <c r="G84" s="361" t="s">
        <v>808</v>
      </c>
      <c r="H84" s="74" t="s">
        <v>185</v>
      </c>
      <c r="I84" s="514"/>
      <c r="J84" s="514"/>
      <c r="K84" s="506"/>
      <c r="L84" s="514"/>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3"/>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5" s="1048" customFormat="1" ht="15.75" hidden="1" customHeight="1">
      <c r="A85" s="397" t="str">
        <f>IF(B85&lt;&gt;"",IF(AND(B85&gt;=_TM1,B85&lt;=_TM2,OR(TH!N85="1111",TH!O85="1111")),TH!D85,""),"")</f>
        <v/>
      </c>
      <c r="B85" s="63">
        <f t="shared" si="4"/>
        <v>1</v>
      </c>
      <c r="C85" s="403">
        <v>42391</v>
      </c>
      <c r="D85" s="64" t="s">
        <v>8</v>
      </c>
      <c r="E85" s="64">
        <v>42391</v>
      </c>
      <c r="F85" s="67" t="s">
        <v>414</v>
      </c>
      <c r="G85" s="361" t="s">
        <v>808</v>
      </c>
      <c r="H85" s="74" t="s">
        <v>176</v>
      </c>
      <c r="I85" s="514"/>
      <c r="J85" s="514"/>
      <c r="K85" s="506"/>
      <c r="L85" s="514"/>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3"/>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5" s="1048" customFormat="1" ht="15.75" customHeight="1">
      <c r="A86" s="397" t="str">
        <f>IF(B86&lt;&gt;"",IF(AND(B86&gt;=_TM1,B86&lt;=_TM2,OR(TH!N86="1111",TH!O86="1111")),TH!D86,""),"")</f>
        <v>C18</v>
      </c>
      <c r="B86" s="63">
        <f t="shared" si="4"/>
        <v>1</v>
      </c>
      <c r="C86" s="64">
        <v>42391</v>
      </c>
      <c r="D86" s="64" t="s">
        <v>80</v>
      </c>
      <c r="E86" s="64">
        <v>42391</v>
      </c>
      <c r="F86" s="67" t="s">
        <v>420</v>
      </c>
      <c r="G86" s="361" t="s">
        <v>421</v>
      </c>
      <c r="H86" s="74" t="s">
        <v>331</v>
      </c>
      <c r="I86" s="514"/>
      <c r="J86" s="514"/>
      <c r="K86" s="506"/>
      <c r="L86" s="514"/>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si="3"/>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5" s="1048" customFormat="1" ht="15.75" hidden="1" customHeight="1">
      <c r="A87" s="397" t="str">
        <f>IF(B87&lt;&gt;"",IF(AND(B87&gt;=_TM1,B87&lt;=_TM2,OR(TH!N87="1111",TH!O87="1111")),TH!D87,""),"")</f>
        <v/>
      </c>
      <c r="B87" s="63">
        <f t="shared" si="4"/>
        <v>1</v>
      </c>
      <c r="C87" s="64">
        <v>42392</v>
      </c>
      <c r="D87" s="64" t="s">
        <v>8</v>
      </c>
      <c r="E87" s="64">
        <v>42392</v>
      </c>
      <c r="F87" s="67" t="s">
        <v>58</v>
      </c>
      <c r="G87" s="361" t="s">
        <v>808</v>
      </c>
      <c r="H87" s="74"/>
      <c r="I87" s="514"/>
      <c r="J87" s="514"/>
      <c r="K87" s="506"/>
      <c r="L87" s="514"/>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3"/>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5" s="1048" customFormat="1" ht="15.75" customHeight="1">
      <c r="A88" s="397" t="str">
        <f>IF(B88&lt;&gt;"",IF(AND(B88&gt;=_TM1,B88&lt;=_TM2,OR(TH!N88="1111",TH!O88="1111")),TH!D88,""),"")</f>
        <v>C19</v>
      </c>
      <c r="B88" s="63">
        <f t="shared" si="4"/>
        <v>1</v>
      </c>
      <c r="C88" s="64">
        <v>42392</v>
      </c>
      <c r="D88" s="64" t="s">
        <v>81</v>
      </c>
      <c r="E88" s="64">
        <v>42392</v>
      </c>
      <c r="F88" s="67" t="s">
        <v>422</v>
      </c>
      <c r="G88" s="375" t="s">
        <v>423</v>
      </c>
      <c r="H88" s="74" t="s">
        <v>424</v>
      </c>
      <c r="I88" s="514"/>
      <c r="J88" s="514"/>
      <c r="K88" s="506"/>
      <c r="L88" s="514"/>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3"/>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5" s="1048" customFormat="1" ht="15.75" customHeight="1">
      <c r="A89" s="397" t="str">
        <f>IF(B89&lt;&gt;"",IF(AND(B89&gt;=_TM1,B89&lt;=_TM2,OR(TH!N89="1111",TH!O89="1111")),TH!D89,""),"")</f>
        <v>C20</v>
      </c>
      <c r="B89" s="63">
        <f t="shared" si="4"/>
        <v>1</v>
      </c>
      <c r="C89" s="64">
        <v>42392</v>
      </c>
      <c r="D89" s="64" t="s">
        <v>82</v>
      </c>
      <c r="E89" s="64">
        <v>42392</v>
      </c>
      <c r="F89" s="67" t="s">
        <v>408</v>
      </c>
      <c r="G89" s="375" t="s">
        <v>425</v>
      </c>
      <c r="H89" s="74" t="s">
        <v>426</v>
      </c>
      <c r="I89" s="514"/>
      <c r="J89" s="514"/>
      <c r="K89" s="506"/>
      <c r="L89" s="514"/>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3"/>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5" s="1048" customFormat="1" ht="15.75" customHeight="1">
      <c r="A90" s="397" t="str">
        <f>IF(B90&lt;&gt;"",IF(AND(B90&gt;=_TM1,B90&lt;=_TM2,OR(TH!N90="1111",TH!O90="1111")),TH!D90,""),"")</f>
        <v>C21</v>
      </c>
      <c r="B90" s="63">
        <f t="shared" si="4"/>
        <v>1</v>
      </c>
      <c r="C90" s="64">
        <v>42395</v>
      </c>
      <c r="D90" s="64" t="s">
        <v>188</v>
      </c>
      <c r="E90" s="64">
        <v>42395</v>
      </c>
      <c r="F90" s="67" t="s">
        <v>427</v>
      </c>
      <c r="G90" s="361"/>
      <c r="H90" s="74" t="s">
        <v>428</v>
      </c>
      <c r="I90" s="514"/>
      <c r="J90" s="514"/>
      <c r="K90" s="506"/>
      <c r="L90" s="514"/>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3"/>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5" s="1048" customFormat="1" ht="15.75" customHeight="1">
      <c r="A91" s="397" t="str">
        <f>IF(B91&lt;&gt;"",IF(AND(B91&gt;=_TM1,B91&lt;=_TM2,OR(TH!N91="1111",TH!O91="1111")),TH!D91,""),"")</f>
        <v>C22</v>
      </c>
      <c r="B91" s="63">
        <f t="shared" si="4"/>
        <v>1</v>
      </c>
      <c r="C91" s="64">
        <v>42396</v>
      </c>
      <c r="D91" s="64" t="s">
        <v>189</v>
      </c>
      <c r="E91" s="64">
        <v>42392</v>
      </c>
      <c r="F91" s="67" t="s">
        <v>429</v>
      </c>
      <c r="G91" s="361" t="s">
        <v>430</v>
      </c>
      <c r="H91" s="74" t="s">
        <v>424</v>
      </c>
      <c r="I91" s="514"/>
      <c r="J91" s="514"/>
      <c r="K91" s="506"/>
      <c r="L91" s="514"/>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3"/>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5" s="1048" customFormat="1" ht="15.75" customHeight="1">
      <c r="A92" s="397" t="str">
        <f>IF(B92&lt;&gt;"",IF(AND(B92&gt;=_TM1,B92&lt;=_TM2,OR(TH!N92="1111",TH!O92="1111")),TH!D92,""),"")</f>
        <v>C23</v>
      </c>
      <c r="B92" s="63">
        <f t="shared" si="4"/>
        <v>1</v>
      </c>
      <c r="C92" s="64">
        <v>42398</v>
      </c>
      <c r="D92" s="64" t="s">
        <v>190</v>
      </c>
      <c r="E92" s="64">
        <v>42398</v>
      </c>
      <c r="F92" s="67" t="s">
        <v>419</v>
      </c>
      <c r="G92" s="361" t="s">
        <v>808</v>
      </c>
      <c r="H92" s="74" t="s">
        <v>161</v>
      </c>
      <c r="I92" s="514"/>
      <c r="J92" s="514"/>
      <c r="K92" s="506"/>
      <c r="L92" s="514"/>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3"/>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5" s="1048" customFormat="1" ht="15.75" hidden="1" customHeight="1">
      <c r="A93" s="397" t="str">
        <f>IF(B93&lt;&gt;"",IF(AND(B93&gt;=_TM1,B93&lt;=_TM2,OR(TH!N93="1111",TH!O93="1111")),TH!D93,""),"")</f>
        <v/>
      </c>
      <c r="B93" s="63">
        <f t="shared" si="4"/>
        <v>1</v>
      </c>
      <c r="C93" s="64">
        <v>42399</v>
      </c>
      <c r="D93" s="64" t="s">
        <v>8</v>
      </c>
      <c r="E93" s="64">
        <v>42399</v>
      </c>
      <c r="F93" s="67" t="s">
        <v>164</v>
      </c>
      <c r="G93" s="361" t="s">
        <v>808</v>
      </c>
      <c r="H93" s="74" t="s">
        <v>165</v>
      </c>
      <c r="I93" s="514"/>
      <c r="J93" s="514"/>
      <c r="K93" s="506"/>
      <c r="L93" s="514"/>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3"/>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5" s="1048" customFormat="1" ht="15.75" hidden="1" customHeight="1">
      <c r="A94" s="397" t="str">
        <f>IF(B94&lt;&gt;"",IF(AND(B94&gt;=_TM1,B94&lt;=_TM2,OR(TH!N94="1111",TH!O94="1111")),TH!D94,""),"")</f>
        <v/>
      </c>
      <c r="B94" s="63">
        <f t="shared" si="4"/>
        <v>1</v>
      </c>
      <c r="C94" s="64">
        <v>42399</v>
      </c>
      <c r="D94" s="64" t="s">
        <v>8</v>
      </c>
      <c r="E94" s="64">
        <v>42399</v>
      </c>
      <c r="F94" s="67" t="s">
        <v>22</v>
      </c>
      <c r="G94" s="361" t="s">
        <v>808</v>
      </c>
      <c r="H94" s="74"/>
      <c r="I94" s="514"/>
      <c r="J94" s="514"/>
      <c r="K94" s="506"/>
      <c r="L94" s="514"/>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3"/>
        <v>1</v>
      </c>
      <c r="AD94" s="66" t="str">
        <f>IF(AND(MONTH(E94)='IN-NX'!$J$5,'IN-NX'!$D$7=D94,OR(LEFT(TH!N94,2)="15",LEFT(TH!O94,2)="15")),"x","")</f>
        <v/>
      </c>
      <c r="AE94" s="66" t="str">
        <f>IF(AND(OR(LEFT(TH!N94,2)="15",LEFT(TH!O94,2)="15"),'152-CT'!$J$8=TH!F94),"x","")</f>
        <v/>
      </c>
      <c r="AF94" s="66" t="str">
        <f>IF(AND(OR(LEFT(TH!N94,2)="15",LEFT(TH!O94,2)="15"),'THE KHO'!$E$7=TH!F94),"x","")</f>
        <v/>
      </c>
      <c r="AG94" s="66" t="str">
        <f>IF(AND(N94="1521",MONTH(C94)='BK NL'!$M$11),"x","")</f>
        <v/>
      </c>
      <c r="AI94" s="1048">
        <v>1</v>
      </c>
    </row>
    <row r="95" spans="1:35" s="1048" customFormat="1" ht="15.75" hidden="1" customHeight="1">
      <c r="A95" s="397" t="str">
        <f>IF(B95&lt;&gt;"",IF(AND(B95&gt;=_TM1,B95&lt;=_TM2,OR(TH!N95="1111",TH!O95="1111")),TH!D95,""),"")</f>
        <v/>
      </c>
      <c r="B95" s="63">
        <f t="shared" si="4"/>
        <v>1</v>
      </c>
      <c r="C95" s="64">
        <v>42399</v>
      </c>
      <c r="D95" s="64" t="s">
        <v>8</v>
      </c>
      <c r="E95" s="64">
        <v>42399</v>
      </c>
      <c r="F95" s="67" t="s">
        <v>23</v>
      </c>
      <c r="G95" s="361" t="s">
        <v>808</v>
      </c>
      <c r="H95" s="74"/>
      <c r="I95" s="514"/>
      <c r="J95" s="514"/>
      <c r="K95" s="506"/>
      <c r="L95" s="514"/>
      <c r="M95" s="100">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3"/>
        <v>1</v>
      </c>
      <c r="AD95" s="66" t="str">
        <f>IF(AND(MONTH(E95)='IN-NX'!$J$5,'IN-NX'!$D$7=D95,OR(LEFT(TH!N95,2)="15",LEFT(TH!O95,2)="15")),"x","")</f>
        <v/>
      </c>
      <c r="AE95" s="66" t="str">
        <f>IF(AND(OR(LEFT(TH!N95,2)="15",LEFT(TH!O95,2)="15"),'152-CT'!$J$8=TH!F95),"x","")</f>
        <v/>
      </c>
      <c r="AF95" s="66" t="str">
        <f>IF(AND(OR(LEFT(TH!N95,2)="15",LEFT(TH!O95,2)="15"),'THE KHO'!$E$7=TH!F95),"x","")</f>
        <v/>
      </c>
      <c r="AG95" s="66" t="str">
        <f>IF(AND(N95="1521",MONTH(C95)='BK NL'!$M$11),"x","")</f>
        <v/>
      </c>
      <c r="AI95" s="1048">
        <v>1</v>
      </c>
    </row>
    <row r="96" spans="1:35" s="1048" customFormat="1" ht="15.75" hidden="1" customHeight="1">
      <c r="A96" s="397" t="str">
        <f>IF(B96&lt;&gt;"",IF(AND(B96&gt;=_TM1,B96&lt;=_TM2,OR(TH!N96="1111",TH!O96="1111")),TH!D96,""),"")</f>
        <v/>
      </c>
      <c r="B96" s="63">
        <f t="shared" si="4"/>
        <v>1</v>
      </c>
      <c r="C96" s="64">
        <v>42399</v>
      </c>
      <c r="D96" s="64" t="s">
        <v>8</v>
      </c>
      <c r="E96" s="64">
        <v>42399</v>
      </c>
      <c r="F96" s="67" t="s">
        <v>164</v>
      </c>
      <c r="G96" s="361" t="s">
        <v>808</v>
      </c>
      <c r="H96" s="74" t="s">
        <v>51</v>
      </c>
      <c r="I96" s="514"/>
      <c r="J96" s="514"/>
      <c r="K96" s="506"/>
      <c r="L96" s="514"/>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3"/>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8" customFormat="1" ht="15.75" hidden="1" customHeight="1">
      <c r="A97" s="397" t="str">
        <f>IF(B97&lt;&gt;"",IF(AND(B97&gt;=_TM1,B97&lt;=_TM2,OR(TH!N97="1111",TH!O97="1111")),TH!D97,""),"")</f>
        <v/>
      </c>
      <c r="B97" s="63">
        <f t="shared" si="4"/>
        <v>1</v>
      </c>
      <c r="C97" s="403">
        <v>42399</v>
      </c>
      <c r="D97" s="64" t="s">
        <v>8</v>
      </c>
      <c r="E97" s="64">
        <v>42399</v>
      </c>
      <c r="F97" s="67" t="s">
        <v>22</v>
      </c>
      <c r="G97" s="361" t="s">
        <v>808</v>
      </c>
      <c r="H97" s="74"/>
      <c r="I97" s="514"/>
      <c r="J97" s="514"/>
      <c r="K97" s="506"/>
      <c r="L97" s="514"/>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3"/>
        <v>1</v>
      </c>
      <c r="AD97" s="66" t="str">
        <f>IF(AND(MONTH(E97)='IN-NX'!$J$5,'IN-NX'!$D$7=D97,OR(LEFT(TH!N97,2)="15",LEFT(TH!O97,2)="15")),"x","")</f>
        <v/>
      </c>
      <c r="AE97" s="66" t="str">
        <f>IF(AND(OR(LEFT(TH!N97,2)="15",LEFT(TH!O97,2)="15"),'152-CT'!$J$8=TH!F97),"x","")</f>
        <v/>
      </c>
      <c r="AF97" s="66" t="str">
        <f>IF(AND(OR(LEFT(TH!N97,2)="15",LEFT(TH!O97,2)="15"),'THE KHO'!$E$7=TH!F97),"x","")</f>
        <v/>
      </c>
      <c r="AG97" s="66" t="str">
        <f>IF(AND(N97="1521",MONTH(C97)='BK NL'!$M$11),"x","")</f>
        <v/>
      </c>
      <c r="AI97" s="1048">
        <v>1</v>
      </c>
    </row>
    <row r="98" spans="1:35" s="1048" customFormat="1" ht="15.75" hidden="1" customHeight="1">
      <c r="A98" s="397" t="str">
        <f>IF(B98&lt;&gt;"",IF(AND(B98&gt;=_TM1,B98&lt;=_TM2,OR(TH!N98="1111",TH!O98="1111")),TH!D98,""),"")</f>
        <v/>
      </c>
      <c r="B98" s="63">
        <f t="shared" si="4"/>
        <v>1</v>
      </c>
      <c r="C98" s="64">
        <v>42399</v>
      </c>
      <c r="D98" s="64" t="s">
        <v>8</v>
      </c>
      <c r="E98" s="64">
        <v>42399</v>
      </c>
      <c r="F98" s="67" t="s">
        <v>23</v>
      </c>
      <c r="G98" s="361" t="s">
        <v>808</v>
      </c>
      <c r="H98" s="74"/>
      <c r="I98" s="514"/>
      <c r="J98" s="514"/>
      <c r="K98" s="506"/>
      <c r="L98" s="514"/>
      <c r="M98" s="100">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3"/>
        <v>1</v>
      </c>
      <c r="AD98" s="66" t="str">
        <f>IF(AND(MONTH(E98)='IN-NX'!$J$5,'IN-NX'!$D$7=D98,OR(LEFT(TH!N98,2)="15",LEFT(TH!O98,2)="15")),"x","")</f>
        <v/>
      </c>
      <c r="AE98" s="66" t="str">
        <f>IF(AND(OR(LEFT(TH!N98,2)="15",LEFT(TH!O98,2)="15"),'152-CT'!$J$8=TH!F98),"x","")</f>
        <v/>
      </c>
      <c r="AF98" s="66" t="str">
        <f>IF(AND(OR(LEFT(TH!N98,2)="15",LEFT(TH!O98,2)="15"),'THE KHO'!$E$7=TH!F98),"x","")</f>
        <v/>
      </c>
      <c r="AG98" s="66" t="str">
        <f>IF(AND(N98="1521",MONTH(C98)='BK NL'!$M$11),"x","")</f>
        <v/>
      </c>
      <c r="AI98" s="1048">
        <v>1</v>
      </c>
    </row>
    <row r="99" spans="1:35" s="1048" customFormat="1" ht="15.75" hidden="1" customHeight="1">
      <c r="A99" s="397" t="str">
        <f>IF(B99&lt;&gt;"",IF(AND(B99&gt;=_TM1,B99&lt;=_TM2,OR(TH!N99="1111",TH!O99="1111")),TH!D99,""),"")</f>
        <v/>
      </c>
      <c r="B99" s="63">
        <f t="shared" si="4"/>
        <v>1</v>
      </c>
      <c r="C99" s="64">
        <v>42399</v>
      </c>
      <c r="D99" s="64" t="s">
        <v>8</v>
      </c>
      <c r="E99" s="64">
        <v>42399</v>
      </c>
      <c r="F99" s="67" t="s">
        <v>431</v>
      </c>
      <c r="G99" s="361" t="s">
        <v>808</v>
      </c>
      <c r="H99" s="74" t="s">
        <v>222</v>
      </c>
      <c r="I99" s="514"/>
      <c r="J99" s="514"/>
      <c r="K99" s="506"/>
      <c r="L99" s="514"/>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3"/>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8" customFormat="1" ht="15.75" hidden="1" customHeight="1">
      <c r="A100" s="397" t="str">
        <f>IF(B100&lt;&gt;"",IF(AND(B100&gt;=_TM1,B100&lt;=_TM2,OR(TH!N100="1111",TH!O100="1111")),TH!D100,""),"")</f>
        <v/>
      </c>
      <c r="B100" s="63">
        <f t="shared" si="4"/>
        <v>1</v>
      </c>
      <c r="C100" s="403">
        <v>42399</v>
      </c>
      <c r="D100" s="64" t="s">
        <v>8</v>
      </c>
      <c r="E100" s="64">
        <v>42399</v>
      </c>
      <c r="F100" s="67" t="s">
        <v>22</v>
      </c>
      <c r="G100" s="361" t="s">
        <v>808</v>
      </c>
      <c r="H100" s="74"/>
      <c r="I100" s="514"/>
      <c r="J100" s="514"/>
      <c r="K100" s="506"/>
      <c r="L100" s="514"/>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3"/>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8">
        <v>1</v>
      </c>
    </row>
    <row r="101" spans="1:35" s="1048" customFormat="1" ht="15.75" hidden="1" customHeight="1">
      <c r="A101" s="397" t="str">
        <f>IF(B101&lt;&gt;"",IF(AND(B101&gt;=_TM1,B101&lt;=_TM2,OR(TH!N101="1111",TH!O101="1111")),TH!D101,""),"")</f>
        <v/>
      </c>
      <c r="B101" s="63">
        <f t="shared" si="4"/>
        <v>1</v>
      </c>
      <c r="C101" s="64">
        <v>42399</v>
      </c>
      <c r="D101" s="64" t="s">
        <v>8</v>
      </c>
      <c r="E101" s="64">
        <v>42399</v>
      </c>
      <c r="F101" s="67" t="s">
        <v>23</v>
      </c>
      <c r="G101" s="361" t="s">
        <v>808</v>
      </c>
      <c r="H101" s="74"/>
      <c r="I101" s="514"/>
      <c r="J101" s="514"/>
      <c r="K101" s="506"/>
      <c r="L101" s="514"/>
      <c r="M101" s="100">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3"/>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8">
        <v>1</v>
      </c>
    </row>
    <row r="102" spans="1:35" s="1048" customFormat="1" ht="15.75" customHeight="1">
      <c r="A102" s="397" t="str">
        <f>IF(B102&lt;&gt;"",IF(AND(B102&gt;=_TM1,B102&lt;=_TM2,OR(TH!N102="1111",TH!O102="1111")),TH!D102,""),"")</f>
        <v>C24</v>
      </c>
      <c r="B102" s="63">
        <f t="shared" si="4"/>
        <v>1</v>
      </c>
      <c r="C102" s="403">
        <v>42400</v>
      </c>
      <c r="D102" s="64" t="s">
        <v>191</v>
      </c>
      <c r="E102" s="64">
        <v>42400</v>
      </c>
      <c r="F102" s="67" t="s">
        <v>328</v>
      </c>
      <c r="G102" s="361" t="s">
        <v>432</v>
      </c>
      <c r="H102" s="74" t="s">
        <v>433</v>
      </c>
      <c r="I102" s="514"/>
      <c r="J102" s="514"/>
      <c r="K102" s="506"/>
      <c r="L102" s="514"/>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3"/>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c r="AI102" s="1048">
        <v>2</v>
      </c>
    </row>
    <row r="103" spans="1:35" s="1048" customFormat="1" ht="15.75" customHeight="1">
      <c r="A103" s="397" t="str">
        <f>IF(B103&lt;&gt;"",IF(AND(B103&gt;=_TM1,B103&lt;=_TM2,OR(TH!N103="1111",TH!O103="1111")),TH!D103,""),"")</f>
        <v>C24</v>
      </c>
      <c r="B103" s="63">
        <f t="shared" si="4"/>
        <v>1</v>
      </c>
      <c r="C103" s="64">
        <v>42400</v>
      </c>
      <c r="D103" s="64" t="s">
        <v>191</v>
      </c>
      <c r="E103" s="64">
        <v>42400</v>
      </c>
      <c r="F103" s="67" t="s">
        <v>329</v>
      </c>
      <c r="G103" s="361" t="s">
        <v>432</v>
      </c>
      <c r="H103" s="74" t="s">
        <v>433</v>
      </c>
      <c r="I103" s="514"/>
      <c r="J103" s="514"/>
      <c r="K103" s="506"/>
      <c r="L103" s="514"/>
      <c r="M103" s="85">
        <v>145455</v>
      </c>
      <c r="N103" s="66" t="s">
        <v>993</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3"/>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8">
        <v>2</v>
      </c>
    </row>
    <row r="104" spans="1:35" s="1048" customFormat="1" ht="15.75" customHeight="1">
      <c r="A104" s="397" t="str">
        <f>IF(B104&lt;&gt;"",IF(AND(B104&gt;=_TM1,B104&lt;=_TM2,OR(TH!N104="1111",TH!O104="1111")),TH!D104,""),"")</f>
        <v>C25</v>
      </c>
      <c r="B104" s="63">
        <f t="shared" si="4"/>
        <v>2</v>
      </c>
      <c r="C104" s="64">
        <v>42401</v>
      </c>
      <c r="D104" s="64" t="s">
        <v>192</v>
      </c>
      <c r="E104" s="64">
        <v>42401</v>
      </c>
      <c r="F104" s="67" t="s">
        <v>408</v>
      </c>
      <c r="G104" s="361" t="s">
        <v>434</v>
      </c>
      <c r="H104" s="76" t="s">
        <v>327</v>
      </c>
      <c r="I104" s="515"/>
      <c r="J104" s="515"/>
      <c r="K104" s="507"/>
      <c r="L104" s="515"/>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3"/>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5" s="1048" customFormat="1" ht="15.75" customHeight="1">
      <c r="A105" s="397" t="str">
        <f>IF(B105&lt;&gt;"",IF(AND(B105&gt;=_TM1,B105&lt;=_TM2,OR(TH!N105="1111",TH!O105="1111")),TH!D105,""),"")</f>
        <v>C26</v>
      </c>
      <c r="B105" s="63">
        <f t="shared" si="4"/>
        <v>2</v>
      </c>
      <c r="C105" s="64">
        <v>42403</v>
      </c>
      <c r="D105" s="64" t="s">
        <v>193</v>
      </c>
      <c r="E105" s="64">
        <v>42403</v>
      </c>
      <c r="F105" s="67" t="s">
        <v>419</v>
      </c>
      <c r="G105" s="361" t="s">
        <v>808</v>
      </c>
      <c r="H105" s="76" t="s">
        <v>161</v>
      </c>
      <c r="I105" s="515"/>
      <c r="J105" s="515"/>
      <c r="K105" s="507"/>
      <c r="L105" s="515"/>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3"/>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8" customFormat="1" ht="15.75" hidden="1" customHeight="1">
      <c r="A106" s="397" t="str">
        <f>IF(B106&lt;&gt;"",IF(AND(B106&gt;=_TM1,B106&lt;=_TM2,OR(TH!N106="1111",TH!O106="1111")),TH!D106,""),"")</f>
        <v/>
      </c>
      <c r="B106" s="63">
        <f t="shared" si="4"/>
        <v>2</v>
      </c>
      <c r="C106" s="403">
        <v>42403</v>
      </c>
      <c r="D106" s="64" t="s">
        <v>8</v>
      </c>
      <c r="E106" s="64">
        <v>42403</v>
      </c>
      <c r="F106" s="67" t="s">
        <v>435</v>
      </c>
      <c r="G106" s="361" t="s">
        <v>808</v>
      </c>
      <c r="H106" s="74" t="s">
        <v>222</v>
      </c>
      <c r="I106" s="514"/>
      <c r="J106" s="514"/>
      <c r="K106" s="506"/>
      <c r="L106" s="514"/>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3"/>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5" s="1048" customFormat="1" ht="15.75" hidden="1" customHeight="1">
      <c r="A107" s="397" t="str">
        <f>IF(B107&lt;&gt;"",IF(AND(B107&gt;=_TM1,B107&lt;=_TM2,OR(TH!N107="1111",TH!O107="1111")),TH!D107,""),"")</f>
        <v/>
      </c>
      <c r="B107" s="63">
        <f t="shared" si="4"/>
        <v>2</v>
      </c>
      <c r="C107" s="403">
        <v>42403</v>
      </c>
      <c r="D107" s="64" t="s">
        <v>8</v>
      </c>
      <c r="E107" s="64">
        <v>42403</v>
      </c>
      <c r="F107" s="67" t="s">
        <v>22</v>
      </c>
      <c r="G107" s="361" t="s">
        <v>808</v>
      </c>
      <c r="H107" s="76"/>
      <c r="I107" s="515"/>
      <c r="J107" s="515"/>
      <c r="K107" s="507"/>
      <c r="L107" s="515"/>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3"/>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8">
        <v>1</v>
      </c>
    </row>
    <row r="108" spans="1:35" s="1048" customFormat="1" ht="15.75" hidden="1" customHeight="1">
      <c r="A108" s="397" t="str">
        <f>IF(B108&lt;&gt;"",IF(AND(B108&gt;=_TM1,B108&lt;=_TM2,OR(TH!N108="1111",TH!O108="1111")),TH!D108,""),"")</f>
        <v/>
      </c>
      <c r="B108" s="63">
        <f t="shared" si="4"/>
        <v>2</v>
      </c>
      <c r="C108" s="64">
        <v>42403</v>
      </c>
      <c r="D108" s="64" t="s">
        <v>8</v>
      </c>
      <c r="E108" s="64">
        <v>42403</v>
      </c>
      <c r="F108" s="67" t="s">
        <v>23</v>
      </c>
      <c r="G108" s="361" t="s">
        <v>808</v>
      </c>
      <c r="H108" s="74"/>
      <c r="I108" s="514"/>
      <c r="J108" s="514"/>
      <c r="K108" s="506"/>
      <c r="L108" s="514"/>
      <c r="M108" s="100">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3"/>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8">
        <v>1</v>
      </c>
    </row>
    <row r="109" spans="1:35" s="1048" customFormat="1" ht="15.75" hidden="1" customHeight="1">
      <c r="A109" s="397" t="str">
        <f>IF(B109&lt;&gt;"",IF(AND(B109&gt;=_TM1,B109&lt;=_TM2,OR(TH!N109="1111",TH!O109="1111")),TH!D109,""),"")</f>
        <v/>
      </c>
      <c r="B109" s="63">
        <f t="shared" si="4"/>
        <v>2</v>
      </c>
      <c r="C109" s="64">
        <v>42403</v>
      </c>
      <c r="D109" s="64" t="s">
        <v>8</v>
      </c>
      <c r="E109" s="64">
        <v>42403</v>
      </c>
      <c r="F109" s="67" t="s">
        <v>436</v>
      </c>
      <c r="G109" s="361" t="s">
        <v>808</v>
      </c>
      <c r="H109" s="74" t="s">
        <v>89</v>
      </c>
      <c r="I109" s="514"/>
      <c r="J109" s="514"/>
      <c r="K109" s="506"/>
      <c r="L109" s="514"/>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3"/>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5" s="1048" customFormat="1" ht="15.75" hidden="1" customHeight="1">
      <c r="A110" s="397" t="str">
        <f>IF(B110&lt;&gt;"",IF(AND(B110&gt;=_TM1,B110&lt;=_TM2,OR(TH!N110="1111",TH!O110="1111")),TH!D110,""),"")</f>
        <v/>
      </c>
      <c r="B110" s="63">
        <f t="shared" si="4"/>
        <v>2</v>
      </c>
      <c r="C110" s="403">
        <v>42403</v>
      </c>
      <c r="D110" s="64" t="s">
        <v>8</v>
      </c>
      <c r="E110" s="64">
        <v>42403</v>
      </c>
      <c r="F110" s="67" t="s">
        <v>22</v>
      </c>
      <c r="G110" s="361" t="s">
        <v>808</v>
      </c>
      <c r="H110" s="76"/>
      <c r="I110" s="515"/>
      <c r="J110" s="515"/>
      <c r="K110" s="507"/>
      <c r="L110" s="515"/>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3"/>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c r="AI110" s="1048">
        <v>1</v>
      </c>
    </row>
    <row r="111" spans="1:35" s="1048" customFormat="1" ht="15.75" hidden="1" customHeight="1">
      <c r="A111" s="397" t="str">
        <f>IF(B111&lt;&gt;"",IF(AND(B111&gt;=_TM1,B111&lt;=_TM2,OR(TH!N111="1111",TH!O111="1111")),TH!D111,""),"")</f>
        <v/>
      </c>
      <c r="B111" s="63">
        <f t="shared" si="4"/>
        <v>2</v>
      </c>
      <c r="C111" s="64">
        <v>42403</v>
      </c>
      <c r="D111" s="64" t="s">
        <v>8</v>
      </c>
      <c r="E111" s="64">
        <v>42403</v>
      </c>
      <c r="F111" s="67" t="s">
        <v>23</v>
      </c>
      <c r="G111" s="361" t="s">
        <v>808</v>
      </c>
      <c r="H111" s="76"/>
      <c r="I111" s="515"/>
      <c r="J111" s="515"/>
      <c r="K111" s="507"/>
      <c r="L111" s="515"/>
      <c r="M111" s="100">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3"/>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c r="AI111" s="1048">
        <v>1</v>
      </c>
    </row>
    <row r="112" spans="1:35" s="1048" customFormat="1" ht="15.75" hidden="1" customHeight="1">
      <c r="A112" s="397" t="str">
        <f>IF(B112&lt;&gt;"",IF(AND(B112&gt;=_TM1,B112&lt;=_TM2,OR(TH!N112="1111",TH!O112="1111")),TH!D112,""),"")</f>
        <v/>
      </c>
      <c r="B112" s="63">
        <f t="shared" si="4"/>
        <v>2</v>
      </c>
      <c r="C112" s="64">
        <v>42403</v>
      </c>
      <c r="D112" s="64" t="s">
        <v>8</v>
      </c>
      <c r="E112" s="64">
        <v>42403</v>
      </c>
      <c r="F112" s="67" t="s">
        <v>437</v>
      </c>
      <c r="G112" s="361" t="s">
        <v>808</v>
      </c>
      <c r="H112" s="76" t="s">
        <v>63</v>
      </c>
      <c r="I112" s="515"/>
      <c r="J112" s="515"/>
      <c r="K112" s="507"/>
      <c r="L112" s="515"/>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3"/>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8" customFormat="1" ht="15.75" hidden="1" customHeight="1">
      <c r="A113" s="397" t="str">
        <f>IF(B113&lt;&gt;"",IF(AND(B113&gt;=_TM1,B113&lt;=_TM2,OR(TH!N113="1111",TH!O113="1111")),TH!D113,""),"")</f>
        <v/>
      </c>
      <c r="B113" s="63">
        <f t="shared" si="4"/>
        <v>2</v>
      </c>
      <c r="C113" s="64">
        <v>42403</v>
      </c>
      <c r="D113" s="64" t="s">
        <v>8</v>
      </c>
      <c r="E113" s="64">
        <v>42403</v>
      </c>
      <c r="F113" s="67" t="s">
        <v>22</v>
      </c>
      <c r="G113" s="361" t="s">
        <v>808</v>
      </c>
      <c r="H113" s="404"/>
      <c r="I113" s="515"/>
      <c r="J113" s="515"/>
      <c r="K113" s="507"/>
      <c r="L113" s="515"/>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3"/>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8">
        <v>1</v>
      </c>
    </row>
    <row r="114" spans="1:35" s="1048" customFormat="1" ht="15.75" hidden="1" customHeight="1">
      <c r="A114" s="397" t="str">
        <f>IF(B114&lt;&gt;"",IF(AND(B114&gt;=_TM1,B114&lt;=_TM2,OR(TH!N114="1111",TH!O114="1111")),TH!D114,""),"")</f>
        <v/>
      </c>
      <c r="B114" s="63">
        <f t="shared" si="4"/>
        <v>2</v>
      </c>
      <c r="C114" s="403">
        <v>42403</v>
      </c>
      <c r="D114" s="64" t="s">
        <v>8</v>
      </c>
      <c r="E114" s="64">
        <v>42403</v>
      </c>
      <c r="F114" s="67" t="s">
        <v>23</v>
      </c>
      <c r="G114" s="361" t="s">
        <v>808</v>
      </c>
      <c r="H114" s="74"/>
      <c r="I114" s="514"/>
      <c r="J114" s="514"/>
      <c r="K114" s="506"/>
      <c r="L114" s="514"/>
      <c r="M114" s="100">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3"/>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8">
        <v>1</v>
      </c>
    </row>
    <row r="115" spans="1:35" s="1048" customFormat="1" ht="15.75" hidden="1" customHeight="1">
      <c r="A115" s="397" t="str">
        <f>IF(B115&lt;&gt;"",IF(AND(B115&gt;=_TM1,B115&lt;=_TM2,OR(TH!N115="1111",TH!O115="1111")),TH!D115,""),"")</f>
        <v/>
      </c>
      <c r="B115" s="63">
        <f t="shared" si="4"/>
        <v>2</v>
      </c>
      <c r="C115" s="64">
        <v>42403</v>
      </c>
      <c r="D115" s="64" t="s">
        <v>8</v>
      </c>
      <c r="E115" s="64">
        <v>42403</v>
      </c>
      <c r="F115" s="67" t="s">
        <v>164</v>
      </c>
      <c r="G115" s="361" t="s">
        <v>808</v>
      </c>
      <c r="H115" s="74" t="s">
        <v>179</v>
      </c>
      <c r="I115" s="514"/>
      <c r="J115" s="514"/>
      <c r="K115" s="506"/>
      <c r="L115" s="514"/>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3"/>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8" customFormat="1" ht="15.75" hidden="1" customHeight="1">
      <c r="A116" s="397" t="str">
        <f>IF(B116&lt;&gt;"",IF(AND(B116&gt;=_TM1,B116&lt;=_TM2,OR(TH!N116="1111",TH!O116="1111")),TH!D116,""),"")</f>
        <v/>
      </c>
      <c r="B116" s="63">
        <f t="shared" si="4"/>
        <v>2</v>
      </c>
      <c r="C116" s="64">
        <v>42403</v>
      </c>
      <c r="D116" s="64" t="s">
        <v>8</v>
      </c>
      <c r="E116" s="64">
        <v>42403</v>
      </c>
      <c r="F116" s="67" t="s">
        <v>22</v>
      </c>
      <c r="G116" s="361" t="s">
        <v>808</v>
      </c>
      <c r="H116" s="74"/>
      <c r="I116" s="514"/>
      <c r="J116" s="514"/>
      <c r="K116" s="506"/>
      <c r="L116" s="514"/>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3"/>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8">
        <v>1</v>
      </c>
    </row>
    <row r="117" spans="1:35" s="1048" customFormat="1" ht="15.75" hidden="1" customHeight="1">
      <c r="A117" s="397" t="str">
        <f>IF(B117&lt;&gt;"",IF(AND(B117&gt;=_TM1,B117&lt;=_TM2,OR(TH!N117="1111",TH!O117="1111")),TH!D117,""),"")</f>
        <v/>
      </c>
      <c r="B117" s="63">
        <f t="shared" si="4"/>
        <v>2</v>
      </c>
      <c r="C117" s="403">
        <v>42403</v>
      </c>
      <c r="D117" s="64" t="s">
        <v>8</v>
      </c>
      <c r="E117" s="64">
        <v>42403</v>
      </c>
      <c r="F117" s="67" t="s">
        <v>23</v>
      </c>
      <c r="G117" s="361" t="s">
        <v>808</v>
      </c>
      <c r="H117" s="74"/>
      <c r="I117" s="514"/>
      <c r="J117" s="514"/>
      <c r="K117" s="506"/>
      <c r="L117" s="514"/>
      <c r="M117" s="100">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3"/>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8">
        <v>1</v>
      </c>
    </row>
    <row r="118" spans="1:35" s="1048" customFormat="1" ht="15.75" hidden="1" customHeight="1">
      <c r="A118" s="397" t="str">
        <f>IF(B118&lt;&gt;"",IF(AND(B118&gt;=_TM1,B118&lt;=_TM2,OR(TH!N118="1111",TH!O118="1111")),TH!D118,""),"")</f>
        <v/>
      </c>
      <c r="B118" s="63">
        <f t="shared" si="4"/>
        <v>2</v>
      </c>
      <c r="C118" s="403">
        <v>42403</v>
      </c>
      <c r="D118" s="64" t="s">
        <v>8</v>
      </c>
      <c r="E118" s="64">
        <v>42403</v>
      </c>
      <c r="F118" s="67" t="s">
        <v>164</v>
      </c>
      <c r="G118" s="361" t="s">
        <v>808</v>
      </c>
      <c r="H118" s="74" t="s">
        <v>51</v>
      </c>
      <c r="I118" s="514"/>
      <c r="J118" s="514"/>
      <c r="K118" s="506"/>
      <c r="L118" s="514"/>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3"/>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8" customFormat="1" ht="15.75" hidden="1" customHeight="1">
      <c r="A119" s="397" t="str">
        <f>IF(B119&lt;&gt;"",IF(AND(B119&gt;=_TM1,B119&lt;=_TM2,OR(TH!N119="1111",TH!O119="1111")),TH!D119,""),"")</f>
        <v/>
      </c>
      <c r="B119" s="63">
        <f t="shared" si="4"/>
        <v>2</v>
      </c>
      <c r="C119" s="64">
        <v>42403</v>
      </c>
      <c r="D119" s="64" t="s">
        <v>8</v>
      </c>
      <c r="E119" s="64">
        <v>42403</v>
      </c>
      <c r="F119" s="67" t="s">
        <v>22</v>
      </c>
      <c r="G119" s="361" t="s">
        <v>808</v>
      </c>
      <c r="H119" s="74"/>
      <c r="I119" s="514"/>
      <c r="J119" s="514"/>
      <c r="K119" s="506"/>
      <c r="L119" s="514"/>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3"/>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8">
        <v>1</v>
      </c>
    </row>
    <row r="120" spans="1:35" s="1048" customFormat="1" ht="15.75" hidden="1" customHeight="1">
      <c r="A120" s="397" t="str">
        <f>IF(B120&lt;&gt;"",IF(AND(B120&gt;=_TM1,B120&lt;=_TM2,OR(TH!N120="1111",TH!O120="1111")),TH!D120,""),"")</f>
        <v/>
      </c>
      <c r="B120" s="63">
        <f t="shared" si="4"/>
        <v>2</v>
      </c>
      <c r="C120" s="64">
        <v>42403</v>
      </c>
      <c r="D120" s="64" t="s">
        <v>8</v>
      </c>
      <c r="E120" s="64">
        <v>42403</v>
      </c>
      <c r="F120" s="67" t="s">
        <v>23</v>
      </c>
      <c r="G120" s="361" t="s">
        <v>808</v>
      </c>
      <c r="H120" s="74"/>
      <c r="I120" s="514"/>
      <c r="J120" s="514"/>
      <c r="K120" s="506"/>
      <c r="L120" s="514"/>
      <c r="M120" s="100">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3"/>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8">
        <v>1</v>
      </c>
    </row>
    <row r="121" spans="1:35" s="1048" customFormat="1" ht="15.75" hidden="1" customHeight="1">
      <c r="A121" s="397" t="str">
        <f>IF(B121&lt;&gt;"",IF(AND(B121&gt;=_TM1,B121&lt;=_TM2,OR(TH!N121="1111",TH!O121="1111")),TH!D121,""),"")</f>
        <v/>
      </c>
      <c r="B121" s="63">
        <f t="shared" si="4"/>
        <v>2</v>
      </c>
      <c r="C121" s="403">
        <v>42403</v>
      </c>
      <c r="D121" s="64" t="s">
        <v>8</v>
      </c>
      <c r="E121" s="64">
        <v>42403</v>
      </c>
      <c r="F121" s="67" t="s">
        <v>438</v>
      </c>
      <c r="G121" s="361" t="s">
        <v>808</v>
      </c>
      <c r="H121" s="74" t="s">
        <v>439</v>
      </c>
      <c r="I121" s="514"/>
      <c r="J121" s="514"/>
      <c r="K121" s="506"/>
      <c r="L121" s="514"/>
      <c r="M121" s="65">
        <v>110000000</v>
      </c>
      <c r="N121" s="66" t="s">
        <v>107</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3"/>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8" customFormat="1" ht="15.75" hidden="1" customHeight="1">
      <c r="A122" s="397" t="str">
        <f>IF(B122&lt;&gt;"",IF(AND(B122&gt;=_TM1,B122&lt;=_TM2,OR(TH!N122="1111",TH!O122="1111")),TH!D122,""),"")</f>
        <v>T02</v>
      </c>
      <c r="B122" s="63">
        <f t="shared" si="4"/>
        <v>2</v>
      </c>
      <c r="C122" s="403">
        <v>42403</v>
      </c>
      <c r="D122" s="64" t="s">
        <v>322</v>
      </c>
      <c r="E122" s="64">
        <v>42403</v>
      </c>
      <c r="F122" s="67" t="s">
        <v>440</v>
      </c>
      <c r="G122" s="361"/>
      <c r="H122" s="74" t="s">
        <v>439</v>
      </c>
      <c r="I122" s="514"/>
      <c r="J122" s="514"/>
      <c r="K122" s="506"/>
      <c r="L122" s="514"/>
      <c r="M122" s="65">
        <v>110000000</v>
      </c>
      <c r="N122" s="69" t="s">
        <v>98</v>
      </c>
      <c r="O122" s="66" t="s">
        <v>107</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3"/>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5" s="1048" customFormat="1" ht="15.75" hidden="1" customHeight="1">
      <c r="A123" s="397" t="str">
        <f>IF(B123&lt;&gt;"",IF(AND(B123&gt;=_TM1,B123&lt;=_TM2,OR(TH!N123="1111",TH!O123="1111")),TH!D123,""),"")</f>
        <v/>
      </c>
      <c r="B123" s="63">
        <f t="shared" si="4"/>
        <v>2</v>
      </c>
      <c r="C123" s="64">
        <v>42403</v>
      </c>
      <c r="D123" s="64" t="s">
        <v>8</v>
      </c>
      <c r="E123" s="64">
        <v>42403</v>
      </c>
      <c r="F123" s="67" t="s">
        <v>22</v>
      </c>
      <c r="G123" s="361" t="s">
        <v>808</v>
      </c>
      <c r="H123" s="74"/>
      <c r="I123" s="514"/>
      <c r="J123" s="514"/>
      <c r="K123" s="506"/>
      <c r="L123" s="514"/>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3"/>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8">
        <v>1</v>
      </c>
    </row>
    <row r="124" spans="1:35" s="1048" customFormat="1" ht="15.75" hidden="1" customHeight="1">
      <c r="A124" s="397" t="str">
        <f>IF(B124&lt;&gt;"",IF(AND(B124&gt;=_TM1,B124&lt;=_TM2,OR(TH!N124="1111",TH!O124="1111")),TH!D124,""),"")</f>
        <v/>
      </c>
      <c r="B124" s="63">
        <f t="shared" si="4"/>
        <v>2</v>
      </c>
      <c r="C124" s="64">
        <v>42403</v>
      </c>
      <c r="D124" s="64" t="s">
        <v>8</v>
      </c>
      <c r="E124" s="64">
        <v>42403</v>
      </c>
      <c r="F124" s="67" t="s">
        <v>23</v>
      </c>
      <c r="G124" s="361" t="s">
        <v>808</v>
      </c>
      <c r="H124" s="74"/>
      <c r="I124" s="514"/>
      <c r="J124" s="514"/>
      <c r="K124" s="506"/>
      <c r="L124" s="514"/>
      <c r="M124" s="100">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3"/>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c r="AI124" s="1048">
        <v>1</v>
      </c>
    </row>
    <row r="125" spans="1:35" s="1048" customFormat="1" ht="15.75" customHeight="1">
      <c r="A125" s="397" t="str">
        <f>IF(B125&lt;&gt;"",IF(AND(B125&gt;=_TM1,B125&lt;=_TM2,OR(TH!N125="1111",TH!O125="1111")),TH!D125,""),"")</f>
        <v>C27</v>
      </c>
      <c r="B125" s="63">
        <f t="shared" si="4"/>
        <v>2</v>
      </c>
      <c r="C125" s="403">
        <v>42410</v>
      </c>
      <c r="D125" s="64" t="s">
        <v>194</v>
      </c>
      <c r="E125" s="64">
        <v>42410</v>
      </c>
      <c r="F125" s="67" t="s">
        <v>441</v>
      </c>
      <c r="G125" s="361" t="s">
        <v>442</v>
      </c>
      <c r="H125" s="74" t="s">
        <v>323</v>
      </c>
      <c r="I125" s="514"/>
      <c r="J125" s="514"/>
      <c r="K125" s="506"/>
      <c r="L125" s="514"/>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3"/>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8">
        <v>1</v>
      </c>
    </row>
    <row r="126" spans="1:35" s="1048" customFormat="1" ht="15.75" customHeight="1">
      <c r="A126" s="397" t="str">
        <f>IF(B126&lt;&gt;"",IF(AND(B126&gt;=_TM1,B126&lt;=_TM2,OR(TH!N126="1111",TH!O126="1111")),TH!D126,""),"")</f>
        <v>C27</v>
      </c>
      <c r="B126" s="63">
        <f t="shared" si="4"/>
        <v>2</v>
      </c>
      <c r="C126" s="64">
        <v>42410</v>
      </c>
      <c r="D126" s="64" t="s">
        <v>194</v>
      </c>
      <c r="E126" s="64">
        <v>42410</v>
      </c>
      <c r="F126" s="67" t="s">
        <v>443</v>
      </c>
      <c r="G126" s="361" t="s">
        <v>442</v>
      </c>
      <c r="H126" s="74" t="s">
        <v>323</v>
      </c>
      <c r="I126" s="514"/>
      <c r="J126" s="514"/>
      <c r="K126" s="506"/>
      <c r="L126" s="514"/>
      <c r="M126" s="100">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3"/>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8">
        <v>1</v>
      </c>
    </row>
    <row r="127" spans="1:35" s="1048" customFormat="1" ht="15.75" customHeight="1">
      <c r="A127" s="397" t="str">
        <f>IF(B127&lt;&gt;"",IF(AND(B127&gt;=_TM1,B127&lt;=_TM2,OR(TH!N127="1111",TH!O127="1111")),TH!D127,""),"")</f>
        <v>C28</v>
      </c>
      <c r="B127" s="63">
        <f t="shared" si="4"/>
        <v>2</v>
      </c>
      <c r="C127" s="64">
        <v>42419</v>
      </c>
      <c r="D127" s="64" t="s">
        <v>195</v>
      </c>
      <c r="E127" s="64">
        <v>42419</v>
      </c>
      <c r="F127" s="67" t="s">
        <v>444</v>
      </c>
      <c r="G127" s="361" t="s">
        <v>445</v>
      </c>
      <c r="H127" s="74" t="s">
        <v>162</v>
      </c>
      <c r="I127" s="514"/>
      <c r="J127" s="514"/>
      <c r="K127" s="506"/>
      <c r="L127" s="514"/>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3"/>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c r="AI127" s="1048">
        <v>1</v>
      </c>
    </row>
    <row r="128" spans="1:35" s="1048" customFormat="1" ht="15.75" customHeight="1">
      <c r="A128" s="397" t="str">
        <f>IF(B128&lt;&gt;"",IF(AND(B128&gt;=_TM1,B128&lt;=_TM2,OR(TH!N128="1111",TH!O128="1111")),TH!D128,""),"")</f>
        <v>C28</v>
      </c>
      <c r="B128" s="63">
        <f t="shared" si="4"/>
        <v>2</v>
      </c>
      <c r="C128" s="64">
        <v>42419</v>
      </c>
      <c r="D128" s="64" t="s">
        <v>195</v>
      </c>
      <c r="E128" s="64">
        <v>42419</v>
      </c>
      <c r="F128" s="67" t="s">
        <v>446</v>
      </c>
      <c r="G128" s="361" t="s">
        <v>445</v>
      </c>
      <c r="H128" s="74" t="s">
        <v>162</v>
      </c>
      <c r="I128" s="514"/>
      <c r="J128" s="514"/>
      <c r="K128" s="506"/>
      <c r="L128" s="514"/>
      <c r="M128" s="100">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3"/>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c r="AI128" s="1048">
        <v>1</v>
      </c>
    </row>
    <row r="129" spans="1:33" s="1048" customFormat="1" ht="15.75" customHeight="1">
      <c r="A129" s="397" t="str">
        <f>IF(B129&lt;&gt;"",IF(AND(B129&gt;=_TM1,B129&lt;=_TM2,OR(TH!N129="1111",TH!O129="1111")),TH!D129,""),"")</f>
        <v>C29</v>
      </c>
      <c r="B129" s="63">
        <f t="shared" si="4"/>
        <v>2</v>
      </c>
      <c r="C129" s="64">
        <v>42424</v>
      </c>
      <c r="D129" s="64" t="s">
        <v>196</v>
      </c>
      <c r="E129" s="64">
        <v>42424</v>
      </c>
      <c r="F129" s="67" t="s">
        <v>419</v>
      </c>
      <c r="G129" s="361" t="s">
        <v>808</v>
      </c>
      <c r="H129" s="75" t="s">
        <v>161</v>
      </c>
      <c r="I129" s="516"/>
      <c r="J129" s="516"/>
      <c r="K129" s="508"/>
      <c r="L129" s="516"/>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3"/>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8" customFormat="1" ht="15.75" hidden="1" customHeight="1">
      <c r="A130" s="397" t="str">
        <f>IF(B130&lt;&gt;"",IF(AND(B130&gt;=_TM1,B130&lt;=_TM2,OR(TH!N130="1111",TH!O130="1111")),TH!D130,""),"")</f>
        <v/>
      </c>
      <c r="B130" s="63">
        <f t="shared" si="4"/>
        <v>2</v>
      </c>
      <c r="C130" s="64">
        <v>42424</v>
      </c>
      <c r="D130" s="64" t="s">
        <v>8</v>
      </c>
      <c r="E130" s="64">
        <v>42424</v>
      </c>
      <c r="F130" s="67" t="s">
        <v>414</v>
      </c>
      <c r="G130" s="361" t="s">
        <v>808</v>
      </c>
      <c r="H130" s="74" t="s">
        <v>167</v>
      </c>
      <c r="I130" s="514"/>
      <c r="J130" s="514"/>
      <c r="K130" s="506"/>
      <c r="L130" s="514"/>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3"/>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8" customFormat="1" ht="15.75" hidden="1" customHeight="1">
      <c r="A131" s="397" t="str">
        <f>IF(B131&lt;&gt;"",IF(AND(B131&gt;=_TM1,B131&lt;=_TM2,OR(TH!N131="1111",TH!O131="1111")),TH!D131,""),"")</f>
        <v/>
      </c>
      <c r="B131" s="63">
        <f t="shared" si="4"/>
        <v>2</v>
      </c>
      <c r="C131" s="64">
        <v>42424</v>
      </c>
      <c r="D131" s="64" t="s">
        <v>8</v>
      </c>
      <c r="E131" s="64">
        <v>42424</v>
      </c>
      <c r="F131" s="67" t="s">
        <v>414</v>
      </c>
      <c r="G131" s="361" t="s">
        <v>808</v>
      </c>
      <c r="H131" s="74" t="s">
        <v>168</v>
      </c>
      <c r="I131" s="514"/>
      <c r="J131" s="514"/>
      <c r="K131" s="506"/>
      <c r="L131" s="514"/>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3"/>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8" customFormat="1" ht="15.75" hidden="1" customHeight="1">
      <c r="A132" s="397" t="str">
        <f>IF(B132&lt;&gt;"",IF(AND(B132&gt;=_TM1,B132&lt;=_TM2,OR(TH!N132="1111",TH!O132="1111")),TH!D132,""),"")</f>
        <v/>
      </c>
      <c r="B132" s="63">
        <f t="shared" si="4"/>
        <v>2</v>
      </c>
      <c r="C132" s="64">
        <v>42424</v>
      </c>
      <c r="D132" s="64" t="s">
        <v>8</v>
      </c>
      <c r="E132" s="64">
        <v>42424</v>
      </c>
      <c r="F132" s="67" t="s">
        <v>414</v>
      </c>
      <c r="G132" s="361" t="s">
        <v>808</v>
      </c>
      <c r="H132" s="75" t="s">
        <v>170</v>
      </c>
      <c r="I132" s="516"/>
      <c r="J132" s="516"/>
      <c r="K132" s="508"/>
      <c r="L132" s="516"/>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3"/>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8" customFormat="1" ht="15.75" hidden="1" customHeight="1">
      <c r="A133" s="397" t="str">
        <f>IF(B133&lt;&gt;"",IF(AND(B133&gt;=_TM1,B133&lt;=_TM2,OR(TH!N133="1111",TH!O133="1111")),TH!D133,""),"")</f>
        <v/>
      </c>
      <c r="B133" s="63">
        <f t="shared" si="4"/>
        <v>2</v>
      </c>
      <c r="C133" s="64">
        <v>42424</v>
      </c>
      <c r="D133" s="64" t="s">
        <v>8</v>
      </c>
      <c r="E133" s="64">
        <v>42424</v>
      </c>
      <c r="F133" s="67" t="s">
        <v>414</v>
      </c>
      <c r="G133" s="361" t="s">
        <v>808</v>
      </c>
      <c r="H133" s="74" t="s">
        <v>169</v>
      </c>
      <c r="I133" s="514"/>
      <c r="J133" s="514"/>
      <c r="K133" s="506"/>
      <c r="L133" s="514"/>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3"/>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8" customFormat="1" ht="15.75" hidden="1" customHeight="1">
      <c r="A134" s="397" t="str">
        <f>IF(B134&lt;&gt;"",IF(AND(B134&gt;=_TM1,B134&lt;=_TM2,OR(TH!N134="1111",TH!O134="1111")),TH!D134,""),"")</f>
        <v/>
      </c>
      <c r="B134" s="63">
        <f t="shared" si="4"/>
        <v>2</v>
      </c>
      <c r="C134" s="64">
        <v>42424</v>
      </c>
      <c r="D134" s="64" t="s">
        <v>8</v>
      </c>
      <c r="E134" s="64">
        <v>42424</v>
      </c>
      <c r="F134" s="67" t="s">
        <v>414</v>
      </c>
      <c r="G134" s="361" t="s">
        <v>808</v>
      </c>
      <c r="H134" s="74" t="s">
        <v>333</v>
      </c>
      <c r="I134" s="514"/>
      <c r="J134" s="514"/>
      <c r="K134" s="506"/>
      <c r="L134" s="514"/>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3"/>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8" customFormat="1" ht="15.75" hidden="1" customHeight="1">
      <c r="A135" s="397" t="str">
        <f>IF(B135&lt;&gt;"",IF(AND(B135&gt;=_TM1,B135&lt;=_TM2,OR(TH!N135="1111",TH!O135="1111")),TH!D135,""),"")</f>
        <v/>
      </c>
      <c r="B135" s="63">
        <f t="shared" si="4"/>
        <v>2</v>
      </c>
      <c r="C135" s="64">
        <v>42424</v>
      </c>
      <c r="D135" s="64" t="s">
        <v>8</v>
      </c>
      <c r="E135" s="64">
        <v>42424</v>
      </c>
      <c r="F135" s="67" t="s">
        <v>414</v>
      </c>
      <c r="G135" s="361" t="s">
        <v>808</v>
      </c>
      <c r="H135" s="74" t="s">
        <v>171</v>
      </c>
      <c r="I135" s="514"/>
      <c r="J135" s="514"/>
      <c r="K135" s="506"/>
      <c r="L135" s="514"/>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3"/>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8" customFormat="1" ht="15.75" hidden="1" customHeight="1">
      <c r="A136" s="397" t="str">
        <f>IF(B136&lt;&gt;"",IF(AND(B136&gt;=_TM1,B136&lt;=_TM2,OR(TH!N136="1111",TH!O136="1111")),TH!D136,""),"")</f>
        <v/>
      </c>
      <c r="B136" s="63">
        <f t="shared" si="4"/>
        <v>2</v>
      </c>
      <c r="C136" s="64">
        <v>42424</v>
      </c>
      <c r="D136" s="64" t="s">
        <v>8</v>
      </c>
      <c r="E136" s="64">
        <v>42424</v>
      </c>
      <c r="F136" s="67" t="s">
        <v>414</v>
      </c>
      <c r="G136" s="361" t="s">
        <v>808</v>
      </c>
      <c r="H136" s="74" t="s">
        <v>172</v>
      </c>
      <c r="I136" s="514"/>
      <c r="J136" s="514"/>
      <c r="K136" s="506"/>
      <c r="L136" s="514"/>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3"/>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8" customFormat="1" ht="15.75" hidden="1" customHeight="1">
      <c r="A137" s="397" t="str">
        <f>IF(B137&lt;&gt;"",IF(AND(B137&gt;=_TM1,B137&lt;=_TM2,OR(TH!N137="1111",TH!O137="1111")),TH!D137,""),"")</f>
        <v/>
      </c>
      <c r="B137" s="63">
        <f t="shared" si="4"/>
        <v>2</v>
      </c>
      <c r="C137" s="64">
        <v>42424</v>
      </c>
      <c r="D137" s="64" t="s">
        <v>8</v>
      </c>
      <c r="E137" s="64">
        <v>42424</v>
      </c>
      <c r="F137" s="67" t="s">
        <v>414</v>
      </c>
      <c r="G137" s="361" t="s">
        <v>808</v>
      </c>
      <c r="H137" s="74" t="s">
        <v>173</v>
      </c>
      <c r="I137" s="514"/>
      <c r="J137" s="514"/>
      <c r="K137" s="506"/>
      <c r="L137" s="514"/>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3"/>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8" customFormat="1" ht="15.75" hidden="1" customHeight="1">
      <c r="A138" s="397" t="str">
        <f>IF(B138&lt;&gt;"",IF(AND(B138&gt;=_TM1,B138&lt;=_TM2,OR(TH!N138="1111",TH!O138="1111")),TH!D138,""),"")</f>
        <v/>
      </c>
      <c r="B138" s="63">
        <f t="shared" si="4"/>
        <v>2</v>
      </c>
      <c r="C138" s="64">
        <v>42424</v>
      </c>
      <c r="D138" s="64" t="s">
        <v>8</v>
      </c>
      <c r="E138" s="64">
        <v>42424</v>
      </c>
      <c r="F138" s="67" t="s">
        <v>414</v>
      </c>
      <c r="G138" s="361" t="s">
        <v>808</v>
      </c>
      <c r="H138" s="74" t="s">
        <v>174</v>
      </c>
      <c r="I138" s="514"/>
      <c r="J138" s="514"/>
      <c r="K138" s="506"/>
      <c r="L138" s="514"/>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3"/>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8" customFormat="1" ht="15.75" hidden="1" customHeight="1">
      <c r="A139" s="397" t="str">
        <f>IF(B139&lt;&gt;"",IF(AND(B139&gt;=_TM1,B139&lt;=_TM2,OR(TH!N139="1111",TH!O139="1111")),TH!D139,""),"")</f>
        <v/>
      </c>
      <c r="B139" s="63">
        <f t="shared" si="4"/>
        <v>2</v>
      </c>
      <c r="C139" s="64">
        <v>42424</v>
      </c>
      <c r="D139" s="64" t="s">
        <v>8</v>
      </c>
      <c r="E139" s="64">
        <v>42424</v>
      </c>
      <c r="F139" s="67" t="s">
        <v>414</v>
      </c>
      <c r="G139" s="361" t="s">
        <v>808</v>
      </c>
      <c r="H139" s="404" t="s">
        <v>175</v>
      </c>
      <c r="I139" s="515"/>
      <c r="J139" s="515"/>
      <c r="K139" s="507"/>
      <c r="L139" s="515"/>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3"/>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8" customFormat="1" ht="15.75" hidden="1" customHeight="1">
      <c r="A140" s="397" t="str">
        <f>IF(B140&lt;&gt;"",IF(AND(B140&gt;=_TM1,B140&lt;=_TM2,OR(TH!N140="1111",TH!O140="1111")),TH!D140,""),"")</f>
        <v/>
      </c>
      <c r="B140" s="63">
        <f t="shared" si="4"/>
        <v>2</v>
      </c>
      <c r="C140" s="64">
        <v>42424</v>
      </c>
      <c r="D140" s="64" t="s">
        <v>8</v>
      </c>
      <c r="E140" s="64">
        <v>42424</v>
      </c>
      <c r="F140" s="67" t="s">
        <v>414</v>
      </c>
      <c r="G140" s="361" t="s">
        <v>808</v>
      </c>
      <c r="H140" s="74" t="s">
        <v>176</v>
      </c>
      <c r="I140" s="514"/>
      <c r="J140" s="514"/>
      <c r="K140" s="506"/>
      <c r="L140" s="514"/>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3"/>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8" customFormat="1" ht="15.75" hidden="1" customHeight="1">
      <c r="A141" s="397" t="str">
        <f>IF(B141&lt;&gt;"",IF(AND(B141&gt;=_TM1,B141&lt;=_TM2,OR(TH!N141="1111",TH!O141="1111")),TH!D141,""),"")</f>
        <v/>
      </c>
      <c r="B141" s="63">
        <f t="shared" si="4"/>
        <v>2</v>
      </c>
      <c r="C141" s="64">
        <v>42424</v>
      </c>
      <c r="D141" s="64" t="s">
        <v>8</v>
      </c>
      <c r="E141" s="64">
        <v>42424</v>
      </c>
      <c r="F141" s="67" t="s">
        <v>414</v>
      </c>
      <c r="G141" s="361" t="s">
        <v>808</v>
      </c>
      <c r="H141" s="74" t="s">
        <v>177</v>
      </c>
      <c r="I141" s="514"/>
      <c r="J141" s="514"/>
      <c r="K141" s="506"/>
      <c r="L141" s="514"/>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3"/>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8" customFormat="1" ht="15.75" hidden="1" customHeight="1">
      <c r="A142" s="397" t="str">
        <f>IF(B142&lt;&gt;"",IF(AND(B142&gt;=_TM1,B142&lt;=_TM2,OR(TH!N142="1111",TH!O142="1111")),TH!D142,""),"")</f>
        <v/>
      </c>
      <c r="B142" s="63">
        <f t="shared" si="4"/>
        <v>2</v>
      </c>
      <c r="C142" s="64">
        <v>42424</v>
      </c>
      <c r="D142" s="64" t="s">
        <v>8</v>
      </c>
      <c r="E142" s="64">
        <v>42424</v>
      </c>
      <c r="F142" s="67" t="s">
        <v>414</v>
      </c>
      <c r="G142" s="361" t="s">
        <v>808</v>
      </c>
      <c r="H142" s="404" t="s">
        <v>180</v>
      </c>
      <c r="I142" s="515"/>
      <c r="J142" s="515"/>
      <c r="K142" s="507"/>
      <c r="L142" s="515"/>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3"/>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8" customFormat="1" ht="15.75" hidden="1" customHeight="1">
      <c r="A143" s="397" t="str">
        <f>IF(B143&lt;&gt;"",IF(AND(B143&gt;=_TM1,B143&lt;=_TM2,OR(TH!N143="1111",TH!O143="1111")),TH!D143,""),"")</f>
        <v/>
      </c>
      <c r="B143" s="63">
        <f t="shared" si="4"/>
        <v>2</v>
      </c>
      <c r="C143" s="64">
        <v>42424</v>
      </c>
      <c r="D143" s="64" t="s">
        <v>8</v>
      </c>
      <c r="E143" s="64">
        <v>42424</v>
      </c>
      <c r="F143" s="67" t="s">
        <v>414</v>
      </c>
      <c r="G143" s="361" t="s">
        <v>808</v>
      </c>
      <c r="H143" s="74" t="s">
        <v>181</v>
      </c>
      <c r="I143" s="514"/>
      <c r="J143" s="514"/>
      <c r="K143" s="506"/>
      <c r="L143" s="514"/>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3"/>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8" customFormat="1" ht="15.75" hidden="1" customHeight="1">
      <c r="A144" s="397" t="str">
        <f>IF(B144&lt;&gt;"",IF(AND(B144&gt;=_TM1,B144&lt;=_TM2,OR(TH!N144="1111",TH!O144="1111")),TH!D144,""),"")</f>
        <v/>
      </c>
      <c r="B144" s="63">
        <f t="shared" si="4"/>
        <v>2</v>
      </c>
      <c r="C144" s="64">
        <v>42424</v>
      </c>
      <c r="D144" s="64" t="s">
        <v>12</v>
      </c>
      <c r="E144" s="64">
        <v>42424</v>
      </c>
      <c r="F144" s="67" t="s">
        <v>58</v>
      </c>
      <c r="G144" s="361" t="s">
        <v>808</v>
      </c>
      <c r="H144" s="74"/>
      <c r="I144" s="514"/>
      <c r="J144" s="514"/>
      <c r="K144" s="506"/>
      <c r="L144" s="514"/>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3"/>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8" customFormat="1" ht="15.75" hidden="1" customHeight="1">
      <c r="A145" s="397" t="str">
        <f>IF(B145&lt;&gt;"",IF(AND(B145&gt;=_TM1,B145&lt;=_TM2,OR(TH!N145="1111",TH!O145="1111")),TH!D145,""),"")</f>
        <v/>
      </c>
      <c r="B145" s="63">
        <f t="shared" si="4"/>
        <v>2</v>
      </c>
      <c r="C145" s="64">
        <v>42425</v>
      </c>
      <c r="D145" s="64" t="s">
        <v>12</v>
      </c>
      <c r="E145" s="64">
        <v>42425</v>
      </c>
      <c r="F145" s="67" t="s">
        <v>438</v>
      </c>
      <c r="G145" s="361" t="s">
        <v>808</v>
      </c>
      <c r="H145" s="74" t="s">
        <v>439</v>
      </c>
      <c r="I145" s="514"/>
      <c r="J145" s="514"/>
      <c r="K145" s="506"/>
      <c r="L145" s="514"/>
      <c r="M145" s="65">
        <v>5000000</v>
      </c>
      <c r="N145" s="66" t="s">
        <v>31</v>
      </c>
      <c r="O145" s="66" t="s">
        <v>107</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3"/>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8" customFormat="1" ht="15.75" customHeight="1">
      <c r="A146" s="397" t="str">
        <f>IF(B146&lt;&gt;"",IF(AND(B146&gt;=_TM1,B146&lt;=_TM2,OR(TH!N146="1111",TH!O146="1111")),TH!D146,""),"")</f>
        <v>C30</v>
      </c>
      <c r="B146" s="63">
        <f t="shared" si="4"/>
        <v>2</v>
      </c>
      <c r="C146" s="64">
        <v>42425</v>
      </c>
      <c r="D146" s="64" t="s">
        <v>197</v>
      </c>
      <c r="E146" s="64">
        <v>42425</v>
      </c>
      <c r="F146" s="67" t="s">
        <v>447</v>
      </c>
      <c r="G146" s="375"/>
      <c r="H146" s="74" t="s">
        <v>439</v>
      </c>
      <c r="I146" s="514"/>
      <c r="J146" s="514"/>
      <c r="K146" s="506"/>
      <c r="L146" s="514"/>
      <c r="M146" s="65">
        <v>5000000</v>
      </c>
      <c r="N146" s="66" t="s">
        <v>107</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ref="AC146:AC209" si="5">IF(AND(1&lt;=$B146,$B146&lt;=3),"1",IF(AND(4&lt;=$B146,$B146&lt;=6),"2",IF(AND(7&lt;=$B146,$B146&lt;=9),"3",IF(AND(10&lt;=$B146,$B146&lt;=12),"4",""))))</f>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8" customFormat="1" ht="15.75" hidden="1" customHeight="1">
      <c r="A147" s="397" t="str">
        <f>IF(B147&lt;&gt;"",IF(AND(B147&gt;=_TM1,B147&lt;=_TM2,OR(TH!N147="1111",TH!O147="1111")),TH!D147,""),"")</f>
        <v/>
      </c>
      <c r="B147" s="63">
        <f t="shared" ref="B147:B215" si="6">IF(C147&lt;&gt;"",MONTH(C147),"")</f>
        <v>2</v>
      </c>
      <c r="C147" s="64">
        <v>42425</v>
      </c>
      <c r="D147" s="64" t="s">
        <v>8</v>
      </c>
      <c r="E147" s="64">
        <v>42425</v>
      </c>
      <c r="F147" s="67" t="s">
        <v>414</v>
      </c>
      <c r="G147" s="361" t="s">
        <v>808</v>
      </c>
      <c r="H147" s="74" t="s">
        <v>185</v>
      </c>
      <c r="I147" s="514"/>
      <c r="J147" s="514"/>
      <c r="K147" s="506"/>
      <c r="L147" s="514"/>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5"/>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8" customFormat="1" ht="15.75" customHeight="1">
      <c r="A148" s="397" t="str">
        <f>IF(B148&lt;&gt;"",IF(AND(B148&gt;=_TM1,B148&lt;=_TM2,OR(TH!N148="1111",TH!O148="1111")),TH!D148,""),"")</f>
        <v>C31</v>
      </c>
      <c r="B148" s="63">
        <f t="shared" si="6"/>
        <v>2</v>
      </c>
      <c r="C148" s="64">
        <v>42425</v>
      </c>
      <c r="D148" s="64" t="s">
        <v>198</v>
      </c>
      <c r="E148" s="64">
        <v>42425</v>
      </c>
      <c r="F148" s="67" t="s">
        <v>448</v>
      </c>
      <c r="G148" s="375" t="s">
        <v>777</v>
      </c>
      <c r="H148" s="74" t="s">
        <v>50</v>
      </c>
      <c r="I148" s="514"/>
      <c r="J148" s="514"/>
      <c r="K148" s="506"/>
      <c r="L148" s="514"/>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5"/>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c r="AI148" s="1048">
        <v>1</v>
      </c>
    </row>
    <row r="149" spans="1:35" s="1048" customFormat="1" ht="15.75" customHeight="1">
      <c r="A149" s="397" t="str">
        <f>IF(B149&lt;&gt;"",IF(AND(B149&gt;=_TM1,B149&lt;=_TM2,OR(TH!N149="1111",TH!O149="1111")),TH!D149,""),"")</f>
        <v>C31</v>
      </c>
      <c r="B149" s="63">
        <f t="shared" si="6"/>
        <v>2</v>
      </c>
      <c r="C149" s="64">
        <v>42425</v>
      </c>
      <c r="D149" s="64" t="s">
        <v>198</v>
      </c>
      <c r="E149" s="64">
        <v>42425</v>
      </c>
      <c r="F149" s="67" t="s">
        <v>994</v>
      </c>
      <c r="G149" s="375" t="s">
        <v>777</v>
      </c>
      <c r="H149" s="74" t="s">
        <v>50</v>
      </c>
      <c r="I149" s="514"/>
      <c r="J149" s="514"/>
      <c r="K149" s="506"/>
      <c r="L149" s="514"/>
      <c r="M149" s="100">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5"/>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c r="AI149" s="1048">
        <v>1</v>
      </c>
    </row>
    <row r="150" spans="1:35" s="1048" customFormat="1" ht="15.75" customHeight="1">
      <c r="A150" s="397" t="str">
        <f>IF(B150&lt;&gt;"",IF(AND(B150&gt;=_TM1,B150&lt;=_TM2,OR(TH!N150="1111",TH!O150="1111")),TH!D150,""),"")</f>
        <v>C32</v>
      </c>
      <c r="B150" s="63">
        <f t="shared" si="6"/>
        <v>2</v>
      </c>
      <c r="C150" s="64">
        <v>42425</v>
      </c>
      <c r="D150" s="64" t="s">
        <v>199</v>
      </c>
      <c r="E150" s="64">
        <v>42425</v>
      </c>
      <c r="F150" s="67" t="s">
        <v>778</v>
      </c>
      <c r="G150" s="375" t="s">
        <v>780</v>
      </c>
      <c r="H150" s="74" t="s">
        <v>449</v>
      </c>
      <c r="I150" s="514"/>
      <c r="J150" s="514"/>
      <c r="K150" s="506"/>
      <c r="L150" s="514"/>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si="5"/>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c r="AI150" s="1048">
        <v>1</v>
      </c>
    </row>
    <row r="151" spans="1:35" s="1048" customFormat="1" ht="15.75" customHeight="1">
      <c r="A151" s="397" t="str">
        <f>IF(B151&lt;&gt;"",IF(AND(B151&gt;=_TM1,B151&lt;=_TM2,OR(TH!N151="1111",TH!O151="1111")),TH!D151,""),"")</f>
        <v>C32</v>
      </c>
      <c r="B151" s="63">
        <f t="shared" si="6"/>
        <v>2</v>
      </c>
      <c r="C151" s="64">
        <v>42425</v>
      </c>
      <c r="D151" s="64" t="s">
        <v>199</v>
      </c>
      <c r="E151" s="64">
        <v>42425</v>
      </c>
      <c r="F151" s="67" t="s">
        <v>779</v>
      </c>
      <c r="G151" s="375" t="s">
        <v>780</v>
      </c>
      <c r="H151" s="74" t="s">
        <v>449</v>
      </c>
      <c r="I151" s="514"/>
      <c r="J151" s="514"/>
      <c r="K151" s="506"/>
      <c r="L151" s="514"/>
      <c r="M151" s="100">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5"/>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c r="AI151" s="1048">
        <v>1</v>
      </c>
    </row>
    <row r="152" spans="1:35" s="1048" customFormat="1" ht="15.75" customHeight="1">
      <c r="A152" s="397" t="str">
        <f>IF(B152&lt;&gt;"",IF(AND(B152&gt;=_TM1,B152&lt;=_TM2,OR(TH!N152="1111",TH!O152="1111")),TH!D152,""),"")</f>
        <v>C33</v>
      </c>
      <c r="B152" s="63">
        <f t="shared" ref="B152:B153" si="7">IF(C152&lt;&gt;"",MONTH(C152),"")</f>
        <v>2</v>
      </c>
      <c r="C152" s="64">
        <v>42425</v>
      </c>
      <c r="D152" s="64" t="s">
        <v>200</v>
      </c>
      <c r="E152" s="64">
        <v>42425</v>
      </c>
      <c r="F152" s="67" t="s">
        <v>755</v>
      </c>
      <c r="G152" s="375" t="s">
        <v>781</v>
      </c>
      <c r="H152" s="74" t="s">
        <v>88</v>
      </c>
      <c r="I152" s="514"/>
      <c r="J152" s="514"/>
      <c r="K152" s="506"/>
      <c r="L152" s="514"/>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5"/>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c r="AI152" s="1048">
        <v>1</v>
      </c>
    </row>
    <row r="153" spans="1:35" s="1048" customFormat="1" ht="15.75" customHeight="1">
      <c r="A153" s="397" t="str">
        <f>IF(B153&lt;&gt;"",IF(AND(B153&gt;=_TM1,B153&lt;=_TM2,OR(TH!N153="1111",TH!O153="1111")),TH!D153,""),"")</f>
        <v>C33</v>
      </c>
      <c r="B153" s="63">
        <f t="shared" si="7"/>
        <v>2</v>
      </c>
      <c r="C153" s="64">
        <v>42425</v>
      </c>
      <c r="D153" s="64" t="s">
        <v>200</v>
      </c>
      <c r="E153" s="64">
        <v>42425</v>
      </c>
      <c r="F153" s="67" t="s">
        <v>756</v>
      </c>
      <c r="G153" s="375" t="s">
        <v>781</v>
      </c>
      <c r="H153" s="74" t="s">
        <v>88</v>
      </c>
      <c r="I153" s="514"/>
      <c r="J153" s="514"/>
      <c r="K153" s="506"/>
      <c r="L153" s="514"/>
      <c r="M153" s="100">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5"/>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c r="AI153" s="1048">
        <v>1</v>
      </c>
    </row>
    <row r="154" spans="1:35" s="1048" customFormat="1" ht="15.75" customHeight="1">
      <c r="A154" s="397" t="str">
        <f>IF(B154&lt;&gt;"",IF(AND(B154&gt;=_TM1,B154&lt;=_TM2,OR(TH!N154="1111",TH!O154="1111")),TH!D154,""),"")</f>
        <v>C34</v>
      </c>
      <c r="B154" s="63">
        <f t="shared" ref="B154:B192" si="8">IF(C154&lt;&gt;"",MONTH(C154),"")</f>
        <v>3</v>
      </c>
      <c r="C154" s="64">
        <v>42430</v>
      </c>
      <c r="D154" s="64" t="s">
        <v>757</v>
      </c>
      <c r="E154" s="64">
        <v>42430</v>
      </c>
      <c r="F154" s="67" t="s">
        <v>419</v>
      </c>
      <c r="G154" s="361" t="s">
        <v>808</v>
      </c>
      <c r="H154" s="404" t="s">
        <v>161</v>
      </c>
      <c r="I154" s="515"/>
      <c r="J154" s="515"/>
      <c r="K154" s="507"/>
      <c r="L154" s="515"/>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5"/>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5" s="1048" customFormat="1" ht="15.75" hidden="1" customHeight="1">
      <c r="A155" s="397" t="str">
        <f>IF(B155&lt;&gt;"",IF(AND(B155&gt;=_TM1,B155&lt;=_TM2,OR(TH!N155="1111",TH!O155="1111")),TH!D155,""),"")</f>
        <v/>
      </c>
      <c r="B155" s="63">
        <f t="shared" si="8"/>
        <v>3</v>
      </c>
      <c r="C155" s="64">
        <v>42430</v>
      </c>
      <c r="D155" s="64" t="s">
        <v>8</v>
      </c>
      <c r="E155" s="64">
        <v>42430</v>
      </c>
      <c r="F155" s="67" t="s">
        <v>450</v>
      </c>
      <c r="G155" s="361" t="s">
        <v>808</v>
      </c>
      <c r="H155" s="74" t="s">
        <v>222</v>
      </c>
      <c r="I155" s="514"/>
      <c r="J155" s="514"/>
      <c r="K155" s="506"/>
      <c r="L155" s="514"/>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5"/>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5" s="1048" customFormat="1" ht="15.75" hidden="1" customHeight="1">
      <c r="A156" s="397" t="str">
        <f>IF(B156&lt;&gt;"",IF(AND(B156&gt;=_TM1,B156&lt;=_TM2,OR(TH!N156="1111",TH!O156="1111")),TH!D156,""),"")</f>
        <v/>
      </c>
      <c r="B156" s="63">
        <f t="shared" si="8"/>
        <v>3</v>
      </c>
      <c r="C156" s="64">
        <v>42430</v>
      </c>
      <c r="D156" s="64" t="s">
        <v>8</v>
      </c>
      <c r="E156" s="64">
        <v>42430</v>
      </c>
      <c r="F156" s="67" t="s">
        <v>22</v>
      </c>
      <c r="G156" s="361" t="s">
        <v>808</v>
      </c>
      <c r="H156" s="74"/>
      <c r="I156" s="514"/>
      <c r="J156" s="514"/>
      <c r="K156" s="506"/>
      <c r="L156" s="514"/>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5"/>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8">
        <v>1</v>
      </c>
    </row>
    <row r="157" spans="1:35" s="1048" customFormat="1" ht="15.75" hidden="1" customHeight="1">
      <c r="A157" s="397" t="str">
        <f>IF(B157&lt;&gt;"",IF(AND(B157&gt;=_TM1,B157&lt;=_TM2,OR(TH!N157="1111",TH!O157="1111")),TH!D157,""),"")</f>
        <v/>
      </c>
      <c r="B157" s="63">
        <f t="shared" si="8"/>
        <v>3</v>
      </c>
      <c r="C157" s="64">
        <v>42430</v>
      </c>
      <c r="D157" s="64" t="s">
        <v>8</v>
      </c>
      <c r="E157" s="64">
        <v>42430</v>
      </c>
      <c r="F157" s="67" t="s">
        <v>23</v>
      </c>
      <c r="G157" s="361" t="s">
        <v>808</v>
      </c>
      <c r="H157" s="74"/>
      <c r="I157" s="514"/>
      <c r="J157" s="514"/>
      <c r="K157" s="506"/>
      <c r="L157" s="514"/>
      <c r="M157" s="100">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5"/>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8">
        <v>1</v>
      </c>
    </row>
    <row r="158" spans="1:35" s="1048" customFormat="1" ht="15.75" hidden="1" customHeight="1">
      <c r="A158" s="397" t="str">
        <f>IF(B158&lt;&gt;"",IF(AND(B158&gt;=_TM1,B158&lt;=_TM2,OR(TH!N158="1111",TH!O158="1111")),TH!D158,""),"")</f>
        <v/>
      </c>
      <c r="B158" s="63">
        <f t="shared" si="8"/>
        <v>3</v>
      </c>
      <c r="C158" s="64">
        <v>42432</v>
      </c>
      <c r="D158" s="64" t="s">
        <v>8</v>
      </c>
      <c r="E158" s="64">
        <f>C158</f>
        <v>42432</v>
      </c>
      <c r="F158" s="67" t="s">
        <v>796</v>
      </c>
      <c r="G158" s="361" t="s">
        <v>808</v>
      </c>
      <c r="H158" s="67"/>
      <c r="I158" s="514"/>
      <c r="J158" s="514"/>
      <c r="K158" s="506"/>
      <c r="L158" s="514"/>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5"/>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8">
        <v>1</v>
      </c>
    </row>
    <row r="159" spans="1:35" s="1048" customFormat="1" ht="15.75" hidden="1" customHeight="1">
      <c r="A159" s="397" t="str">
        <f>IF(B159&lt;&gt;"",IF(AND(B159&gt;=_TM1,B159&lt;=_TM2,OR(TH!N159="1111",TH!O159="1111")),TH!D159,""),"")</f>
        <v/>
      </c>
      <c r="B159" s="63">
        <f t="shared" si="8"/>
        <v>3</v>
      </c>
      <c r="C159" s="64">
        <v>42432</v>
      </c>
      <c r="D159" s="64" t="s">
        <v>8</v>
      </c>
      <c r="E159" s="64">
        <f>C159</f>
        <v>42432</v>
      </c>
      <c r="F159" s="67" t="s">
        <v>797</v>
      </c>
      <c r="G159" s="361" t="s">
        <v>808</v>
      </c>
      <c r="H159" s="67"/>
      <c r="I159" s="514"/>
      <c r="J159" s="514"/>
      <c r="K159" s="506"/>
      <c r="L159" s="514"/>
      <c r="M159" s="100">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5"/>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8">
        <v>1</v>
      </c>
    </row>
    <row r="160" spans="1:35" s="1048" customFormat="1" ht="15.75" customHeight="1">
      <c r="A160" s="397" t="str">
        <f>IF(B160&lt;&gt;"",IF(AND(B160&gt;=_TM1,B160&lt;=_TM2,OR(TH!N160="1111",TH!O160="1111")),TH!D160,""),"")</f>
        <v>C35</v>
      </c>
      <c r="B160" s="63">
        <f t="shared" si="8"/>
        <v>3</v>
      </c>
      <c r="C160" s="64">
        <v>42436</v>
      </c>
      <c r="D160" s="64" t="s">
        <v>758</v>
      </c>
      <c r="E160" s="64">
        <v>42436</v>
      </c>
      <c r="F160" s="67" t="s">
        <v>763</v>
      </c>
      <c r="G160" s="375" t="s">
        <v>764</v>
      </c>
      <c r="H160" s="74" t="s">
        <v>330</v>
      </c>
      <c r="I160" s="514"/>
      <c r="J160" s="514"/>
      <c r="K160" s="506"/>
      <c r="L160" s="514"/>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5"/>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8" customFormat="1" ht="15.75" customHeight="1">
      <c r="A161" s="397" t="str">
        <f>IF(B161&lt;&gt;"",IF(AND(B161&gt;=_TM1,B161&lt;=_TM2,OR(TH!N161="1111",TH!O161="1111")),TH!D161,""),"")</f>
        <v>C36</v>
      </c>
      <c r="B161" s="63">
        <f t="shared" si="8"/>
        <v>3</v>
      </c>
      <c r="C161" s="64">
        <v>42436</v>
      </c>
      <c r="D161" s="64" t="s">
        <v>762</v>
      </c>
      <c r="E161" s="64">
        <v>42436</v>
      </c>
      <c r="F161" s="67" t="s">
        <v>408</v>
      </c>
      <c r="G161" s="375" t="s">
        <v>766</v>
      </c>
      <c r="H161" s="74" t="s">
        <v>327</v>
      </c>
      <c r="I161" s="514"/>
      <c r="J161" s="514"/>
      <c r="K161" s="506"/>
      <c r="L161" s="514"/>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5"/>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8" customFormat="1" ht="15.75" customHeight="1">
      <c r="A162" s="397" t="str">
        <f>IF(B162&lt;&gt;"",IF(AND(B162&gt;=_TM1,B162&lt;=_TM2,OR(TH!N162="1111",TH!O162="1111")),TH!D162,""),"")</f>
        <v>C37</v>
      </c>
      <c r="B162" s="63">
        <f t="shared" si="8"/>
        <v>3</v>
      </c>
      <c r="C162" s="64">
        <v>42439</v>
      </c>
      <c r="D162" s="64" t="s">
        <v>765</v>
      </c>
      <c r="E162" s="64">
        <v>42439</v>
      </c>
      <c r="F162" s="67" t="s">
        <v>759</v>
      </c>
      <c r="G162" s="375" t="s">
        <v>761</v>
      </c>
      <c r="H162" s="74" t="s">
        <v>323</v>
      </c>
      <c r="I162" s="514"/>
      <c r="J162" s="514"/>
      <c r="K162" s="506"/>
      <c r="L162" s="514"/>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5"/>
        <v>1</v>
      </c>
      <c r="AD162" s="66" t="str">
        <f>IF(AND(MONTH(E162)='IN-NX'!$J$5,'IN-NX'!$D$7=D162,OR(LEFT(TH!N162,2)="15",LEFT(TH!O162,2)="15")),"x","")</f>
        <v/>
      </c>
      <c r="AE162" s="66" t="str">
        <f>IF(AND(OR(LEFT(TH!N162,2)="15",LEFT(TH!O162,2)="15"),'152-CT'!$J$8=TH!F162),"x","")</f>
        <v/>
      </c>
      <c r="AF162" s="66" t="str">
        <f>IF(AND(OR(LEFT(TH!N162,2)="15",LEFT(TH!O162,2)="15"),'THE KHO'!$E$7=TH!F162),"x","")</f>
        <v/>
      </c>
      <c r="AG162" s="66" t="str">
        <f>IF(AND(N162="1521",MONTH(C162)='BK NL'!$M$11),"x","")</f>
        <v/>
      </c>
      <c r="AI162" s="1048">
        <v>1</v>
      </c>
    </row>
    <row r="163" spans="1:35" s="1048" customFormat="1" ht="15.75" customHeight="1">
      <c r="A163" s="397" t="str">
        <f>IF(B163&lt;&gt;"",IF(AND(B163&gt;=_TM1,B163&lt;=_TM2,OR(TH!N163="1111",TH!O163="1111")),TH!D163,""),"")</f>
        <v>C37</v>
      </c>
      <c r="B163" s="63">
        <f t="shared" si="8"/>
        <v>3</v>
      </c>
      <c r="C163" s="64">
        <v>42439</v>
      </c>
      <c r="D163" s="64" t="s">
        <v>765</v>
      </c>
      <c r="E163" s="64">
        <v>42439</v>
      </c>
      <c r="F163" s="67" t="s">
        <v>760</v>
      </c>
      <c r="G163" s="375" t="s">
        <v>761</v>
      </c>
      <c r="H163" s="74" t="s">
        <v>323</v>
      </c>
      <c r="I163" s="514"/>
      <c r="J163" s="514"/>
      <c r="K163" s="506"/>
      <c r="L163" s="514"/>
      <c r="M163" s="100">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5"/>
        <v>1</v>
      </c>
      <c r="AD163" s="66" t="str">
        <f>IF(AND(MONTH(E163)='IN-NX'!$J$5,'IN-NX'!$D$7=D163,OR(LEFT(TH!N163,2)="15",LEFT(TH!O163,2)="15")),"x","")</f>
        <v/>
      </c>
      <c r="AE163" s="66" t="str">
        <f>IF(AND(OR(LEFT(TH!N163,2)="15",LEFT(TH!O163,2)="15"),'152-CT'!$J$8=TH!F163),"x","")</f>
        <v/>
      </c>
      <c r="AF163" s="66" t="str">
        <f>IF(AND(OR(LEFT(TH!N163,2)="15",LEFT(TH!O163,2)="15"),'THE KHO'!$E$7=TH!F163),"x","")</f>
        <v/>
      </c>
      <c r="AG163" s="66" t="str">
        <f>IF(AND(N163="1521",MONTH(C163)='BK NL'!$M$11),"x","")</f>
        <v/>
      </c>
      <c r="AI163" s="1048">
        <v>1</v>
      </c>
    </row>
    <row r="164" spans="1:35" s="1048" customFormat="1" ht="15.75" hidden="1" customHeight="1">
      <c r="A164" s="397" t="str">
        <f>IF(B164&lt;&gt;"",IF(AND(B164&gt;=_TM1,B164&lt;=_TM2,OR(TH!N164="1111",TH!O164="1111")),TH!D164,""),"")</f>
        <v/>
      </c>
      <c r="B164" s="63">
        <f t="shared" si="8"/>
        <v>3</v>
      </c>
      <c r="C164" s="64">
        <v>42441</v>
      </c>
      <c r="D164" s="64" t="s">
        <v>794</v>
      </c>
      <c r="E164" s="64">
        <v>42441</v>
      </c>
      <c r="F164" s="67" t="s">
        <v>770</v>
      </c>
      <c r="G164" s="375" t="s">
        <v>767</v>
      </c>
      <c r="H164" s="67" t="s">
        <v>768</v>
      </c>
      <c r="I164" s="515">
        <v>500</v>
      </c>
      <c r="J164" s="515">
        <v>33000</v>
      </c>
      <c r="K164" s="507"/>
      <c r="L164" s="515"/>
      <c r="M164" s="65">
        <v>16500000</v>
      </c>
      <c r="N164" s="66" t="s">
        <v>472</v>
      </c>
      <c r="O164" s="66" t="s">
        <v>9</v>
      </c>
      <c r="P164" s="66" t="str">
        <f>IF(AND('331-CT'!$E$7=TH!H164,OR(N164="331",O164="331")),"x","")</f>
        <v>x</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5"/>
        <v>1</v>
      </c>
      <c r="AD164" s="66" t="str">
        <f>IF(AND(MONTH(E164)='IN-NX'!$J$5,'IN-NX'!$D$7=D164,OR(LEFT(TH!N164,2)="15",LEFT(TH!O164,2)="15")),"x","")</f>
        <v/>
      </c>
      <c r="AE164" s="66" t="str">
        <f>IF(AND(OR(LEFT(TH!N164,2)="15",LEFT(TH!O164,2)="15"),'152-CT'!$J$8=TH!F164),"x","")</f>
        <v>x</v>
      </c>
      <c r="AF164" s="66" t="str">
        <f>IF(AND(OR(LEFT(TH!N164,2)="15",LEFT(TH!O164,2)="15"),'THE KHO'!$E$7=TH!F164),"x","")</f>
        <v>x</v>
      </c>
      <c r="AG164" s="66" t="str">
        <f>IF(AND(N164="1521",MONTH(C164)='BK NL'!$M$11),"x","")</f>
        <v/>
      </c>
      <c r="AI164" s="1048">
        <v>1</v>
      </c>
    </row>
    <row r="165" spans="1:35" s="1048" customFormat="1" ht="15.75" hidden="1" customHeight="1">
      <c r="A165" s="397" t="str">
        <f>IF(B165&lt;&gt;"",IF(AND(B165&gt;=_TM1,B165&lt;=_TM2,OR(TH!N165="1111",TH!O165="1111")),TH!D165,""),"")</f>
        <v/>
      </c>
      <c r="B165" s="63">
        <f t="shared" si="8"/>
        <v>3</v>
      </c>
      <c r="C165" s="64">
        <v>42441</v>
      </c>
      <c r="D165" s="64" t="s">
        <v>794</v>
      </c>
      <c r="E165" s="64">
        <v>42441</v>
      </c>
      <c r="F165" s="67" t="s">
        <v>771</v>
      </c>
      <c r="G165" s="375" t="s">
        <v>767</v>
      </c>
      <c r="H165" s="67" t="s">
        <v>768</v>
      </c>
      <c r="I165" s="515">
        <v>500</v>
      </c>
      <c r="J165" s="515">
        <v>33000</v>
      </c>
      <c r="K165" s="507"/>
      <c r="L165" s="515"/>
      <c r="M165" s="65">
        <v>16500000</v>
      </c>
      <c r="N165" s="66" t="s">
        <v>472</v>
      </c>
      <c r="O165" s="66" t="s">
        <v>9</v>
      </c>
      <c r="P165" s="66" t="str">
        <f>IF(AND('331-CT'!$E$7=TH!H165,OR(N165="331",O165="331")),"x","")</f>
        <v>x</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5"/>
        <v>1</v>
      </c>
      <c r="AD165" s="66" t="str">
        <f>IF(AND(MONTH(E165)='IN-NX'!$J$5,'IN-NX'!$D$7=D165,OR(LEFT(TH!N165,2)="15",LEFT(TH!O165,2)="15")),"x","")</f>
        <v/>
      </c>
      <c r="AE165" s="66" t="str">
        <f>IF(AND(OR(LEFT(TH!N165,2)="15",LEFT(TH!O165,2)="15"),'152-CT'!$J$8=TH!F165),"x","")</f>
        <v/>
      </c>
      <c r="AF165" s="66" t="str">
        <f>IF(AND(OR(LEFT(TH!N165,2)="15",LEFT(TH!O165,2)="15"),'THE KHO'!$E$7=TH!F165),"x","")</f>
        <v/>
      </c>
      <c r="AG165" s="66" t="str">
        <f>IF(AND(N165="1521",MONTH(C165)='BK NL'!$M$11),"x","")</f>
        <v/>
      </c>
      <c r="AI165" s="1048">
        <v>1</v>
      </c>
    </row>
    <row r="166" spans="1:35" s="1048" customFormat="1" ht="15.75" hidden="1" customHeight="1">
      <c r="A166" s="397" t="str">
        <f>IF(B166&lt;&gt;"",IF(AND(B166&gt;=_TM1,B166&lt;=_TM2,OR(TH!N166="1111",TH!O166="1111")),TH!D166,""),"")</f>
        <v/>
      </c>
      <c r="B166" s="63">
        <f t="shared" si="8"/>
        <v>3</v>
      </c>
      <c r="C166" s="64">
        <v>42441</v>
      </c>
      <c r="D166" s="64" t="s">
        <v>794</v>
      </c>
      <c r="E166" s="64">
        <v>42441</v>
      </c>
      <c r="F166" s="67" t="s">
        <v>769</v>
      </c>
      <c r="G166" s="375" t="s">
        <v>767</v>
      </c>
      <c r="H166" s="67" t="s">
        <v>768</v>
      </c>
      <c r="I166" s="515"/>
      <c r="J166" s="515"/>
      <c r="K166" s="507"/>
      <c r="L166" s="515"/>
      <c r="M166" s="100">
        <v>3300000</v>
      </c>
      <c r="N166" s="66" t="s">
        <v>10</v>
      </c>
      <c r="O166" s="66" t="s">
        <v>9</v>
      </c>
      <c r="P166" s="66" t="str">
        <f>IF(AND('331-CT'!$E$7=TH!H166,OR(N166="331",O166="331")),"x","")</f>
        <v>x</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5"/>
        <v>1</v>
      </c>
      <c r="AD166" s="66" t="str">
        <f>IF(AND(MONTH(E166)='IN-NX'!$J$5,'IN-NX'!$D$7=D166,OR(LEFT(TH!N166,2)="15",LEFT(TH!O166,2)="15")),"x","")</f>
        <v/>
      </c>
      <c r="AE166" s="66" t="str">
        <f>IF(AND(OR(LEFT(TH!N166,2)="15",LEFT(TH!O166,2)="15"),'152-CT'!$J$8=TH!F166),"x","")</f>
        <v/>
      </c>
      <c r="AF166" s="66" t="str">
        <f>IF(AND(OR(LEFT(TH!N166,2)="15",LEFT(TH!O166,2)="15"),'THE KHO'!$E$7=TH!F166),"x","")</f>
        <v/>
      </c>
      <c r="AG166" s="66" t="str">
        <f>IF(AND(N166="1521",MONTH(C166)='BK NL'!$M$11),"x","")</f>
        <v/>
      </c>
      <c r="AI166" s="1048">
        <v>1</v>
      </c>
    </row>
    <row r="167" spans="1:35" s="1048" customFormat="1" ht="15.75" customHeight="1">
      <c r="A167" s="397" t="str">
        <f>IF(B167&lt;&gt;"",IF(AND(B167&gt;=_TM1,B167&lt;=_TM2,OR(TH!N167="1111",TH!O167="1111")),TH!D167,""),"")</f>
        <v>C38</v>
      </c>
      <c r="B167" s="63">
        <f t="shared" si="8"/>
        <v>3</v>
      </c>
      <c r="C167" s="64">
        <v>42444</v>
      </c>
      <c r="D167" s="64" t="s">
        <v>772</v>
      </c>
      <c r="E167" s="64">
        <v>42444</v>
      </c>
      <c r="F167" s="67" t="s">
        <v>444</v>
      </c>
      <c r="G167" s="375" t="s">
        <v>773</v>
      </c>
      <c r="H167" s="74" t="s">
        <v>162</v>
      </c>
      <c r="I167" s="515"/>
      <c r="J167" s="515"/>
      <c r="K167" s="507"/>
      <c r="L167" s="515"/>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5"/>
        <v>1</v>
      </c>
      <c r="AD167" s="66" t="str">
        <f>IF(AND(MONTH(E167)='IN-NX'!$J$5,'IN-NX'!$D$7=D167,OR(LEFT(TH!N167,2)="15",LEFT(TH!O167,2)="15")),"x","")</f>
        <v/>
      </c>
      <c r="AE167" s="66" t="str">
        <f>IF(AND(OR(LEFT(TH!N167,2)="15",LEFT(TH!O167,2)="15"),'152-CT'!$J$8=TH!F167),"x","")</f>
        <v/>
      </c>
      <c r="AF167" s="66" t="str">
        <f>IF(AND(OR(LEFT(TH!N167,2)="15",LEFT(TH!O167,2)="15"),'THE KHO'!$E$7=TH!F167),"x","")</f>
        <v/>
      </c>
      <c r="AG167" s="66" t="str">
        <f>IF(AND(N167="1521",MONTH(C167)='BK NL'!$M$11),"x","")</f>
        <v/>
      </c>
      <c r="AI167" s="1048">
        <v>1</v>
      </c>
    </row>
    <row r="168" spans="1:35" s="1048" customFormat="1" ht="15.75" customHeight="1">
      <c r="A168" s="397" t="str">
        <f>IF(B168&lt;&gt;"",IF(AND(B168&gt;=_TM1,B168&lt;=_TM2,OR(TH!N168="1111",TH!O168="1111")),TH!D168,""),"")</f>
        <v>C38</v>
      </c>
      <c r="B168" s="63">
        <f t="shared" si="8"/>
        <v>3</v>
      </c>
      <c r="C168" s="64">
        <v>42444</v>
      </c>
      <c r="D168" s="64" t="s">
        <v>772</v>
      </c>
      <c r="E168" s="64">
        <v>42444</v>
      </c>
      <c r="F168" s="67" t="s">
        <v>446</v>
      </c>
      <c r="G168" s="375" t="s">
        <v>773</v>
      </c>
      <c r="H168" s="74" t="s">
        <v>162</v>
      </c>
      <c r="I168" s="514"/>
      <c r="J168" s="514"/>
      <c r="K168" s="506"/>
      <c r="L168" s="514"/>
      <c r="M168" s="100">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5"/>
        <v>1</v>
      </c>
      <c r="AD168" s="66" t="str">
        <f>IF(AND(MONTH(E168)='IN-NX'!$J$5,'IN-NX'!$D$7=D168,OR(LEFT(TH!N168,2)="15",LEFT(TH!O168,2)="15")),"x","")</f>
        <v/>
      </c>
      <c r="AE168" s="66" t="str">
        <f>IF(AND(OR(LEFT(TH!N168,2)="15",LEFT(TH!O168,2)="15"),'152-CT'!$J$8=TH!F168),"x","")</f>
        <v/>
      </c>
      <c r="AF168" s="66" t="str">
        <f>IF(AND(OR(LEFT(TH!N168,2)="15",LEFT(TH!O168,2)="15"),'THE KHO'!$E$7=TH!F168),"x","")</f>
        <v/>
      </c>
      <c r="AG168" s="66" t="str">
        <f>IF(AND(N168="1521",MONTH(C168)='BK NL'!$M$11),"x","")</f>
        <v/>
      </c>
      <c r="AI168" s="1048">
        <v>1</v>
      </c>
    </row>
    <row r="169" spans="1:35" s="1048" customFormat="1" ht="15.75" customHeight="1">
      <c r="A169" s="397" t="str">
        <f>IF(B169&lt;&gt;"",IF(AND(B169&gt;=_TM1,B169&lt;=_TM2,OR(TH!N169="1111",TH!O169="1111")),TH!D169,""),"")</f>
        <v>C39</v>
      </c>
      <c r="B169" s="63">
        <f t="shared" si="8"/>
        <v>3</v>
      </c>
      <c r="C169" s="64">
        <v>42444</v>
      </c>
      <c r="D169" s="64" t="s">
        <v>774</v>
      </c>
      <c r="E169" s="64">
        <v>42444</v>
      </c>
      <c r="F169" s="67" t="s">
        <v>775</v>
      </c>
      <c r="G169" s="375" t="s">
        <v>776</v>
      </c>
      <c r="H169" s="67" t="s">
        <v>330</v>
      </c>
      <c r="I169" s="514"/>
      <c r="J169" s="514"/>
      <c r="K169" s="506"/>
      <c r="L169" s="514"/>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5"/>
        <v>1</v>
      </c>
      <c r="AD169" s="66" t="str">
        <f>IF(AND(MONTH(E169)='IN-NX'!$J$5,'IN-NX'!$D$7=D169,OR(LEFT(TH!N169,2)="15",LEFT(TH!O169,2)="15")),"x","")</f>
        <v/>
      </c>
      <c r="AE169" s="66" t="str">
        <f>IF(AND(OR(LEFT(TH!N169,2)="15",LEFT(TH!O169,2)="15"),'152-CT'!$J$8=TH!F169),"x","")</f>
        <v/>
      </c>
      <c r="AF169" s="66" t="str">
        <f>IF(AND(OR(LEFT(TH!N169,2)="15",LEFT(TH!O169,2)="15"),'THE KHO'!$E$7=TH!F169),"x","")</f>
        <v/>
      </c>
      <c r="AG169" s="66" t="str">
        <f>IF(AND(N169="1521",MONTH(C169)='BK NL'!$M$11),"x","")</f>
        <v/>
      </c>
    </row>
    <row r="170" spans="1:35" s="1048" customFormat="1" ht="15.75" hidden="1" customHeight="1">
      <c r="A170" s="397" t="str">
        <f>IF(B170&lt;&gt;"",IF(AND(B170&gt;=_TM1,B170&lt;=_TM2,OR(TH!N170="1111",TH!O170="1111")),TH!D170,""),"")</f>
        <v>T03</v>
      </c>
      <c r="B170" s="63">
        <f t="shared" si="8"/>
        <v>3</v>
      </c>
      <c r="C170" s="64">
        <v>42444</v>
      </c>
      <c r="D170" s="397" t="s">
        <v>805</v>
      </c>
      <c r="E170" s="64">
        <f t="shared" ref="E170:E193" si="9">C170</f>
        <v>42444</v>
      </c>
      <c r="F170" s="67" t="s">
        <v>798</v>
      </c>
      <c r="G170" s="361"/>
      <c r="H170" s="67" t="s">
        <v>183</v>
      </c>
      <c r="I170" s="514"/>
      <c r="J170" s="514"/>
      <c r="K170" s="506"/>
      <c r="L170" s="514"/>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5"/>
        <v>1</v>
      </c>
      <c r="AD170" s="66" t="str">
        <f>IF(AND(MONTH(E170)='IN-NX'!$J$5,'IN-NX'!$D$7=D170,OR(LEFT(TH!N170,2)="15",LEFT(TH!O170,2)="15")),"x","")</f>
        <v/>
      </c>
      <c r="AE170" s="66" t="str">
        <f>IF(AND(OR(LEFT(TH!N170,2)="15",LEFT(TH!O170,2)="15"),'152-CT'!$J$8=TH!F170),"x","")</f>
        <v/>
      </c>
      <c r="AF170" s="66" t="str">
        <f>IF(AND(OR(LEFT(TH!N170,2)="15",LEFT(TH!O170,2)="15"),'THE KHO'!$E$7=TH!F170),"x","")</f>
        <v/>
      </c>
      <c r="AG170" s="66" t="str">
        <f>IF(AND(N170="1521",MONTH(C170)='BK NL'!$M$11),"x","")</f>
        <v/>
      </c>
    </row>
    <row r="171" spans="1:35" s="1048" customFormat="1" ht="15.75" customHeight="1">
      <c r="A171" s="397" t="str">
        <f>IF(B171&lt;&gt;"",IF(AND(B171&gt;=_TM1,B171&lt;=_TM2,OR(TH!N171="1111",TH!O171="1111")),TH!D171,""),"")</f>
        <v>C40</v>
      </c>
      <c r="B171" s="63">
        <f t="shared" si="8"/>
        <v>3</v>
      </c>
      <c r="C171" s="64">
        <v>42444</v>
      </c>
      <c r="D171" s="397" t="s">
        <v>806</v>
      </c>
      <c r="E171" s="64">
        <f t="shared" si="9"/>
        <v>42444</v>
      </c>
      <c r="F171" s="67" t="s">
        <v>419</v>
      </c>
      <c r="G171" s="361" t="s">
        <v>808</v>
      </c>
      <c r="H171" s="404" t="s">
        <v>161</v>
      </c>
      <c r="I171" s="515"/>
      <c r="J171" s="515"/>
      <c r="K171" s="507"/>
      <c r="L171" s="515"/>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5"/>
        <v>1</v>
      </c>
      <c r="AD171" s="66" t="str">
        <f>IF(AND(MONTH(E171)='IN-NX'!$J$5,'IN-NX'!$D$7=D171,OR(LEFT(TH!N171,2)="15",LEFT(TH!O171,2)="15")),"x","")</f>
        <v/>
      </c>
      <c r="AE171" s="66" t="str">
        <f>IF(AND(OR(LEFT(TH!N171,2)="15",LEFT(TH!O171,2)="15"),'152-CT'!$J$8=TH!F171),"x","")</f>
        <v/>
      </c>
      <c r="AF171" s="66" t="str">
        <f>IF(AND(OR(LEFT(TH!N171,2)="15",LEFT(TH!O171,2)="15"),'THE KHO'!$E$7=TH!F171),"x","")</f>
        <v/>
      </c>
      <c r="AG171" s="66" t="str">
        <f>IF(AND(N171="1521",MONTH(C171)='BK NL'!$M$11),"x","")</f>
        <v/>
      </c>
    </row>
    <row r="172" spans="1:35" s="1048" customFormat="1" ht="15.75" hidden="1" customHeight="1">
      <c r="A172" s="397" t="str">
        <f>IF(B172&lt;&gt;"",IF(AND(B172&gt;=_TM1,B172&lt;=_TM2,OR(TH!N172="1111",TH!O172="1111")),TH!D172,""),"")</f>
        <v/>
      </c>
      <c r="B172" s="63">
        <f t="shared" si="8"/>
        <v>3</v>
      </c>
      <c r="C172" s="64">
        <v>42444</v>
      </c>
      <c r="D172" s="64" t="s">
        <v>8</v>
      </c>
      <c r="E172" s="64">
        <f t="shared" si="9"/>
        <v>42444</v>
      </c>
      <c r="F172" s="67" t="s">
        <v>414</v>
      </c>
      <c r="G172" s="361" t="s">
        <v>808</v>
      </c>
      <c r="H172" s="74" t="s">
        <v>333</v>
      </c>
      <c r="I172" s="514"/>
      <c r="J172" s="514"/>
      <c r="K172" s="506"/>
      <c r="L172" s="514"/>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5"/>
        <v>1</v>
      </c>
      <c r="AD172" s="66" t="str">
        <f>IF(AND(MONTH(E172)='IN-NX'!$J$5,'IN-NX'!$D$7=D172,OR(LEFT(TH!N172,2)="15",LEFT(TH!O172,2)="15")),"x","")</f>
        <v/>
      </c>
      <c r="AE172" s="66" t="str">
        <f>IF(AND(OR(LEFT(TH!N172,2)="15",LEFT(TH!O172,2)="15"),'152-CT'!$J$8=TH!F172),"x","")</f>
        <v/>
      </c>
      <c r="AF172" s="66" t="str">
        <f>IF(AND(OR(LEFT(TH!N172,2)="15",LEFT(TH!O172,2)="15"),'THE KHO'!$E$7=TH!F172),"x","")</f>
        <v/>
      </c>
      <c r="AG172" s="66" t="str">
        <f>IF(AND(N172="1521",MONTH(C172)='BK NL'!$M$11),"x","")</f>
        <v/>
      </c>
    </row>
    <row r="173" spans="1:35" s="1048" customFormat="1" ht="15.75" hidden="1" customHeight="1">
      <c r="A173" s="397" t="str">
        <f>IF(B173&lt;&gt;"",IF(AND(B173&gt;=_TM1,B173&lt;=_TM2,OR(TH!N173="1111",TH!O173="1111")),TH!D173,""),"")</f>
        <v/>
      </c>
      <c r="B173" s="63">
        <f t="shared" si="8"/>
        <v>3</v>
      </c>
      <c r="C173" s="64">
        <v>42445</v>
      </c>
      <c r="D173" s="64" t="s">
        <v>8</v>
      </c>
      <c r="E173" s="64">
        <f t="shared" si="9"/>
        <v>42445</v>
      </c>
      <c r="F173" s="67" t="s">
        <v>799</v>
      </c>
      <c r="G173" s="361" t="s">
        <v>808</v>
      </c>
      <c r="H173" s="7" t="s">
        <v>50</v>
      </c>
      <c r="I173" s="514"/>
      <c r="J173" s="514"/>
      <c r="K173" s="506"/>
      <c r="L173" s="514"/>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5"/>
        <v>1</v>
      </c>
      <c r="AD173" s="66" t="str">
        <f>IF(AND(MONTH(E173)='IN-NX'!$J$5,'IN-NX'!$D$7=D173,OR(LEFT(TH!N173,2)="15",LEFT(TH!O173,2)="15")),"x","")</f>
        <v/>
      </c>
      <c r="AE173" s="66" t="str">
        <f>IF(AND(OR(LEFT(TH!N173,2)="15",LEFT(TH!O173,2)="15"),'152-CT'!$J$8=TH!F173),"x","")</f>
        <v/>
      </c>
      <c r="AF173" s="66" t="str">
        <f>IF(AND(OR(LEFT(TH!N173,2)="15",LEFT(TH!O173,2)="15"),'THE KHO'!$E$7=TH!F173),"x","")</f>
        <v/>
      </c>
      <c r="AG173" s="66" t="str">
        <f>IF(AND(N173="1521",MONTH(C173)='BK NL'!$M$11),"x","")</f>
        <v/>
      </c>
    </row>
    <row r="174" spans="1:35" s="1048" customFormat="1" ht="15.75" hidden="1" customHeight="1">
      <c r="A174" s="397" t="str">
        <f>IF(B174&lt;&gt;"",IF(AND(B174&gt;=_TM1,B174&lt;=_TM2,OR(TH!N174="1111",TH!O174="1111")),TH!D174,""),"")</f>
        <v/>
      </c>
      <c r="B174" s="63">
        <f t="shared" si="8"/>
        <v>3</v>
      </c>
      <c r="C174" s="64">
        <v>42445</v>
      </c>
      <c r="D174" s="64" t="s">
        <v>8</v>
      </c>
      <c r="E174" s="64">
        <f t="shared" si="9"/>
        <v>42445</v>
      </c>
      <c r="F174" s="67" t="s">
        <v>22</v>
      </c>
      <c r="G174" s="361" t="s">
        <v>808</v>
      </c>
      <c r="H174" s="74"/>
      <c r="I174" s="514"/>
      <c r="J174" s="514"/>
      <c r="K174" s="506"/>
      <c r="L174" s="514"/>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5"/>
        <v>1</v>
      </c>
      <c r="AD174" s="66" t="str">
        <f>IF(AND(MONTH(E174)='IN-NX'!$J$5,'IN-NX'!$D$7=D174,OR(LEFT(TH!N174,2)="15",LEFT(TH!O174,2)="15")),"x","")</f>
        <v/>
      </c>
      <c r="AE174" s="66" t="str">
        <f>IF(AND(OR(LEFT(TH!N174,2)="15",LEFT(TH!O174,2)="15"),'152-CT'!$J$8=TH!F174),"x","")</f>
        <v/>
      </c>
      <c r="AF174" s="66" t="str">
        <f>IF(AND(OR(LEFT(TH!N174,2)="15",LEFT(TH!O174,2)="15"),'THE KHO'!$E$7=TH!F174),"x","")</f>
        <v/>
      </c>
      <c r="AG174" s="66" t="str">
        <f>IF(AND(N174="1521",MONTH(C174)='BK NL'!$M$11),"x","")</f>
        <v/>
      </c>
      <c r="AI174" s="1048">
        <v>1</v>
      </c>
    </row>
    <row r="175" spans="1:35" s="1048" customFormat="1" ht="15.75" hidden="1" customHeight="1">
      <c r="A175" s="397" t="str">
        <f>IF(B175&lt;&gt;"",IF(AND(B175&gt;=_TM1,B175&lt;=_TM2,OR(TH!N175="1111",TH!O175="1111")),TH!D175,""),"")</f>
        <v/>
      </c>
      <c r="B175" s="63">
        <f t="shared" si="8"/>
        <v>3</v>
      </c>
      <c r="C175" s="64">
        <v>42445</v>
      </c>
      <c r="D175" s="64" t="s">
        <v>8</v>
      </c>
      <c r="E175" s="64">
        <f t="shared" si="9"/>
        <v>42445</v>
      </c>
      <c r="F175" s="67" t="s">
        <v>23</v>
      </c>
      <c r="G175" s="361" t="s">
        <v>808</v>
      </c>
      <c r="H175" s="74"/>
      <c r="I175" s="514"/>
      <c r="J175" s="514"/>
      <c r="K175" s="506"/>
      <c r="L175" s="514"/>
      <c r="M175" s="100">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5"/>
        <v>1</v>
      </c>
      <c r="AD175" s="66" t="str">
        <f>IF(AND(MONTH(E175)='IN-NX'!$J$5,'IN-NX'!$D$7=D175,OR(LEFT(TH!N175,2)="15",LEFT(TH!O175,2)="15")),"x","")</f>
        <v/>
      </c>
      <c r="AE175" s="66" t="str">
        <f>IF(AND(OR(LEFT(TH!N175,2)="15",LEFT(TH!O175,2)="15"),'152-CT'!$J$8=TH!F175),"x","")</f>
        <v/>
      </c>
      <c r="AF175" s="66" t="str">
        <f>IF(AND(OR(LEFT(TH!N175,2)="15",LEFT(TH!O175,2)="15"),'THE KHO'!$E$7=TH!F175),"x","")</f>
        <v/>
      </c>
      <c r="AG175" s="66" t="str">
        <f>IF(AND(N175="1521",MONTH(C175)='BK NL'!$M$11),"x","")</f>
        <v/>
      </c>
      <c r="AI175" s="1048">
        <v>1</v>
      </c>
    </row>
    <row r="176" spans="1:35" s="1048" customFormat="1" ht="15.75" hidden="1" customHeight="1">
      <c r="A176" s="397" t="str">
        <f>IF(B176&lt;&gt;"",IF(AND(B176&gt;=_TM1,B176&lt;=_TM2,OR(TH!N176="1111",TH!O176="1111")),TH!D176,""),"")</f>
        <v/>
      </c>
      <c r="B176" s="63">
        <f t="shared" si="8"/>
        <v>3</v>
      </c>
      <c r="C176" s="64">
        <v>42445</v>
      </c>
      <c r="D176" s="64" t="s">
        <v>8</v>
      </c>
      <c r="E176" s="64">
        <f t="shared" si="9"/>
        <v>42445</v>
      </c>
      <c r="F176" s="67" t="s">
        <v>800</v>
      </c>
      <c r="G176" s="361" t="s">
        <v>808</v>
      </c>
      <c r="H176" s="67"/>
      <c r="I176" s="514"/>
      <c r="J176" s="514"/>
      <c r="K176" s="506"/>
      <c r="L176" s="514"/>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5"/>
        <v>1</v>
      </c>
      <c r="AD176" s="66" t="str">
        <f>IF(AND(MONTH(E176)='IN-NX'!$J$5,'IN-NX'!$D$7=D176,OR(LEFT(TH!N176,2)="15",LEFT(TH!O176,2)="15")),"x","")</f>
        <v/>
      </c>
      <c r="AE176" s="66" t="str">
        <f>IF(AND(OR(LEFT(TH!N176,2)="15",LEFT(TH!O176,2)="15"),'152-CT'!$J$8=TH!F176),"x","")</f>
        <v/>
      </c>
      <c r="AF176" s="66" t="str">
        <f>IF(AND(OR(LEFT(TH!N176,2)="15",LEFT(TH!O176,2)="15"),'THE KHO'!$E$7=TH!F176),"x","")</f>
        <v/>
      </c>
      <c r="AG176" s="66" t="str">
        <f>IF(AND(N176="1521",MONTH(C176)='BK NL'!$M$11),"x","")</f>
        <v/>
      </c>
      <c r="AI176" s="1048">
        <v>1</v>
      </c>
    </row>
    <row r="177" spans="1:35" s="1048" customFormat="1" ht="15.75" hidden="1" customHeight="1">
      <c r="A177" s="397" t="str">
        <f>IF(B177&lt;&gt;"",IF(AND(B177&gt;=_TM1,B177&lt;=_TM2,OR(TH!N177="1111",TH!O177="1111")),TH!D177,""),"")</f>
        <v/>
      </c>
      <c r="B177" s="63">
        <f t="shared" si="8"/>
        <v>3</v>
      </c>
      <c r="C177" s="64">
        <v>42445</v>
      </c>
      <c r="D177" s="64" t="s">
        <v>8</v>
      </c>
      <c r="E177" s="64">
        <f t="shared" si="9"/>
        <v>42445</v>
      </c>
      <c r="F177" s="67" t="s">
        <v>801</v>
      </c>
      <c r="G177" s="361" t="s">
        <v>808</v>
      </c>
      <c r="H177" s="67"/>
      <c r="I177" s="514"/>
      <c r="J177" s="514"/>
      <c r="K177" s="506"/>
      <c r="L177" s="514"/>
      <c r="M177" s="100">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5"/>
        <v>1</v>
      </c>
      <c r="AD177" s="66" t="str">
        <f>IF(AND(MONTH(E177)='IN-NX'!$J$5,'IN-NX'!$D$7=D177,OR(LEFT(TH!N177,2)="15",LEFT(TH!O177,2)="15")),"x","")</f>
        <v/>
      </c>
      <c r="AE177" s="66" t="str">
        <f>IF(AND(OR(LEFT(TH!N177,2)="15",LEFT(TH!O177,2)="15"),'152-CT'!$J$8=TH!F177),"x","")</f>
        <v/>
      </c>
      <c r="AF177" s="66" t="str">
        <f>IF(AND(OR(LEFT(TH!N177,2)="15",LEFT(TH!O177,2)="15"),'THE KHO'!$E$7=TH!F177),"x","")</f>
        <v/>
      </c>
      <c r="AG177" s="66" t="str">
        <f>IF(AND(N177="1521",MONTH(C177)='BK NL'!$M$11),"x","")</f>
        <v/>
      </c>
      <c r="AI177" s="1048">
        <v>1</v>
      </c>
    </row>
    <row r="178" spans="1:35" s="1048" customFormat="1" ht="15.75" hidden="1" customHeight="1">
      <c r="A178" s="397" t="str">
        <f>IF(B178&lt;&gt;"",IF(AND(B178&gt;=_TM1,B178&lt;=_TM2,OR(TH!N178="1111",TH!O178="1111")),TH!D178,""),"")</f>
        <v/>
      </c>
      <c r="B178" s="63">
        <f t="shared" si="8"/>
        <v>3</v>
      </c>
      <c r="C178" s="64">
        <v>42445</v>
      </c>
      <c r="D178" s="64" t="s">
        <v>8</v>
      </c>
      <c r="E178" s="64">
        <f t="shared" si="9"/>
        <v>42445</v>
      </c>
      <c r="F178" s="67" t="s">
        <v>802</v>
      </c>
      <c r="G178" s="361" t="s">
        <v>808</v>
      </c>
      <c r="H178" s="7" t="s">
        <v>317</v>
      </c>
      <c r="I178" s="515"/>
      <c r="J178" s="515"/>
      <c r="K178" s="507"/>
      <c r="L178" s="515"/>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5"/>
        <v>1</v>
      </c>
      <c r="AD178" s="66" t="str">
        <f>IF(AND(MONTH(E178)='IN-NX'!$J$5,'IN-NX'!$D$7=D178,OR(LEFT(TH!N178,2)="15",LEFT(TH!O178,2)="15")),"x","")</f>
        <v/>
      </c>
      <c r="AE178" s="66" t="str">
        <f>IF(AND(OR(LEFT(TH!N178,2)="15",LEFT(TH!O178,2)="15"),'152-CT'!$J$8=TH!F178),"x","")</f>
        <v/>
      </c>
      <c r="AF178" s="66" t="str">
        <f>IF(AND(OR(LEFT(TH!N178,2)="15",LEFT(TH!O178,2)="15"),'THE KHO'!$E$7=TH!F178),"x","")</f>
        <v/>
      </c>
      <c r="AG178" s="66" t="str">
        <f>IF(AND(N178="1521",MONTH(C178)='BK NL'!$M$11),"x","")</f>
        <v/>
      </c>
    </row>
    <row r="179" spans="1:35" s="1048" customFormat="1" ht="15.75" hidden="1" customHeight="1">
      <c r="A179" s="397" t="str">
        <f>IF(B179&lt;&gt;"",IF(AND(B179&gt;=_TM1,B179&lt;=_TM2,OR(TH!N179="1111",TH!O179="1111")),TH!D179,""),"")</f>
        <v/>
      </c>
      <c r="B179" s="63">
        <f t="shared" si="8"/>
        <v>3</v>
      </c>
      <c r="C179" s="64">
        <v>42445</v>
      </c>
      <c r="D179" s="64" t="s">
        <v>8</v>
      </c>
      <c r="E179" s="64">
        <f t="shared" si="9"/>
        <v>42445</v>
      </c>
      <c r="F179" s="67" t="s">
        <v>22</v>
      </c>
      <c r="G179" s="361" t="s">
        <v>808</v>
      </c>
      <c r="H179" s="67"/>
      <c r="I179" s="514"/>
      <c r="J179" s="514"/>
      <c r="K179" s="506"/>
      <c r="L179" s="514"/>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5"/>
        <v>1</v>
      </c>
      <c r="AD179" s="66" t="str">
        <f>IF(AND(MONTH(E179)='IN-NX'!$J$5,'IN-NX'!$D$7=D179,OR(LEFT(TH!N179,2)="15",LEFT(TH!O179,2)="15")),"x","")</f>
        <v/>
      </c>
      <c r="AE179" s="66" t="str">
        <f>IF(AND(OR(LEFT(TH!N179,2)="15",LEFT(TH!O179,2)="15"),'152-CT'!$J$8=TH!F179),"x","")</f>
        <v/>
      </c>
      <c r="AF179" s="66" t="str">
        <f>IF(AND(OR(LEFT(TH!N179,2)="15",LEFT(TH!O179,2)="15"),'THE KHO'!$E$7=TH!F179),"x","")</f>
        <v/>
      </c>
      <c r="AG179" s="66" t="str">
        <f>IF(AND(N179="1521",MONTH(C179)='BK NL'!$M$11),"x","")</f>
        <v/>
      </c>
      <c r="AI179" s="1048">
        <v>1</v>
      </c>
    </row>
    <row r="180" spans="1:35" s="1048" customFormat="1" ht="15.75" hidden="1" customHeight="1">
      <c r="A180" s="397" t="str">
        <f>IF(B180&lt;&gt;"",IF(AND(B180&gt;=_TM1,B180&lt;=_TM2,OR(TH!N180="1111",TH!O180="1111")),TH!D180,""),"")</f>
        <v/>
      </c>
      <c r="B180" s="63">
        <f t="shared" si="8"/>
        <v>3</v>
      </c>
      <c r="C180" s="64">
        <v>42445</v>
      </c>
      <c r="D180" s="64" t="s">
        <v>8</v>
      </c>
      <c r="E180" s="64">
        <f t="shared" si="9"/>
        <v>42445</v>
      </c>
      <c r="F180" s="67" t="s">
        <v>23</v>
      </c>
      <c r="G180" s="361" t="s">
        <v>808</v>
      </c>
      <c r="H180" s="67"/>
      <c r="I180" s="514"/>
      <c r="J180" s="514"/>
      <c r="K180" s="506"/>
      <c r="L180" s="514"/>
      <c r="M180" s="100">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5"/>
        <v>1</v>
      </c>
      <c r="AD180" s="66" t="str">
        <f>IF(AND(MONTH(E180)='IN-NX'!$J$5,'IN-NX'!$D$7=D180,OR(LEFT(TH!N180,2)="15",LEFT(TH!O180,2)="15")),"x","")</f>
        <v/>
      </c>
      <c r="AE180" s="66" t="str">
        <f>IF(AND(OR(LEFT(TH!N180,2)="15",LEFT(TH!O180,2)="15"),'152-CT'!$J$8=TH!F180),"x","")</f>
        <v/>
      </c>
      <c r="AF180" s="66" t="str">
        <f>IF(AND(OR(LEFT(TH!N180,2)="15",LEFT(TH!O180,2)="15"),'THE KHO'!$E$7=TH!F180),"x","")</f>
        <v/>
      </c>
      <c r="AG180" s="66" t="str">
        <f>IF(AND(N180="1521",MONTH(C180)='BK NL'!$M$11),"x","")</f>
        <v/>
      </c>
      <c r="AI180" s="1048">
        <v>1</v>
      </c>
    </row>
    <row r="181" spans="1:35" s="1048" customFormat="1" ht="15.75" hidden="1" customHeight="1">
      <c r="A181" s="397" t="str">
        <f>IF(B181&lt;&gt;"",IF(AND(B181&gt;=_TM1,B181&lt;=_TM2,OR(TH!N181="1111",TH!O181="1111")),TH!D181,""),"")</f>
        <v/>
      </c>
      <c r="B181" s="63">
        <f t="shared" si="8"/>
        <v>3</v>
      </c>
      <c r="C181" s="64">
        <v>42445</v>
      </c>
      <c r="D181" s="64" t="s">
        <v>8</v>
      </c>
      <c r="E181" s="64">
        <f t="shared" si="9"/>
        <v>42445</v>
      </c>
      <c r="F181" s="67" t="s">
        <v>800</v>
      </c>
      <c r="G181" s="361" t="s">
        <v>808</v>
      </c>
      <c r="H181" s="67"/>
      <c r="I181" s="515"/>
      <c r="J181" s="515"/>
      <c r="K181" s="507"/>
      <c r="L181" s="515"/>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5"/>
        <v>1</v>
      </c>
      <c r="AD181" s="66" t="str">
        <f>IF(AND(MONTH(E181)='IN-NX'!$J$5,'IN-NX'!$D$7=D181,OR(LEFT(TH!N181,2)="15",LEFT(TH!O181,2)="15")),"x","")</f>
        <v/>
      </c>
      <c r="AE181" s="66" t="str">
        <f>IF(AND(OR(LEFT(TH!N181,2)="15",LEFT(TH!O181,2)="15"),'152-CT'!$J$8=TH!F181),"x","")</f>
        <v/>
      </c>
      <c r="AF181" s="66" t="str">
        <f>IF(AND(OR(LEFT(TH!N181,2)="15",LEFT(TH!O181,2)="15"),'THE KHO'!$E$7=TH!F181),"x","")</f>
        <v/>
      </c>
      <c r="AG181" s="66" t="str">
        <f>IF(AND(N181="1521",MONTH(C181)='BK NL'!$M$11),"x","")</f>
        <v/>
      </c>
      <c r="AI181" s="1048">
        <v>1</v>
      </c>
    </row>
    <row r="182" spans="1:35" s="1048" customFormat="1" ht="15.75" hidden="1" customHeight="1">
      <c r="A182" s="397" t="str">
        <f>IF(B182&lt;&gt;"",IF(AND(B182&gt;=_TM1,B182&lt;=_TM2,OR(TH!N182="1111",TH!O182="1111")),TH!D182,""),"")</f>
        <v/>
      </c>
      <c r="B182" s="63">
        <f t="shared" si="8"/>
        <v>3</v>
      </c>
      <c r="C182" s="64">
        <v>42445</v>
      </c>
      <c r="D182" s="64" t="s">
        <v>8</v>
      </c>
      <c r="E182" s="64">
        <f t="shared" si="9"/>
        <v>42445</v>
      </c>
      <c r="F182" s="67" t="s">
        <v>801</v>
      </c>
      <c r="G182" s="361" t="s">
        <v>808</v>
      </c>
      <c r="H182" s="67"/>
      <c r="I182" s="514"/>
      <c r="J182" s="514"/>
      <c r="K182" s="506"/>
      <c r="L182" s="514"/>
      <c r="M182" s="100">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5"/>
        <v>1</v>
      </c>
      <c r="AD182" s="66" t="str">
        <f>IF(AND(MONTH(E182)='IN-NX'!$J$5,'IN-NX'!$D$7=D182,OR(LEFT(TH!N182,2)="15",LEFT(TH!O182,2)="15")),"x","")</f>
        <v/>
      </c>
      <c r="AE182" s="66" t="str">
        <f>IF(AND(OR(LEFT(TH!N182,2)="15",LEFT(TH!O182,2)="15"),'152-CT'!$J$8=TH!F182),"x","")</f>
        <v/>
      </c>
      <c r="AF182" s="66" t="str">
        <f>IF(AND(OR(LEFT(TH!N182,2)="15",LEFT(TH!O182,2)="15"),'THE KHO'!$E$7=TH!F182),"x","")</f>
        <v/>
      </c>
      <c r="AG182" s="66" t="str">
        <f>IF(AND(N182="1521",MONTH(C182)='BK NL'!$M$11),"x","")</f>
        <v/>
      </c>
      <c r="AI182" s="1048">
        <v>1</v>
      </c>
    </row>
    <row r="183" spans="1:35" s="410" customFormat="1" ht="15.75" hidden="1" customHeight="1">
      <c r="A183" s="397" t="str">
        <f>IF(B183&lt;&gt;"",IF(AND(B183&gt;=_TM1,B183&lt;=_TM2,OR(TH!N183="1111",TH!O183="1111")),TH!D183,""),"")</f>
        <v/>
      </c>
      <c r="B183" s="63">
        <f t="shared" si="8"/>
        <v>3</v>
      </c>
      <c r="C183" s="64">
        <v>42445</v>
      </c>
      <c r="D183" s="64" t="s">
        <v>8</v>
      </c>
      <c r="E183" s="64">
        <f t="shared" si="9"/>
        <v>42445</v>
      </c>
      <c r="F183" s="67" t="s">
        <v>803</v>
      </c>
      <c r="G183" s="361" t="s">
        <v>808</v>
      </c>
      <c r="H183" s="74" t="s">
        <v>222</v>
      </c>
      <c r="I183" s="514"/>
      <c r="J183" s="514"/>
      <c r="K183" s="506"/>
      <c r="L183" s="514"/>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5"/>
        <v>1</v>
      </c>
      <c r="AD183" s="66" t="str">
        <f>IF(AND(MONTH(E183)='IN-NX'!$J$5,'IN-NX'!$D$7=D183,OR(LEFT(TH!N183,2)="15",LEFT(TH!O183,2)="15")),"x","")</f>
        <v/>
      </c>
      <c r="AE183" s="66" t="str">
        <f>IF(AND(OR(LEFT(TH!N183,2)="15",LEFT(TH!O183,2)="15"),'152-CT'!$J$8=TH!F183),"x","")</f>
        <v/>
      </c>
      <c r="AF183" s="66" t="str">
        <f>IF(AND(OR(LEFT(TH!N183,2)="15",LEFT(TH!O183,2)="15"),'THE KHO'!$E$7=TH!F183),"x","")</f>
        <v/>
      </c>
      <c r="AG183" s="66" t="str">
        <f>IF(AND(N183="1521",MONTH(C183)='BK NL'!$M$11),"x","")</f>
        <v/>
      </c>
    </row>
    <row r="184" spans="1:35" s="410" customFormat="1" ht="15.75" hidden="1" customHeight="1">
      <c r="A184" s="397" t="str">
        <f>IF(B184&lt;&gt;"",IF(AND(B184&gt;=_TM1,B184&lt;=_TM2,OR(TH!N184="1111",TH!O184="1111")),TH!D184,""),"")</f>
        <v/>
      </c>
      <c r="B184" s="63">
        <f t="shared" si="8"/>
        <v>3</v>
      </c>
      <c r="C184" s="64">
        <v>42445</v>
      </c>
      <c r="D184" s="64" t="s">
        <v>8</v>
      </c>
      <c r="E184" s="64">
        <f t="shared" si="9"/>
        <v>42445</v>
      </c>
      <c r="F184" s="67" t="s">
        <v>22</v>
      </c>
      <c r="G184" s="361" t="s">
        <v>808</v>
      </c>
      <c r="H184" s="74"/>
      <c r="I184" s="514"/>
      <c r="J184" s="514"/>
      <c r="K184" s="506"/>
      <c r="L184" s="514"/>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5"/>
        <v>1</v>
      </c>
      <c r="AD184" s="66" t="str">
        <f>IF(AND(MONTH(E184)='IN-NX'!$J$5,'IN-NX'!$D$7=D184,OR(LEFT(TH!N184,2)="15",LEFT(TH!O184,2)="15")),"x","")</f>
        <v/>
      </c>
      <c r="AE184" s="66" t="str">
        <f>IF(AND(OR(LEFT(TH!N184,2)="15",LEFT(TH!O184,2)="15"),'152-CT'!$J$8=TH!F184),"x","")</f>
        <v/>
      </c>
      <c r="AF184" s="66" t="str">
        <f>IF(AND(OR(LEFT(TH!N184,2)="15",LEFT(TH!O184,2)="15"),'THE KHO'!$E$7=TH!F184),"x","")</f>
        <v/>
      </c>
      <c r="AG184" s="66" t="str">
        <f>IF(AND(N184="1521",MONTH(C184)='BK NL'!$M$11),"x","")</f>
        <v/>
      </c>
      <c r="AI184" s="410">
        <v>1</v>
      </c>
    </row>
    <row r="185" spans="1:35" s="410" customFormat="1" ht="15.75" hidden="1" customHeight="1">
      <c r="A185" s="397" t="str">
        <f>IF(B185&lt;&gt;"",IF(AND(B185&gt;=_TM1,B185&lt;=_TM2,OR(TH!N185="1111",TH!O185="1111")),TH!D185,""),"")</f>
        <v/>
      </c>
      <c r="B185" s="63">
        <f t="shared" si="8"/>
        <v>3</v>
      </c>
      <c r="C185" s="64">
        <v>42445</v>
      </c>
      <c r="D185" s="64" t="s">
        <v>8</v>
      </c>
      <c r="E185" s="64">
        <f t="shared" si="9"/>
        <v>42445</v>
      </c>
      <c r="F185" s="67" t="s">
        <v>23</v>
      </c>
      <c r="G185" s="361" t="s">
        <v>808</v>
      </c>
      <c r="H185" s="74"/>
      <c r="I185" s="514"/>
      <c r="J185" s="514"/>
      <c r="K185" s="506"/>
      <c r="L185" s="514"/>
      <c r="M185" s="100">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5"/>
        <v>1</v>
      </c>
      <c r="AD185" s="66" t="str">
        <f>IF(AND(MONTH(E185)='IN-NX'!$J$5,'IN-NX'!$D$7=D185,OR(LEFT(TH!N185,2)="15",LEFT(TH!O185,2)="15")),"x","")</f>
        <v/>
      </c>
      <c r="AE185" s="66" t="str">
        <f>IF(AND(OR(LEFT(TH!N185,2)="15",LEFT(TH!O185,2)="15"),'152-CT'!$J$8=TH!F185),"x","")</f>
        <v/>
      </c>
      <c r="AF185" s="66" t="str">
        <f>IF(AND(OR(LEFT(TH!N185,2)="15",LEFT(TH!O185,2)="15"),'THE KHO'!$E$7=TH!F185),"x","")</f>
        <v/>
      </c>
      <c r="AG185" s="66" t="str">
        <f>IF(AND(N185="1521",MONTH(C185)='BK NL'!$M$11),"x","")</f>
        <v/>
      </c>
      <c r="AI185" s="410">
        <v>1</v>
      </c>
    </row>
    <row r="186" spans="1:35" s="410" customFormat="1" ht="15.75" hidden="1" customHeight="1">
      <c r="A186" s="397" t="str">
        <f>IF(B186&lt;&gt;"",IF(AND(B186&gt;=_TM1,B186&lt;=_TM2,OR(TH!N186="1111",TH!O186="1111")),TH!D186,""),"")</f>
        <v/>
      </c>
      <c r="B186" s="63">
        <f t="shared" si="8"/>
        <v>3</v>
      </c>
      <c r="C186" s="64">
        <v>42445</v>
      </c>
      <c r="D186" s="64" t="s">
        <v>8</v>
      </c>
      <c r="E186" s="64">
        <f t="shared" si="9"/>
        <v>42445</v>
      </c>
      <c r="F186" s="67" t="s">
        <v>800</v>
      </c>
      <c r="G186" s="361" t="s">
        <v>808</v>
      </c>
      <c r="H186" s="67"/>
      <c r="I186" s="515"/>
      <c r="J186" s="515"/>
      <c r="K186" s="507"/>
      <c r="L186" s="515"/>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5"/>
        <v>1</v>
      </c>
      <c r="AD186" s="66" t="str">
        <f>IF(AND(MONTH(E186)='IN-NX'!$J$5,'IN-NX'!$D$7=D186,OR(LEFT(TH!N186,2)="15",LEFT(TH!O186,2)="15")),"x","")</f>
        <v/>
      </c>
      <c r="AE186" s="66" t="str">
        <f>IF(AND(OR(LEFT(TH!N186,2)="15",LEFT(TH!O186,2)="15"),'152-CT'!$J$8=TH!F186),"x","")</f>
        <v/>
      </c>
      <c r="AF186" s="66" t="str">
        <f>IF(AND(OR(LEFT(TH!N186,2)="15",LEFT(TH!O186,2)="15"),'THE KHO'!$E$7=TH!F186),"x","")</f>
        <v/>
      </c>
      <c r="AG186" s="66" t="str">
        <f>IF(AND(N186="1521",MONTH(C186)='BK NL'!$M$11),"x","")</f>
        <v/>
      </c>
      <c r="AI186" s="410">
        <v>1</v>
      </c>
    </row>
    <row r="187" spans="1:35" s="410" customFormat="1" ht="15.75" hidden="1" customHeight="1">
      <c r="A187" s="397" t="str">
        <f>IF(B187&lt;&gt;"",IF(AND(B187&gt;=_TM1,B187&lt;=_TM2,OR(TH!N187="1111",TH!O187="1111")),TH!D187,""),"")</f>
        <v/>
      </c>
      <c r="B187" s="63">
        <f t="shared" si="8"/>
        <v>3</v>
      </c>
      <c r="C187" s="64">
        <v>42445</v>
      </c>
      <c r="D187" s="64" t="s">
        <v>8</v>
      </c>
      <c r="E187" s="64">
        <f t="shared" si="9"/>
        <v>42445</v>
      </c>
      <c r="F187" s="67" t="s">
        <v>801</v>
      </c>
      <c r="G187" s="361" t="s">
        <v>808</v>
      </c>
      <c r="H187" s="67"/>
      <c r="I187" s="514"/>
      <c r="J187" s="514"/>
      <c r="K187" s="506"/>
      <c r="L187" s="514"/>
      <c r="M187" s="100">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5"/>
        <v>1</v>
      </c>
      <c r="AD187" s="66" t="str">
        <f>IF(AND(MONTH(E187)='IN-NX'!$J$5,'IN-NX'!$D$7=D187,OR(LEFT(TH!N187,2)="15",LEFT(TH!O187,2)="15")),"x","")</f>
        <v/>
      </c>
      <c r="AE187" s="66" t="str">
        <f>IF(AND(OR(LEFT(TH!N187,2)="15",LEFT(TH!O187,2)="15"),'152-CT'!$J$8=TH!F187),"x","")</f>
        <v/>
      </c>
      <c r="AF187" s="66" t="str">
        <f>IF(AND(OR(LEFT(TH!N187,2)="15",LEFT(TH!O187,2)="15"),'THE KHO'!$E$7=TH!F187),"x","")</f>
        <v/>
      </c>
      <c r="AG187" s="66" t="str">
        <f>IF(AND(N187="1521",MONTH(C187)='BK NL'!$M$11),"x","")</f>
        <v/>
      </c>
      <c r="AI187" s="410">
        <v>1</v>
      </c>
    </row>
    <row r="188" spans="1:35" s="410" customFormat="1" ht="15.75" hidden="1" customHeight="1">
      <c r="A188" s="397" t="str">
        <f>IF(B188&lt;&gt;"",IF(AND(B188&gt;=_TM1,B188&lt;=_TM2,OR(TH!N188="1111",TH!O188="1111")),TH!D188,""),"")</f>
        <v/>
      </c>
      <c r="B188" s="63">
        <f t="shared" si="8"/>
        <v>3</v>
      </c>
      <c r="C188" s="64">
        <v>42445</v>
      </c>
      <c r="D188" s="64" t="s">
        <v>8</v>
      </c>
      <c r="E188" s="64">
        <f t="shared" si="9"/>
        <v>42445</v>
      </c>
      <c r="F188" s="67" t="s">
        <v>804</v>
      </c>
      <c r="G188" s="361" t="s">
        <v>808</v>
      </c>
      <c r="H188" s="74" t="s">
        <v>163</v>
      </c>
      <c r="I188" s="514"/>
      <c r="J188" s="514"/>
      <c r="K188" s="506"/>
      <c r="L188" s="514"/>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5"/>
        <v>1</v>
      </c>
      <c r="AD188" s="66" t="str">
        <f>IF(AND(MONTH(E188)='IN-NX'!$J$5,'IN-NX'!$D$7=D188,OR(LEFT(TH!N188,2)="15",LEFT(TH!O188,2)="15")),"x","")</f>
        <v/>
      </c>
      <c r="AE188" s="66" t="str">
        <f>IF(AND(OR(LEFT(TH!N188,2)="15",LEFT(TH!O188,2)="15"),'152-CT'!$J$8=TH!F188),"x","")</f>
        <v/>
      </c>
      <c r="AF188" s="66" t="str">
        <f>IF(AND(OR(LEFT(TH!N188,2)="15",LEFT(TH!O188,2)="15"),'THE KHO'!$E$7=TH!F188),"x","")</f>
        <v/>
      </c>
      <c r="AG188" s="66" t="str">
        <f>IF(AND(N188="1521",MONTH(C188)='BK NL'!$M$11),"x","")</f>
        <v/>
      </c>
    </row>
    <row r="189" spans="1:35" s="410" customFormat="1" ht="15.75" hidden="1" customHeight="1">
      <c r="A189" s="397" t="str">
        <f>IF(B189&lt;&gt;"",IF(AND(B189&gt;=_TM1,B189&lt;=_TM2,OR(TH!N189="1111",TH!O189="1111")),TH!D189,""),"")</f>
        <v/>
      </c>
      <c r="B189" s="63">
        <f t="shared" si="8"/>
        <v>3</v>
      </c>
      <c r="C189" s="64">
        <v>42445</v>
      </c>
      <c r="D189" s="64" t="s">
        <v>8</v>
      </c>
      <c r="E189" s="64">
        <f t="shared" si="9"/>
        <v>42445</v>
      </c>
      <c r="F189" s="67" t="s">
        <v>22</v>
      </c>
      <c r="G189" s="361" t="s">
        <v>808</v>
      </c>
      <c r="H189" s="74"/>
      <c r="I189" s="514"/>
      <c r="J189" s="514"/>
      <c r="K189" s="506"/>
      <c r="L189" s="514"/>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5"/>
        <v>1</v>
      </c>
      <c r="AD189" s="66" t="str">
        <f>IF(AND(MONTH(E189)='IN-NX'!$J$5,'IN-NX'!$D$7=D189,OR(LEFT(TH!N189,2)="15",LEFT(TH!O189,2)="15")),"x","")</f>
        <v/>
      </c>
      <c r="AE189" s="66" t="str">
        <f>IF(AND(OR(LEFT(TH!N189,2)="15",LEFT(TH!O189,2)="15"),'152-CT'!$J$8=TH!F189),"x","")</f>
        <v/>
      </c>
      <c r="AF189" s="66" t="str">
        <f>IF(AND(OR(LEFT(TH!N189,2)="15",LEFT(TH!O189,2)="15"),'THE KHO'!$E$7=TH!F189),"x","")</f>
        <v/>
      </c>
      <c r="AG189" s="66" t="str">
        <f>IF(AND(N189="1521",MONTH(C189)='BK NL'!$M$11),"x","")</f>
        <v/>
      </c>
      <c r="AI189" s="410">
        <v>1</v>
      </c>
    </row>
    <row r="190" spans="1:35" s="410" customFormat="1" ht="15.75" hidden="1" customHeight="1">
      <c r="A190" s="397" t="str">
        <f>IF(B190&lt;&gt;"",IF(AND(B190&gt;=_TM1,B190&lt;=_TM2,OR(TH!N190="1111",TH!O190="1111")),TH!D190,""),"")</f>
        <v/>
      </c>
      <c r="B190" s="63">
        <f t="shared" si="8"/>
        <v>3</v>
      </c>
      <c r="C190" s="64">
        <v>42445</v>
      </c>
      <c r="D190" s="64" t="s">
        <v>8</v>
      </c>
      <c r="E190" s="64">
        <f t="shared" si="9"/>
        <v>42445</v>
      </c>
      <c r="F190" s="67" t="s">
        <v>23</v>
      </c>
      <c r="G190" s="361" t="s">
        <v>808</v>
      </c>
      <c r="H190" s="74"/>
      <c r="I190" s="514"/>
      <c r="J190" s="514"/>
      <c r="K190" s="506"/>
      <c r="L190" s="514"/>
      <c r="M190" s="100">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5"/>
        <v>1</v>
      </c>
      <c r="AD190" s="66" t="str">
        <f>IF(AND(MONTH(E190)='IN-NX'!$J$5,'IN-NX'!$D$7=D190,OR(LEFT(TH!N190,2)="15",LEFT(TH!O190,2)="15")),"x","")</f>
        <v/>
      </c>
      <c r="AE190" s="66" t="str">
        <f>IF(AND(OR(LEFT(TH!N190,2)="15",LEFT(TH!O190,2)="15"),'152-CT'!$J$8=TH!F190),"x","")</f>
        <v/>
      </c>
      <c r="AF190" s="66" t="str">
        <f>IF(AND(OR(LEFT(TH!N190,2)="15",LEFT(TH!O190,2)="15"),'THE KHO'!$E$7=TH!F190),"x","")</f>
        <v/>
      </c>
      <c r="AG190" s="66" t="str">
        <f>IF(AND(N190="1521",MONTH(C190)='BK NL'!$M$11),"x","")</f>
        <v/>
      </c>
      <c r="AI190" s="410">
        <v>1</v>
      </c>
    </row>
    <row r="191" spans="1:35" s="410" customFormat="1" ht="15.75" hidden="1" customHeight="1">
      <c r="A191" s="397" t="str">
        <f>IF(B191&lt;&gt;"",IF(AND(B191&gt;=_TM1,B191&lt;=_TM2,OR(TH!N191="1111",TH!O191="1111")),TH!D191,""),"")</f>
        <v/>
      </c>
      <c r="B191" s="63">
        <f t="shared" si="8"/>
        <v>3</v>
      </c>
      <c r="C191" s="64">
        <v>42445</v>
      </c>
      <c r="D191" s="64" t="s">
        <v>8</v>
      </c>
      <c r="E191" s="64">
        <f t="shared" si="9"/>
        <v>42445</v>
      </c>
      <c r="F191" s="67" t="s">
        <v>800</v>
      </c>
      <c r="G191" s="361" t="s">
        <v>808</v>
      </c>
      <c r="H191" s="67"/>
      <c r="I191" s="515"/>
      <c r="J191" s="515"/>
      <c r="K191" s="507"/>
      <c r="L191" s="515"/>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5"/>
        <v>1</v>
      </c>
      <c r="AD191" s="66" t="str">
        <f>IF(AND(MONTH(E191)='IN-NX'!$J$5,'IN-NX'!$D$7=D191,OR(LEFT(TH!N191,2)="15",LEFT(TH!O191,2)="15")),"x","")</f>
        <v/>
      </c>
      <c r="AE191" s="66" t="str">
        <f>IF(AND(OR(LEFT(TH!N191,2)="15",LEFT(TH!O191,2)="15"),'152-CT'!$J$8=TH!F191),"x","")</f>
        <v/>
      </c>
      <c r="AF191" s="66" t="str">
        <f>IF(AND(OR(LEFT(TH!N191,2)="15",LEFT(TH!O191,2)="15"),'THE KHO'!$E$7=TH!F191),"x","")</f>
        <v/>
      </c>
      <c r="AG191" s="66" t="str">
        <f>IF(AND(N191="1521",MONTH(C191)='BK NL'!$M$11),"x","")</f>
        <v/>
      </c>
      <c r="AI191" s="410">
        <v>1</v>
      </c>
    </row>
    <row r="192" spans="1:35" s="410" customFormat="1" ht="15.75" hidden="1" customHeight="1">
      <c r="A192" s="397" t="str">
        <f>IF(B192&lt;&gt;"",IF(AND(B192&gt;=_TM1,B192&lt;=_TM2,OR(TH!N192="1111",TH!O192="1111")),TH!D192,""),"")</f>
        <v/>
      </c>
      <c r="B192" s="63">
        <f t="shared" si="8"/>
        <v>3</v>
      </c>
      <c r="C192" s="64">
        <v>42445</v>
      </c>
      <c r="D192" s="64" t="s">
        <v>8</v>
      </c>
      <c r="E192" s="64">
        <f t="shared" si="9"/>
        <v>42445</v>
      </c>
      <c r="F192" s="67" t="s">
        <v>801</v>
      </c>
      <c r="G192" s="361" t="s">
        <v>808</v>
      </c>
      <c r="H192" s="67"/>
      <c r="I192" s="514"/>
      <c r="J192" s="514"/>
      <c r="K192" s="506"/>
      <c r="L192" s="514"/>
      <c r="M192" s="100">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5"/>
        <v>1</v>
      </c>
      <c r="AD192" s="66" t="str">
        <f>IF(AND(MONTH(E192)='IN-NX'!$J$5,'IN-NX'!$D$7=D192,OR(LEFT(TH!N192,2)="15",LEFT(TH!O192,2)="15")),"x","")</f>
        <v/>
      </c>
      <c r="AE192" s="66" t="str">
        <f>IF(AND(OR(LEFT(TH!N192,2)="15",LEFT(TH!O192,2)="15"),'152-CT'!$J$8=TH!F192),"x","")</f>
        <v/>
      </c>
      <c r="AF192" s="66" t="str">
        <f>IF(AND(OR(LEFT(TH!N192,2)="15",LEFT(TH!O192,2)="15"),'THE KHO'!$E$7=TH!F192),"x","")</f>
        <v/>
      </c>
      <c r="AG192" s="66" t="str">
        <f>IF(AND(N192="1521",MONTH(C192)='BK NL'!$M$11),"x","")</f>
        <v/>
      </c>
      <c r="AI192" s="410">
        <v>1</v>
      </c>
    </row>
    <row r="193" spans="1:33" s="410" customFormat="1" ht="15.75" hidden="1" customHeight="1">
      <c r="A193" s="397" t="str">
        <f>IF(B193&lt;&gt;"",IF(AND(B193&gt;=_TM1,B193&lt;=_TM2,OR(TH!N193="1111",TH!O193="1111")),TH!D193,""),"")</f>
        <v/>
      </c>
      <c r="B193" s="63">
        <f t="shared" si="6"/>
        <v>3</v>
      </c>
      <c r="C193" s="64">
        <v>42448</v>
      </c>
      <c r="D193" s="64" t="s">
        <v>8</v>
      </c>
      <c r="E193" s="64">
        <f t="shared" si="9"/>
        <v>42448</v>
      </c>
      <c r="F193" s="67" t="s">
        <v>414</v>
      </c>
      <c r="G193" s="361" t="s">
        <v>808</v>
      </c>
      <c r="H193" s="74" t="s">
        <v>167</v>
      </c>
      <c r="I193" s="514"/>
      <c r="J193" s="514"/>
      <c r="K193" s="506"/>
      <c r="L193" s="514"/>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5"/>
        <v>1</v>
      </c>
      <c r="AD193" s="66" t="str">
        <f>IF(AND(MONTH(E193)='IN-NX'!$J$5,'IN-NX'!$D$7=D193,OR(LEFT(TH!N193,2)="15",LEFT(TH!O193,2)="15")),"x","")</f>
        <v/>
      </c>
      <c r="AE193" s="66" t="str">
        <f>IF(AND(OR(LEFT(TH!N193,2)="15",LEFT(TH!O193,2)="15"),'152-CT'!$J$8=TH!F193),"x","")</f>
        <v/>
      </c>
      <c r="AF193" s="66" t="str">
        <f>IF(AND(OR(LEFT(TH!N193,2)="15",LEFT(TH!O193,2)="15"),'THE KHO'!$E$7=TH!F193),"x","")</f>
        <v/>
      </c>
      <c r="AG193" s="66" t="str">
        <f>IF(AND(N193="1521",MONTH(C193)='BK NL'!$M$11),"x","")</f>
        <v/>
      </c>
    </row>
    <row r="194" spans="1:33" s="410" customFormat="1" ht="15.75" hidden="1" customHeight="1">
      <c r="A194" s="397" t="str">
        <f>IF(B194&lt;&gt;"",IF(AND(B194&gt;=_TM1,B194&lt;=_TM2,OR(TH!N194="1111",TH!O194="1111")),TH!D194,""),"")</f>
        <v/>
      </c>
      <c r="B194" s="63">
        <f t="shared" si="6"/>
        <v>3</v>
      </c>
      <c r="C194" s="64">
        <v>42448</v>
      </c>
      <c r="D194" s="64" t="s">
        <v>8</v>
      </c>
      <c r="E194" s="64">
        <f t="shared" ref="E194:E209" si="10">C194</f>
        <v>42448</v>
      </c>
      <c r="F194" s="67" t="s">
        <v>414</v>
      </c>
      <c r="G194" s="361" t="s">
        <v>808</v>
      </c>
      <c r="H194" s="74" t="s">
        <v>168</v>
      </c>
      <c r="I194" s="514"/>
      <c r="J194" s="514"/>
      <c r="K194" s="506"/>
      <c r="L194" s="514"/>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5"/>
        <v>1</v>
      </c>
      <c r="AD194" s="66" t="str">
        <f>IF(AND(MONTH(E194)='IN-NX'!$J$5,'IN-NX'!$D$7=D194,OR(LEFT(TH!N194,2)="15",LEFT(TH!O194,2)="15")),"x","")</f>
        <v/>
      </c>
      <c r="AE194" s="66" t="str">
        <f>IF(AND(OR(LEFT(TH!N194,2)="15",LEFT(TH!O194,2)="15"),'152-CT'!$J$8=TH!F194),"x","")</f>
        <v/>
      </c>
      <c r="AF194" s="66" t="str">
        <f>IF(AND(OR(LEFT(TH!N194,2)="15",LEFT(TH!O194,2)="15"),'THE KHO'!$E$7=TH!F194),"x","")</f>
        <v/>
      </c>
      <c r="AG194" s="66" t="str">
        <f>IF(AND(N194="1521",MONTH(C194)='BK NL'!$M$11),"x","")</f>
        <v/>
      </c>
    </row>
    <row r="195" spans="1:33" s="410" customFormat="1" ht="15.75" hidden="1" customHeight="1">
      <c r="A195" s="397" t="str">
        <f>IF(B195&lt;&gt;"",IF(AND(B195&gt;=_TM1,B195&lt;=_TM2,OR(TH!N195="1111",TH!O195="1111")),TH!D195,""),"")</f>
        <v/>
      </c>
      <c r="B195" s="63">
        <f t="shared" si="6"/>
        <v>3</v>
      </c>
      <c r="C195" s="64">
        <v>42448</v>
      </c>
      <c r="D195" s="64" t="s">
        <v>8</v>
      </c>
      <c r="E195" s="64">
        <f t="shared" si="10"/>
        <v>42448</v>
      </c>
      <c r="F195" s="67" t="s">
        <v>414</v>
      </c>
      <c r="G195" s="361" t="s">
        <v>808</v>
      </c>
      <c r="H195" s="75" t="s">
        <v>170</v>
      </c>
      <c r="I195" s="515"/>
      <c r="J195" s="515"/>
      <c r="K195" s="507"/>
      <c r="L195" s="515"/>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5"/>
        <v>1</v>
      </c>
      <c r="AD195" s="66" t="str">
        <f>IF(AND(MONTH(E195)='IN-NX'!$J$5,'IN-NX'!$D$7=D195,OR(LEFT(TH!N195,2)="15",LEFT(TH!O195,2)="15")),"x","")</f>
        <v/>
      </c>
      <c r="AE195" s="66" t="str">
        <f>IF(AND(OR(LEFT(TH!N195,2)="15",LEFT(TH!O195,2)="15"),'152-CT'!$J$8=TH!F195),"x","")</f>
        <v/>
      </c>
      <c r="AF195" s="66" t="str">
        <f>IF(AND(OR(LEFT(TH!N195,2)="15",LEFT(TH!O195,2)="15"),'THE KHO'!$E$7=TH!F195),"x","")</f>
        <v/>
      </c>
      <c r="AG195" s="66" t="str">
        <f>IF(AND(N195="1521",MONTH(C195)='BK NL'!$M$11),"x","")</f>
        <v/>
      </c>
    </row>
    <row r="196" spans="1:33" s="410" customFormat="1" ht="15.75" hidden="1" customHeight="1">
      <c r="A196" s="397" t="str">
        <f>IF(B196&lt;&gt;"",IF(AND(B196&gt;=_TM1,B196&lt;=_TM2,OR(TH!N196="1111",TH!O196="1111")),TH!D196,""),"")</f>
        <v/>
      </c>
      <c r="B196" s="63">
        <f t="shared" si="6"/>
        <v>3</v>
      </c>
      <c r="C196" s="64">
        <v>42448</v>
      </c>
      <c r="D196" s="64" t="s">
        <v>8</v>
      </c>
      <c r="E196" s="64">
        <f t="shared" si="10"/>
        <v>42448</v>
      </c>
      <c r="F196" s="67" t="s">
        <v>414</v>
      </c>
      <c r="G196" s="361" t="s">
        <v>808</v>
      </c>
      <c r="H196" s="74" t="s">
        <v>169</v>
      </c>
      <c r="I196" s="515"/>
      <c r="J196" s="515"/>
      <c r="K196" s="507"/>
      <c r="L196" s="515"/>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5"/>
        <v>1</v>
      </c>
      <c r="AD196" s="66" t="str">
        <f>IF(AND(MONTH(E196)='IN-NX'!$J$5,'IN-NX'!$D$7=D196,OR(LEFT(TH!N196,2)="15",LEFT(TH!O196,2)="15")),"x","")</f>
        <v/>
      </c>
      <c r="AE196" s="66" t="str">
        <f>IF(AND(OR(LEFT(TH!N196,2)="15",LEFT(TH!O196,2)="15"),'152-CT'!$J$8=TH!F196),"x","")</f>
        <v/>
      </c>
      <c r="AF196" s="66" t="str">
        <f>IF(AND(OR(LEFT(TH!N196,2)="15",LEFT(TH!O196,2)="15"),'THE KHO'!$E$7=TH!F196),"x","")</f>
        <v/>
      </c>
      <c r="AG196" s="66" t="str">
        <f>IF(AND(N196="1521",MONTH(C196)='BK NL'!$M$11),"x","")</f>
        <v/>
      </c>
    </row>
    <row r="197" spans="1:33" s="410" customFormat="1" ht="15.75" hidden="1" customHeight="1">
      <c r="A197" s="397" t="str">
        <f>IF(B197&lt;&gt;"",IF(AND(B197&gt;=_TM1,B197&lt;=_TM2,OR(TH!N197="1111",TH!O197="1111")),TH!D197,""),"")</f>
        <v/>
      </c>
      <c r="B197" s="63">
        <f t="shared" si="6"/>
        <v>3</v>
      </c>
      <c r="C197" s="64">
        <v>42448</v>
      </c>
      <c r="D197" s="64" t="s">
        <v>8</v>
      </c>
      <c r="E197" s="64">
        <f t="shared" si="10"/>
        <v>42448</v>
      </c>
      <c r="F197" s="67" t="s">
        <v>414</v>
      </c>
      <c r="G197" s="361" t="s">
        <v>808</v>
      </c>
      <c r="H197" s="74" t="s">
        <v>171</v>
      </c>
      <c r="I197" s="515"/>
      <c r="J197" s="515"/>
      <c r="K197" s="507"/>
      <c r="L197" s="515"/>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5"/>
        <v>1</v>
      </c>
      <c r="AD197" s="66" t="str">
        <f>IF(AND(MONTH(E197)='IN-NX'!$J$5,'IN-NX'!$D$7=D197,OR(LEFT(TH!N197,2)="15",LEFT(TH!O197,2)="15")),"x","")</f>
        <v/>
      </c>
      <c r="AE197" s="66" t="str">
        <f>IF(AND(OR(LEFT(TH!N197,2)="15",LEFT(TH!O197,2)="15"),'152-CT'!$J$8=TH!F197),"x","")</f>
        <v/>
      </c>
      <c r="AF197" s="66" t="str">
        <f>IF(AND(OR(LEFT(TH!N197,2)="15",LEFT(TH!O197,2)="15"),'THE KHO'!$E$7=TH!F197),"x","")</f>
        <v/>
      </c>
      <c r="AG197" s="66" t="str">
        <f>IF(AND(N197="1521",MONTH(C197)='BK NL'!$M$11),"x","")</f>
        <v/>
      </c>
    </row>
    <row r="198" spans="1:33" s="410" customFormat="1" ht="15.75" hidden="1" customHeight="1">
      <c r="A198" s="397" t="str">
        <f>IF(B198&lt;&gt;"",IF(AND(B198&gt;=_TM1,B198&lt;=_TM2,OR(TH!N198="1111",TH!O198="1111")),TH!D198,""),"")</f>
        <v/>
      </c>
      <c r="B198" s="63">
        <f t="shared" si="6"/>
        <v>3</v>
      </c>
      <c r="C198" s="64">
        <v>42448</v>
      </c>
      <c r="D198" s="64" t="s">
        <v>8</v>
      </c>
      <c r="E198" s="64">
        <f t="shared" si="10"/>
        <v>42448</v>
      </c>
      <c r="F198" s="67" t="s">
        <v>414</v>
      </c>
      <c r="G198" s="361" t="s">
        <v>808</v>
      </c>
      <c r="H198" s="74" t="s">
        <v>172</v>
      </c>
      <c r="I198" s="515"/>
      <c r="J198" s="515"/>
      <c r="K198" s="507"/>
      <c r="L198" s="515"/>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5"/>
        <v>1</v>
      </c>
      <c r="AD198" s="66" t="str">
        <f>IF(AND(MONTH(E198)='IN-NX'!$J$5,'IN-NX'!$D$7=D198,OR(LEFT(TH!N198,2)="15",LEFT(TH!O198,2)="15")),"x","")</f>
        <v/>
      </c>
      <c r="AE198" s="66" t="str">
        <f>IF(AND(OR(LEFT(TH!N198,2)="15",LEFT(TH!O198,2)="15"),'152-CT'!$J$8=TH!F198),"x","")</f>
        <v/>
      </c>
      <c r="AF198" s="66" t="str">
        <f>IF(AND(OR(LEFT(TH!N198,2)="15",LEFT(TH!O198,2)="15"),'THE KHO'!$E$7=TH!F198),"x","")</f>
        <v/>
      </c>
      <c r="AG198" s="66" t="str">
        <f>IF(AND(N198="1521",MONTH(C198)='BK NL'!$M$11),"x","")</f>
        <v/>
      </c>
    </row>
    <row r="199" spans="1:33" s="410" customFormat="1" ht="15.75" hidden="1" customHeight="1">
      <c r="A199" s="397" t="str">
        <f>IF(B199&lt;&gt;"",IF(AND(B199&gt;=_TM1,B199&lt;=_TM2,OR(TH!N199="1111",TH!O199="1111")),TH!D199,""),"")</f>
        <v/>
      </c>
      <c r="B199" s="63">
        <f t="shared" si="6"/>
        <v>3</v>
      </c>
      <c r="C199" s="64">
        <v>42448</v>
      </c>
      <c r="D199" s="64" t="s">
        <v>8</v>
      </c>
      <c r="E199" s="64">
        <f t="shared" si="10"/>
        <v>42448</v>
      </c>
      <c r="F199" s="67" t="s">
        <v>414</v>
      </c>
      <c r="G199" s="361" t="s">
        <v>808</v>
      </c>
      <c r="H199" s="74" t="s">
        <v>173</v>
      </c>
      <c r="I199" s="515"/>
      <c r="J199" s="515"/>
      <c r="K199" s="507"/>
      <c r="L199" s="515"/>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5"/>
        <v>1</v>
      </c>
      <c r="AD199" s="66" t="str">
        <f>IF(AND(MONTH(E199)='IN-NX'!$J$5,'IN-NX'!$D$7=D199,OR(LEFT(TH!N199,2)="15",LEFT(TH!O199,2)="15")),"x","")</f>
        <v/>
      </c>
      <c r="AE199" s="66" t="str">
        <f>IF(AND(OR(LEFT(TH!N199,2)="15",LEFT(TH!O199,2)="15"),'152-CT'!$J$8=TH!F199),"x","")</f>
        <v/>
      </c>
      <c r="AF199" s="66" t="str">
        <f>IF(AND(OR(LEFT(TH!N199,2)="15",LEFT(TH!O199,2)="15"),'THE KHO'!$E$7=TH!F199),"x","")</f>
        <v/>
      </c>
      <c r="AG199" s="66" t="str">
        <f>IF(AND(N199="1521",MONTH(C199)='BK NL'!$M$11),"x","")</f>
        <v/>
      </c>
    </row>
    <row r="200" spans="1:33" s="410" customFormat="1" ht="15.75" hidden="1" customHeight="1">
      <c r="A200" s="397" t="str">
        <f>IF(B200&lt;&gt;"",IF(AND(B200&gt;=_TM1,B200&lt;=_TM2,OR(TH!N200="1111",TH!O200="1111")),TH!D200,""),"")</f>
        <v/>
      </c>
      <c r="B200" s="63">
        <f t="shared" si="6"/>
        <v>3</v>
      </c>
      <c r="C200" s="64">
        <v>42448</v>
      </c>
      <c r="D200" s="64" t="s">
        <v>8</v>
      </c>
      <c r="E200" s="64">
        <f t="shared" si="10"/>
        <v>42448</v>
      </c>
      <c r="F200" s="67" t="s">
        <v>414</v>
      </c>
      <c r="G200" s="361" t="s">
        <v>808</v>
      </c>
      <c r="H200" s="74" t="s">
        <v>174</v>
      </c>
      <c r="I200" s="515"/>
      <c r="J200" s="515"/>
      <c r="K200" s="507"/>
      <c r="L200" s="515"/>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5"/>
        <v>1</v>
      </c>
      <c r="AD200" s="66" t="str">
        <f>IF(AND(MONTH(E200)='IN-NX'!$J$5,'IN-NX'!$D$7=D200,OR(LEFT(TH!N200,2)="15",LEFT(TH!O200,2)="15")),"x","")</f>
        <v/>
      </c>
      <c r="AE200" s="66" t="str">
        <f>IF(AND(OR(LEFT(TH!N200,2)="15",LEFT(TH!O200,2)="15"),'152-CT'!$J$8=TH!F200),"x","")</f>
        <v/>
      </c>
      <c r="AF200" s="66" t="str">
        <f>IF(AND(OR(LEFT(TH!N200,2)="15",LEFT(TH!O200,2)="15"),'THE KHO'!$E$7=TH!F200),"x","")</f>
        <v/>
      </c>
      <c r="AG200" s="66" t="str">
        <f>IF(AND(N200="1521",MONTH(C200)='BK NL'!$M$11),"x","")</f>
        <v/>
      </c>
    </row>
    <row r="201" spans="1:33" s="410" customFormat="1" ht="15.75" hidden="1" customHeight="1">
      <c r="A201" s="397" t="str">
        <f>IF(B201&lt;&gt;"",IF(AND(B201&gt;=_TM1,B201&lt;=_TM2,OR(TH!N201="1111",TH!O201="1111")),TH!D201,""),"")</f>
        <v/>
      </c>
      <c r="B201" s="63">
        <f t="shared" si="6"/>
        <v>3</v>
      </c>
      <c r="C201" s="64">
        <v>42448</v>
      </c>
      <c r="D201" s="64" t="s">
        <v>8</v>
      </c>
      <c r="E201" s="64">
        <f t="shared" si="10"/>
        <v>42448</v>
      </c>
      <c r="F201" s="67" t="s">
        <v>414</v>
      </c>
      <c r="G201" s="361" t="s">
        <v>808</v>
      </c>
      <c r="H201" s="404" t="s">
        <v>175</v>
      </c>
      <c r="I201" s="514"/>
      <c r="J201" s="514"/>
      <c r="K201" s="506"/>
      <c r="L201" s="514"/>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5"/>
        <v>1</v>
      </c>
      <c r="AD201" s="66" t="str">
        <f>IF(AND(MONTH(E201)='IN-NX'!$J$5,'IN-NX'!$D$7=D201,OR(LEFT(TH!N201,2)="15",LEFT(TH!O201,2)="15")),"x","")</f>
        <v/>
      </c>
      <c r="AE201" s="66" t="str">
        <f>IF(AND(OR(LEFT(TH!N201,2)="15",LEFT(TH!O201,2)="15"),'152-CT'!$J$8=TH!F201),"x","")</f>
        <v/>
      </c>
      <c r="AF201" s="66" t="str">
        <f>IF(AND(OR(LEFT(TH!N201,2)="15",LEFT(TH!O201,2)="15"),'THE KHO'!$E$7=TH!F201),"x","")</f>
        <v/>
      </c>
      <c r="AG201" s="66" t="str">
        <f>IF(AND(N201="1521",MONTH(C201)='BK NL'!$M$11),"x","")</f>
        <v/>
      </c>
    </row>
    <row r="202" spans="1:33" s="410" customFormat="1" ht="15.75" hidden="1" customHeight="1">
      <c r="A202" s="397" t="str">
        <f>IF(B202&lt;&gt;"",IF(AND(B202&gt;=_TM1,B202&lt;=_TM2,OR(TH!N202="1111",TH!O202="1111")),TH!D202,""),"")</f>
        <v/>
      </c>
      <c r="B202" s="63">
        <f t="shared" si="6"/>
        <v>3</v>
      </c>
      <c r="C202" s="64">
        <v>42448</v>
      </c>
      <c r="D202" s="64" t="s">
        <v>8</v>
      </c>
      <c r="E202" s="64">
        <f t="shared" si="10"/>
        <v>42448</v>
      </c>
      <c r="F202" s="67" t="s">
        <v>414</v>
      </c>
      <c r="G202" s="361" t="s">
        <v>808</v>
      </c>
      <c r="H202" s="74" t="s">
        <v>177</v>
      </c>
      <c r="I202" s="514"/>
      <c r="J202" s="514"/>
      <c r="K202" s="506"/>
      <c r="L202" s="514"/>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5"/>
        <v>1</v>
      </c>
      <c r="AD202" s="66" t="str">
        <f>IF(AND(MONTH(E202)='IN-NX'!$J$5,'IN-NX'!$D$7=D202,OR(LEFT(TH!N202,2)="15",LEFT(TH!O202,2)="15")),"x","")</f>
        <v/>
      </c>
      <c r="AE202" s="66" t="str">
        <f>IF(AND(OR(LEFT(TH!N202,2)="15",LEFT(TH!O202,2)="15"),'152-CT'!$J$8=TH!F202),"x","")</f>
        <v/>
      </c>
      <c r="AF202" s="66" t="str">
        <f>IF(AND(OR(LEFT(TH!N202,2)="15",LEFT(TH!O202,2)="15"),'THE KHO'!$E$7=TH!F202),"x","")</f>
        <v/>
      </c>
      <c r="AG202" s="66" t="str">
        <f>IF(AND(N202="1521",MONTH(C202)='BK NL'!$M$11),"x","")</f>
        <v/>
      </c>
    </row>
    <row r="203" spans="1:33" s="410" customFormat="1" ht="15.75" hidden="1" customHeight="1">
      <c r="A203" s="397" t="str">
        <f>IF(B203&lt;&gt;"",IF(AND(B203&gt;=_TM1,B203&lt;=_TM2,OR(TH!N203="1111",TH!O203="1111")),TH!D203,""),"")</f>
        <v/>
      </c>
      <c r="B203" s="63">
        <f t="shared" si="6"/>
        <v>3</v>
      </c>
      <c r="C203" s="64">
        <v>42448</v>
      </c>
      <c r="D203" s="64" t="s">
        <v>8</v>
      </c>
      <c r="E203" s="64">
        <f t="shared" si="10"/>
        <v>42448</v>
      </c>
      <c r="F203" s="67" t="s">
        <v>414</v>
      </c>
      <c r="G203" s="361" t="s">
        <v>808</v>
      </c>
      <c r="H203" s="404" t="s">
        <v>180</v>
      </c>
      <c r="I203" s="514"/>
      <c r="J203" s="514"/>
      <c r="K203" s="506"/>
      <c r="L203" s="514"/>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5"/>
        <v>1</v>
      </c>
      <c r="AD203" s="66" t="str">
        <f>IF(AND(MONTH(E203)='IN-NX'!$J$5,'IN-NX'!$D$7=D203,OR(LEFT(TH!N203,2)="15",LEFT(TH!O203,2)="15")),"x","")</f>
        <v/>
      </c>
      <c r="AE203" s="66" t="str">
        <f>IF(AND(OR(LEFT(TH!N203,2)="15",LEFT(TH!O203,2)="15"),'152-CT'!$J$8=TH!F203),"x","")</f>
        <v/>
      </c>
      <c r="AF203" s="66" t="str">
        <f>IF(AND(OR(LEFT(TH!N203,2)="15",LEFT(TH!O203,2)="15"),'THE KHO'!$E$7=TH!F203),"x","")</f>
        <v/>
      </c>
      <c r="AG203" s="66" t="str">
        <f>IF(AND(N203="1521",MONTH(C203)='BK NL'!$M$11),"x","")</f>
        <v/>
      </c>
    </row>
    <row r="204" spans="1:33" s="410" customFormat="1" ht="15.75" hidden="1" customHeight="1">
      <c r="A204" s="397" t="str">
        <f>IF(B204&lt;&gt;"",IF(AND(B204&gt;=_TM1,B204&lt;=_TM2,OR(TH!N204="1111",TH!O204="1111")),TH!D204,""),"")</f>
        <v/>
      </c>
      <c r="B204" s="63">
        <f t="shared" si="6"/>
        <v>3</v>
      </c>
      <c r="C204" s="64">
        <v>42448</v>
      </c>
      <c r="D204" s="64" t="s">
        <v>8</v>
      </c>
      <c r="E204" s="64">
        <f t="shared" si="10"/>
        <v>42448</v>
      </c>
      <c r="F204" s="67" t="s">
        <v>414</v>
      </c>
      <c r="G204" s="361" t="s">
        <v>808</v>
      </c>
      <c r="H204" s="74" t="s">
        <v>176</v>
      </c>
      <c r="I204" s="514"/>
      <c r="J204" s="514"/>
      <c r="K204" s="506"/>
      <c r="L204" s="514"/>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5"/>
        <v>1</v>
      </c>
      <c r="AD204" s="66" t="str">
        <f>IF(AND(MONTH(E204)='IN-NX'!$J$5,'IN-NX'!$D$7=D204,OR(LEFT(TH!N204,2)="15",LEFT(TH!O204,2)="15")),"x","")</f>
        <v/>
      </c>
      <c r="AE204" s="66" t="str">
        <f>IF(AND(OR(LEFT(TH!N204,2)="15",LEFT(TH!O204,2)="15"),'152-CT'!$J$8=TH!F204),"x","")</f>
        <v/>
      </c>
      <c r="AF204" s="66" t="str">
        <f>IF(AND(OR(LEFT(TH!N204,2)="15",LEFT(TH!O204,2)="15"),'THE KHO'!$E$7=TH!F204),"x","")</f>
        <v/>
      </c>
      <c r="AG204" s="66" t="str">
        <f>IF(AND(N204="1521",MONTH(C204)='BK NL'!$M$11),"x","")</f>
        <v/>
      </c>
    </row>
    <row r="205" spans="1:33" s="410" customFormat="1" ht="15.75" hidden="1" customHeight="1">
      <c r="A205" s="397" t="str">
        <f>IF(B205&lt;&gt;"",IF(AND(B205&gt;=_TM1,B205&lt;=_TM2,OR(TH!N205="1111",TH!O205="1111")),TH!D205,""),"")</f>
        <v/>
      </c>
      <c r="B205" s="63">
        <f t="shared" si="6"/>
        <v>3</v>
      </c>
      <c r="C205" s="64">
        <v>42448</v>
      </c>
      <c r="D205" s="64" t="s">
        <v>8</v>
      </c>
      <c r="E205" s="64">
        <f t="shared" si="10"/>
        <v>42448</v>
      </c>
      <c r="F205" s="67" t="s">
        <v>414</v>
      </c>
      <c r="G205" s="361" t="s">
        <v>808</v>
      </c>
      <c r="H205" s="74" t="s">
        <v>181</v>
      </c>
      <c r="I205" s="514"/>
      <c r="J205" s="514"/>
      <c r="K205" s="506"/>
      <c r="L205" s="514"/>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5"/>
        <v>1</v>
      </c>
      <c r="AD205" s="66" t="str">
        <f>IF(AND(MONTH(E205)='IN-NX'!$J$5,'IN-NX'!$D$7=D205,OR(LEFT(TH!N205,2)="15",LEFT(TH!O205,2)="15")),"x","")</f>
        <v/>
      </c>
      <c r="AE205" s="66" t="str">
        <f>IF(AND(OR(LEFT(TH!N205,2)="15",LEFT(TH!O205,2)="15"),'152-CT'!$J$8=TH!F205),"x","")</f>
        <v/>
      </c>
      <c r="AF205" s="66" t="str">
        <f>IF(AND(OR(LEFT(TH!N205,2)="15",LEFT(TH!O205,2)="15"),'THE KHO'!$E$7=TH!F205),"x","")</f>
        <v/>
      </c>
      <c r="AG205" s="66" t="str">
        <f>IF(AND(N205="1521",MONTH(C205)='BK NL'!$M$11),"x","")</f>
        <v/>
      </c>
    </row>
    <row r="206" spans="1:33" s="410" customFormat="1" ht="15.75" hidden="1" customHeight="1">
      <c r="A206" s="397" t="str">
        <f>IF(B206&lt;&gt;"",IF(AND(B206&gt;=_TM1,B206&lt;=_TM2,OR(TH!N206="1111",TH!O206="1111")),TH!D206,""),"")</f>
        <v/>
      </c>
      <c r="B206" s="63">
        <f t="shared" si="6"/>
        <v>3</v>
      </c>
      <c r="C206" s="64">
        <v>42448</v>
      </c>
      <c r="D206" s="64" t="s">
        <v>8</v>
      </c>
      <c r="E206" s="64">
        <f t="shared" si="10"/>
        <v>42448</v>
      </c>
      <c r="F206" s="67" t="s">
        <v>414</v>
      </c>
      <c r="G206" s="361" t="s">
        <v>808</v>
      </c>
      <c r="H206" s="74" t="s">
        <v>185</v>
      </c>
      <c r="I206" s="516"/>
      <c r="J206" s="516"/>
      <c r="K206" s="508"/>
      <c r="L206" s="516"/>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5"/>
        <v>1</v>
      </c>
      <c r="AD206" s="66" t="str">
        <f>IF(AND(MONTH(E206)='IN-NX'!$J$5,'IN-NX'!$D$7=D206,OR(LEFT(TH!N206,2)="15",LEFT(TH!O206,2)="15")),"x","")</f>
        <v/>
      </c>
      <c r="AE206" s="66" t="str">
        <f>IF(AND(OR(LEFT(TH!N206,2)="15",LEFT(TH!O206,2)="15"),'152-CT'!$J$8=TH!F206),"x","")</f>
        <v/>
      </c>
      <c r="AF206" s="66" t="str">
        <f>IF(AND(OR(LEFT(TH!N206,2)="15",LEFT(TH!O206,2)="15"),'THE KHO'!$E$7=TH!F206),"x","")</f>
        <v/>
      </c>
      <c r="AG206" s="66" t="str">
        <f>IF(AND(N206="1521",MONTH(C206)='BK NL'!$M$11),"x","")</f>
        <v/>
      </c>
    </row>
    <row r="207" spans="1:33" s="410" customFormat="1" ht="15.75" hidden="1" customHeight="1">
      <c r="A207" s="397" t="str">
        <f>IF(B207&lt;&gt;"",IF(AND(B207&gt;=_TM1,B207&lt;=_TM2,OR(TH!N207="1111",TH!O207="1111")),TH!D207,""),"")</f>
        <v/>
      </c>
      <c r="B207" s="63">
        <f t="shared" si="6"/>
        <v>3</v>
      </c>
      <c r="C207" s="64">
        <v>42448</v>
      </c>
      <c r="D207" s="64" t="s">
        <v>8</v>
      </c>
      <c r="E207" s="64">
        <f t="shared" si="10"/>
        <v>42448</v>
      </c>
      <c r="F207" s="67" t="s">
        <v>438</v>
      </c>
      <c r="G207" s="361" t="s">
        <v>808</v>
      </c>
      <c r="H207" s="74" t="s">
        <v>439</v>
      </c>
      <c r="I207" s="514"/>
      <c r="J207" s="514"/>
      <c r="K207" s="506"/>
      <c r="L207" s="514"/>
      <c r="M207" s="65">
        <v>50000000</v>
      </c>
      <c r="N207" s="66" t="s">
        <v>107</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5"/>
        <v>1</v>
      </c>
      <c r="AD207" s="66" t="str">
        <f>IF(AND(MONTH(E207)='IN-NX'!$J$5,'IN-NX'!$D$7=D207,OR(LEFT(TH!N207,2)="15",LEFT(TH!O207,2)="15")),"x","")</f>
        <v/>
      </c>
      <c r="AE207" s="66" t="str">
        <f>IF(AND(OR(LEFT(TH!N207,2)="15",LEFT(TH!O207,2)="15"),'152-CT'!$J$8=TH!F207),"x","")</f>
        <v/>
      </c>
      <c r="AF207" s="66" t="str">
        <f>IF(AND(OR(LEFT(TH!N207,2)="15",LEFT(TH!O207,2)="15"),'THE KHO'!$E$7=TH!F207),"x","")</f>
        <v/>
      </c>
      <c r="AG207" s="66" t="str">
        <f>IF(AND(N207="1521",MONTH(C207)='BK NL'!$M$11),"x","")</f>
        <v/>
      </c>
    </row>
    <row r="208" spans="1:33" s="410" customFormat="1" ht="15.75" hidden="1" customHeight="1">
      <c r="A208" s="397" t="str">
        <f>IF(B208&lt;&gt;"",IF(AND(B208&gt;=_TM1,B208&lt;=_TM2,OR(TH!N208="1111",TH!O208="1111")),TH!D208,""),"")</f>
        <v>T04</v>
      </c>
      <c r="B208" s="63">
        <f t="shared" si="6"/>
        <v>3</v>
      </c>
      <c r="C208" s="64">
        <v>42448</v>
      </c>
      <c r="D208" s="64" t="s">
        <v>902</v>
      </c>
      <c r="E208" s="64">
        <f t="shared" si="10"/>
        <v>42448</v>
      </c>
      <c r="F208" s="67" t="s">
        <v>807</v>
      </c>
      <c r="G208" s="375"/>
      <c r="H208" s="74" t="s">
        <v>439</v>
      </c>
      <c r="I208" s="514"/>
      <c r="J208" s="514"/>
      <c r="K208" s="506"/>
      <c r="L208" s="514"/>
      <c r="M208" s="65">
        <v>50000000</v>
      </c>
      <c r="N208" s="66" t="s">
        <v>98</v>
      </c>
      <c r="O208" s="66" t="s">
        <v>107</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5"/>
        <v>1</v>
      </c>
      <c r="AD208" s="66" t="str">
        <f>IF(AND(MONTH(E208)='IN-NX'!$J$5,'IN-NX'!$D$7=D208,OR(LEFT(TH!N208,2)="15",LEFT(TH!O208,2)="15")),"x","")</f>
        <v/>
      </c>
      <c r="AE208" s="66" t="str">
        <f>IF(AND(OR(LEFT(TH!N208,2)="15",LEFT(TH!O208,2)="15"),'152-CT'!$J$8=TH!F208),"x","")</f>
        <v/>
      </c>
      <c r="AF208" s="66" t="str">
        <f>IF(AND(OR(LEFT(TH!N208,2)="15",LEFT(TH!O208,2)="15"),'THE KHO'!$E$7=TH!F208),"x","")</f>
        <v/>
      </c>
      <c r="AG208" s="66" t="str">
        <f>IF(AND(N208="1521",MONTH(C208)='BK NL'!$M$11),"x","")</f>
        <v/>
      </c>
    </row>
    <row r="209" spans="1:35" s="410" customFormat="1" ht="15.75" customHeight="1">
      <c r="A209" s="397" t="str">
        <f>IF(B209&lt;&gt;"",IF(AND(B209&gt;=_TM1,B209&lt;=_TM2,OR(TH!N209="1111",TH!O209="1111")),TH!D209,""),"")</f>
        <v>C41</v>
      </c>
      <c r="B209" s="63">
        <f t="shared" si="6"/>
        <v>3</v>
      </c>
      <c r="C209" s="64">
        <v>42450</v>
      </c>
      <c r="D209" s="64" t="s">
        <v>809</v>
      </c>
      <c r="E209" s="64">
        <f t="shared" si="10"/>
        <v>42450</v>
      </c>
      <c r="F209" s="67" t="s">
        <v>810</v>
      </c>
      <c r="G209" s="375" t="s">
        <v>811</v>
      </c>
      <c r="H209" s="7" t="s">
        <v>50</v>
      </c>
      <c r="I209" s="514"/>
      <c r="J209" s="514"/>
      <c r="K209" s="506"/>
      <c r="L209" s="514"/>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5"/>
        <v>1</v>
      </c>
      <c r="AD209" s="66" t="str">
        <f>IF(AND(MONTH(E209)='IN-NX'!$J$5,'IN-NX'!$D$7=D209,OR(LEFT(TH!N209,2)="15",LEFT(TH!O209,2)="15")),"x","")</f>
        <v/>
      </c>
      <c r="AE209" s="66" t="str">
        <f>IF(AND(OR(LEFT(TH!N209,2)="15",LEFT(TH!O209,2)="15"),'152-CT'!$J$8=TH!F209),"x","")</f>
        <v/>
      </c>
      <c r="AF209" s="66" t="str">
        <f>IF(AND(OR(LEFT(TH!N209,2)="15",LEFT(TH!O209,2)="15"),'THE KHO'!$E$7=TH!F209),"x","")</f>
        <v/>
      </c>
      <c r="AG209" s="66" t="str">
        <f>IF(AND(N209="1521",MONTH(C209)='BK NL'!$M$11),"x","")</f>
        <v/>
      </c>
      <c r="AI209" s="410">
        <v>1</v>
      </c>
    </row>
    <row r="210" spans="1:35" s="410" customFormat="1" ht="15.75" customHeight="1">
      <c r="A210" s="397" t="str">
        <f>IF(B210&lt;&gt;"",IF(AND(B210&gt;=_TM1,B210&lt;=_TM2,OR(TH!N210="1111",TH!O210="1111")),TH!D210,""),"")</f>
        <v>C41</v>
      </c>
      <c r="B210" s="63">
        <f t="shared" ref="B210" si="11">IF(C210&lt;&gt;"",MONTH(C210),"")</f>
        <v>3</v>
      </c>
      <c r="C210" s="64">
        <v>42450</v>
      </c>
      <c r="D210" s="64" t="s">
        <v>809</v>
      </c>
      <c r="E210" s="64">
        <f t="shared" ref="E210" si="12">C210</f>
        <v>42450</v>
      </c>
      <c r="F210" s="67" t="s">
        <v>812</v>
      </c>
      <c r="G210" s="375" t="s">
        <v>811</v>
      </c>
      <c r="H210" s="7" t="s">
        <v>50</v>
      </c>
      <c r="I210" s="514"/>
      <c r="J210" s="514"/>
      <c r="K210" s="506"/>
      <c r="L210" s="514"/>
      <c r="M210" s="100">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ref="AC210:AC273" si="13">IF(AND(1&lt;=$B210,$B210&lt;=3),"1",IF(AND(4&lt;=$B210,$B210&lt;=6),"2",IF(AND(7&lt;=$B210,$B210&lt;=9),"3",IF(AND(10&lt;=$B210,$B210&lt;=12),"4",""))))</f>
        <v>1</v>
      </c>
      <c r="AD210" s="66" t="str">
        <f>IF(AND(MONTH(E210)='IN-NX'!$J$5,'IN-NX'!$D$7=D210,OR(LEFT(TH!N210,2)="15",LEFT(TH!O210,2)="15")),"x","")</f>
        <v/>
      </c>
      <c r="AE210" s="66" t="str">
        <f>IF(AND(OR(LEFT(TH!N210,2)="15",LEFT(TH!O210,2)="15"),'152-CT'!$J$8=TH!F210),"x","")</f>
        <v/>
      </c>
      <c r="AF210" s="66" t="str">
        <f>IF(AND(OR(LEFT(TH!N210,2)="15",LEFT(TH!O210,2)="15"),'THE KHO'!$E$7=TH!F210),"x","")</f>
        <v/>
      </c>
      <c r="AG210" s="66" t="str">
        <f>IF(AND(N210="1521",MONTH(C210)='BK NL'!$M$11),"x","")</f>
        <v/>
      </c>
      <c r="AI210" s="410">
        <v>1</v>
      </c>
    </row>
    <row r="211" spans="1:35" s="410" customFormat="1" ht="15.75" customHeight="1">
      <c r="A211" s="397" t="str">
        <f>IF(B211&lt;&gt;"",IF(AND(B211&gt;=_TM1,B211&lt;=_TM2,OR(TH!N211="1111",TH!O211="1111")),TH!D211,""),"")</f>
        <v>C42</v>
      </c>
      <c r="B211" s="63">
        <f t="shared" ref="B211" si="14">IF(C211&lt;&gt;"",MONTH(C211),"")</f>
        <v>3</v>
      </c>
      <c r="C211" s="64">
        <v>42450</v>
      </c>
      <c r="D211" s="64" t="s">
        <v>813</v>
      </c>
      <c r="E211" s="64">
        <f t="shared" ref="E211" si="15">C211</f>
        <v>42450</v>
      </c>
      <c r="F211" s="67" t="s">
        <v>775</v>
      </c>
      <c r="G211" s="375" t="s">
        <v>814</v>
      </c>
      <c r="H211" s="74" t="s">
        <v>331</v>
      </c>
      <c r="I211" s="514"/>
      <c r="J211" s="514"/>
      <c r="K211" s="506"/>
      <c r="L211" s="514"/>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3"/>
        <v>1</v>
      </c>
      <c r="AD211" s="66" t="str">
        <f>IF(AND(MONTH(E211)='IN-NX'!$J$5,'IN-NX'!$D$7=D211,OR(LEFT(TH!N211,2)="15",LEFT(TH!O211,2)="15")),"x","")</f>
        <v/>
      </c>
      <c r="AE211" s="66" t="str">
        <f>IF(AND(OR(LEFT(TH!N211,2)="15",LEFT(TH!O211,2)="15"),'152-CT'!$J$8=TH!F211),"x","")</f>
        <v/>
      </c>
      <c r="AF211" s="66" t="str">
        <f>IF(AND(OR(LEFT(TH!N211,2)="15",LEFT(TH!O211,2)="15"),'THE KHO'!$E$7=TH!F211),"x","")</f>
        <v/>
      </c>
      <c r="AG211" s="66" t="str">
        <f>IF(AND(N211="1521",MONTH(C211)='BK NL'!$M$11),"x","")</f>
        <v/>
      </c>
    </row>
    <row r="212" spans="1:35" s="410" customFormat="1" ht="15.75" customHeight="1">
      <c r="A212" s="397" t="str">
        <f>IF(B212&lt;&gt;"",IF(AND(B212&gt;=_TM1,B212&lt;=_TM2,OR(TH!N212="1111",TH!O212="1111")),TH!D212,""),"")</f>
        <v>C43</v>
      </c>
      <c r="B212" s="63">
        <f t="shared" ref="B212" si="16">IF(C212&lt;&gt;"",MONTH(C212),"")</f>
        <v>3</v>
      </c>
      <c r="C212" s="64">
        <v>42451</v>
      </c>
      <c r="D212" s="64" t="s">
        <v>815</v>
      </c>
      <c r="E212" s="64">
        <f t="shared" ref="E212:E213" si="17">C212</f>
        <v>42451</v>
      </c>
      <c r="F212" s="67" t="s">
        <v>816</v>
      </c>
      <c r="G212" s="375" t="s">
        <v>817</v>
      </c>
      <c r="H212" s="74" t="s">
        <v>818</v>
      </c>
      <c r="I212" s="514"/>
      <c r="J212" s="514"/>
      <c r="K212" s="506"/>
      <c r="L212" s="514"/>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3"/>
        <v>1</v>
      </c>
      <c r="AD212" s="66" t="str">
        <f>IF(AND(MONTH(E212)='IN-NX'!$J$5,'IN-NX'!$D$7=D212,OR(LEFT(TH!N212,2)="15",LEFT(TH!O212,2)="15")),"x","")</f>
        <v/>
      </c>
      <c r="AE212" s="66" t="str">
        <f>IF(AND(OR(LEFT(TH!N212,2)="15",LEFT(TH!O212,2)="15"),'152-CT'!$J$8=TH!F212),"x","")</f>
        <v/>
      </c>
      <c r="AF212" s="66" t="str">
        <f>IF(AND(OR(LEFT(TH!N212,2)="15",LEFT(TH!O212,2)="15"),'THE KHO'!$E$7=TH!F212),"x","")</f>
        <v/>
      </c>
      <c r="AG212" s="66" t="str">
        <f>IF(AND(N212="1521",MONTH(C212)='BK NL'!$M$11),"x","")</f>
        <v/>
      </c>
    </row>
    <row r="213" spans="1:35" s="410" customFormat="1" ht="15.75" customHeight="1">
      <c r="A213" s="397" t="str">
        <f>IF(B213&lt;&gt;"",IF(AND(B213&gt;=_TM1,B213&lt;=_TM2,OR(TH!N213="1111",TH!O213="1111")),TH!D213,""),"")</f>
        <v>C44</v>
      </c>
      <c r="B213" s="63">
        <f t="shared" si="6"/>
        <v>3</v>
      </c>
      <c r="C213" s="64">
        <v>42453</v>
      </c>
      <c r="D213" s="64" t="s">
        <v>819</v>
      </c>
      <c r="E213" s="64">
        <f t="shared" si="17"/>
        <v>42453</v>
      </c>
      <c r="F213" s="67" t="s">
        <v>820</v>
      </c>
      <c r="G213" s="375" t="s">
        <v>821</v>
      </c>
      <c r="H213" s="74" t="s">
        <v>822</v>
      </c>
      <c r="I213" s="514"/>
      <c r="J213" s="514"/>
      <c r="K213" s="506"/>
      <c r="L213" s="514"/>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13"/>
        <v>1</v>
      </c>
      <c r="AD213" s="66" t="str">
        <f>IF(AND(MONTH(E213)='IN-NX'!$J$5,'IN-NX'!$D$7=D213,OR(LEFT(TH!N213,2)="15",LEFT(TH!O213,2)="15")),"x","")</f>
        <v/>
      </c>
      <c r="AE213" s="66" t="str">
        <f>IF(AND(OR(LEFT(TH!N213,2)="15",LEFT(TH!O213,2)="15"),'152-CT'!$J$8=TH!F213),"x","")</f>
        <v/>
      </c>
      <c r="AF213" s="66" t="str">
        <f>IF(AND(OR(LEFT(TH!N213,2)="15",LEFT(TH!O213,2)="15"),'THE KHO'!$E$7=TH!F213),"x","")</f>
        <v/>
      </c>
      <c r="AG213" s="66" t="str">
        <f>IF(AND(N213="1521",MONTH(C213)='BK NL'!$M$11),"x","")</f>
        <v/>
      </c>
      <c r="AI213" s="410">
        <v>1</v>
      </c>
    </row>
    <row r="214" spans="1:35" s="410" customFormat="1" ht="15.75" customHeight="1">
      <c r="A214" s="397" t="str">
        <f>IF(B214&lt;&gt;"",IF(AND(B214&gt;=_TM1,B214&lt;=_TM2,OR(TH!N214="1111",TH!O214="1111")),TH!D214,""),"")</f>
        <v>C44</v>
      </c>
      <c r="B214" s="63">
        <f t="shared" ref="B214" si="18">IF(C214&lt;&gt;"",MONTH(C214),"")</f>
        <v>3</v>
      </c>
      <c r="C214" s="64">
        <v>42453</v>
      </c>
      <c r="D214" s="64" t="s">
        <v>819</v>
      </c>
      <c r="E214" s="64">
        <f t="shared" ref="E214:E215" si="19">C214</f>
        <v>42453</v>
      </c>
      <c r="F214" s="67" t="s">
        <v>823</v>
      </c>
      <c r="G214" s="375" t="s">
        <v>821</v>
      </c>
      <c r="H214" s="74" t="s">
        <v>822</v>
      </c>
      <c r="I214" s="514"/>
      <c r="J214" s="514"/>
      <c r="K214" s="506"/>
      <c r="L214" s="514"/>
      <c r="M214" s="100">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si="13"/>
        <v>1</v>
      </c>
      <c r="AD214" s="66" t="str">
        <f>IF(AND(MONTH(E214)='IN-NX'!$J$5,'IN-NX'!$D$7=D214,OR(LEFT(TH!N214,2)="15",LEFT(TH!O214,2)="15")),"x","")</f>
        <v/>
      </c>
      <c r="AE214" s="66" t="str">
        <f>IF(AND(OR(LEFT(TH!N214,2)="15",LEFT(TH!O214,2)="15"),'152-CT'!$J$8=TH!F214),"x","")</f>
        <v/>
      </c>
      <c r="AF214" s="66" t="str">
        <f>IF(AND(OR(LEFT(TH!N214,2)="15",LEFT(TH!O214,2)="15"),'THE KHO'!$E$7=TH!F214),"x","")</f>
        <v/>
      </c>
      <c r="AG214" s="66" t="str">
        <f>IF(AND(N214="1521",MONTH(C214)='BK NL'!$M$11),"x","")</f>
        <v/>
      </c>
      <c r="AI214" s="410">
        <v>1</v>
      </c>
    </row>
    <row r="215" spans="1:35" s="410" customFormat="1" ht="15.75" hidden="1" customHeight="1">
      <c r="A215" s="397" t="str">
        <f>IF(B215&lt;&gt;"",IF(AND(B215&gt;=_TM1,B215&lt;=_TM2,OR(TH!N215="1111",TH!O215="1111")),TH!D215,""),"")</f>
        <v/>
      </c>
      <c r="B215" s="63">
        <f t="shared" si="6"/>
        <v>3</v>
      </c>
      <c r="C215" s="64">
        <v>42446</v>
      </c>
      <c r="D215" s="64" t="s">
        <v>45</v>
      </c>
      <c r="E215" s="64">
        <f t="shared" si="19"/>
        <v>42446</v>
      </c>
      <c r="F215" s="67" t="s">
        <v>799</v>
      </c>
      <c r="G215" s="375" t="s">
        <v>824</v>
      </c>
      <c r="H215" s="7" t="s">
        <v>50</v>
      </c>
      <c r="I215" s="515"/>
      <c r="J215" s="515"/>
      <c r="K215" s="507"/>
      <c r="L215" s="515"/>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3"/>
        <v>1</v>
      </c>
      <c r="AD215" s="66" t="str">
        <f>IF(AND(MONTH(E215)='IN-NX'!$J$5,'IN-NX'!$D$7=D215,OR(LEFT(TH!N215,2)="15",LEFT(TH!O215,2)="15")),"x","")</f>
        <v/>
      </c>
      <c r="AE215" s="66" t="str">
        <f>IF(AND(OR(LEFT(TH!N215,2)="15",LEFT(TH!O215,2)="15"),'152-CT'!$J$8=TH!F215),"x","")</f>
        <v/>
      </c>
      <c r="AF215" s="66" t="str">
        <f>IF(AND(OR(LEFT(TH!N215,2)="15",LEFT(TH!O215,2)="15"),'THE KHO'!$E$7=TH!F215),"x","")</f>
        <v/>
      </c>
      <c r="AG215" s="66" t="str">
        <f>IF(AND(N215="1521",MONTH(C215)='BK NL'!$M$11),"x","")</f>
        <v/>
      </c>
      <c r="AI215" s="410">
        <v>1</v>
      </c>
    </row>
    <row r="216" spans="1:35" s="410" customFormat="1" ht="15.75" hidden="1" customHeight="1">
      <c r="A216" s="397" t="str">
        <f>IF(B216&lt;&gt;"",IF(AND(B216&gt;=_TM1,B216&lt;=_TM2,OR(TH!N216="1111",TH!O216="1111")),TH!D216,""),"")</f>
        <v/>
      </c>
      <c r="B216" s="63">
        <f t="shared" ref="B216" si="20">IF(C216&lt;&gt;"",MONTH(C216),"")</f>
        <v>3</v>
      </c>
      <c r="C216" s="64">
        <v>42446</v>
      </c>
      <c r="D216" s="64" t="s">
        <v>45</v>
      </c>
      <c r="E216" s="64">
        <f t="shared" ref="E216" si="21">C216</f>
        <v>42446</v>
      </c>
      <c r="F216" s="67" t="s">
        <v>825</v>
      </c>
      <c r="G216" s="375" t="s">
        <v>824</v>
      </c>
      <c r="H216" s="7" t="s">
        <v>50</v>
      </c>
      <c r="I216" s="515"/>
      <c r="J216" s="515"/>
      <c r="K216" s="507"/>
      <c r="L216" s="515"/>
      <c r="M216" s="100">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3"/>
        <v>1</v>
      </c>
      <c r="AD216" s="66" t="str">
        <f>IF(AND(MONTH(E216)='IN-NX'!$J$5,'IN-NX'!$D$7=D216,OR(LEFT(TH!N216,2)="15",LEFT(TH!O216,2)="15")),"x","")</f>
        <v/>
      </c>
      <c r="AE216" s="66" t="str">
        <f>IF(AND(OR(LEFT(TH!N216,2)="15",LEFT(TH!O216,2)="15"),'152-CT'!$J$8=TH!F216),"x","")</f>
        <v/>
      </c>
      <c r="AF216" s="66" t="str">
        <f>IF(AND(OR(LEFT(TH!N216,2)="15",LEFT(TH!O216,2)="15"),'THE KHO'!$E$7=TH!F216),"x","")</f>
        <v/>
      </c>
      <c r="AG216" s="66" t="str">
        <f>IF(AND(N216="1521",MONTH(C216)='BK NL'!$M$11),"x","")</f>
        <v/>
      </c>
      <c r="AI216" s="410">
        <v>1</v>
      </c>
    </row>
    <row r="217" spans="1:35" s="410" customFormat="1" ht="15.75" hidden="1" customHeight="1">
      <c r="A217" s="397" t="str">
        <f>IF(B217&lt;&gt;"",IF(AND(B217&gt;=_TM1,B217&lt;=_TM2,OR(TH!N217="1111",TH!O217="1111")),TH!D217,""),"")</f>
        <v/>
      </c>
      <c r="B217" s="63">
        <f t="shared" ref="B217:B240" si="22">IF(C217&lt;&gt;"",MONTH(C217),"")</f>
        <v>2</v>
      </c>
      <c r="C217" s="64">
        <v>42414</v>
      </c>
      <c r="D217" s="500" t="s">
        <v>45</v>
      </c>
      <c r="E217" s="64">
        <v>42414</v>
      </c>
      <c r="F217" s="67" t="s">
        <v>826</v>
      </c>
      <c r="G217" s="500" t="s">
        <v>830</v>
      </c>
      <c r="H217" s="74" t="s">
        <v>222</v>
      </c>
      <c r="I217" s="514"/>
      <c r="J217" s="514"/>
      <c r="K217" s="506"/>
      <c r="L217" s="514"/>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3"/>
        <v>1</v>
      </c>
      <c r="AD217" s="66" t="str">
        <f>IF(AND(MONTH(E217)='IN-NX'!$J$5,'IN-NX'!$D$7=D217,OR(LEFT(TH!N217,2)="15",LEFT(TH!O217,2)="15")),"x","")</f>
        <v/>
      </c>
      <c r="AE217" s="66" t="str">
        <f>IF(AND(OR(LEFT(TH!N217,2)="15",LEFT(TH!O217,2)="15"),'152-CT'!$J$8=TH!F217),"x","")</f>
        <v/>
      </c>
      <c r="AF217" s="66" t="str">
        <f>IF(AND(OR(LEFT(TH!N217,2)="15",LEFT(TH!O217,2)="15"),'THE KHO'!$E$7=TH!F217),"x","")</f>
        <v/>
      </c>
      <c r="AG217" s="66" t="str">
        <f>IF(AND(N217="1521",MONTH(C217)='BK NL'!$M$11),"x","")</f>
        <v/>
      </c>
      <c r="AI217" s="410">
        <v>1</v>
      </c>
    </row>
    <row r="218" spans="1:35" s="410" customFormat="1" ht="15.75" hidden="1" customHeight="1">
      <c r="A218" s="397" t="str">
        <f>IF(B218&lt;&gt;"",IF(AND(B218&gt;=_TM1,B218&lt;=_TM2,OR(TH!N218="1111",TH!O218="1111")),TH!D218,""),"")</f>
        <v/>
      </c>
      <c r="B218" s="63">
        <f t="shared" si="22"/>
        <v>2</v>
      </c>
      <c r="C218" s="64">
        <v>42414</v>
      </c>
      <c r="D218" s="500" t="s">
        <v>45</v>
      </c>
      <c r="E218" s="64">
        <v>42414</v>
      </c>
      <c r="F218" s="67" t="s">
        <v>827</v>
      </c>
      <c r="G218" s="500" t="s">
        <v>830</v>
      </c>
      <c r="H218" s="74" t="s">
        <v>222</v>
      </c>
      <c r="I218" s="514"/>
      <c r="J218" s="514"/>
      <c r="K218" s="506"/>
      <c r="L218" s="514"/>
      <c r="M218" s="100">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3"/>
        <v>1</v>
      </c>
      <c r="AD218" s="66" t="str">
        <f>IF(AND(MONTH(E218)='IN-NX'!$J$5,'IN-NX'!$D$7=D218,OR(LEFT(TH!N218,2)="15",LEFT(TH!O218,2)="15")),"x","")</f>
        <v/>
      </c>
      <c r="AE218" s="66" t="str">
        <f>IF(AND(OR(LEFT(TH!N218,2)="15",LEFT(TH!O218,2)="15"),'152-CT'!$J$8=TH!F218),"x","")</f>
        <v/>
      </c>
      <c r="AF218" s="66" t="str">
        <f>IF(AND(OR(LEFT(TH!N218,2)="15",LEFT(TH!O218,2)="15"),'THE KHO'!$E$7=TH!F218),"x","")</f>
        <v/>
      </c>
      <c r="AG218" s="66" t="str">
        <f>IF(AND(N218="1521",MONTH(C218)='BK NL'!$M$11),"x","")</f>
        <v/>
      </c>
      <c r="AI218" s="410">
        <v>1</v>
      </c>
    </row>
    <row r="219" spans="1:35" s="410" customFormat="1" ht="15.75" hidden="1" customHeight="1">
      <c r="A219" s="397" t="str">
        <f>IF(B219&lt;&gt;"",IF(AND(B219&gt;=_TM1,B219&lt;=_TM2,OR(TH!N219="1111",TH!O219="1111")),TH!D219,""),"")</f>
        <v/>
      </c>
      <c r="B219" s="63">
        <f t="shared" si="22"/>
        <v>2</v>
      </c>
      <c r="C219" s="64">
        <v>42426</v>
      </c>
      <c r="D219" s="500" t="s">
        <v>45</v>
      </c>
      <c r="E219" s="64">
        <v>42426</v>
      </c>
      <c r="F219" s="67" t="s">
        <v>828</v>
      </c>
      <c r="G219" s="500" t="s">
        <v>831</v>
      </c>
      <c r="H219" s="74" t="s">
        <v>222</v>
      </c>
      <c r="I219" s="514"/>
      <c r="J219" s="514"/>
      <c r="K219" s="506"/>
      <c r="L219" s="514"/>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3"/>
        <v>1</v>
      </c>
      <c r="AD219" s="66" t="str">
        <f>IF(AND(MONTH(E219)='IN-NX'!$J$5,'IN-NX'!$D$7=D219,OR(LEFT(TH!N219,2)="15",LEFT(TH!O219,2)="15")),"x","")</f>
        <v/>
      </c>
      <c r="AE219" s="66" t="str">
        <f>IF(AND(OR(LEFT(TH!N219,2)="15",LEFT(TH!O219,2)="15"),'152-CT'!$J$8=TH!F219),"x","")</f>
        <v/>
      </c>
      <c r="AF219" s="66" t="str">
        <f>IF(AND(OR(LEFT(TH!N219,2)="15",LEFT(TH!O219,2)="15"),'THE KHO'!$E$7=TH!F219),"x","")</f>
        <v/>
      </c>
      <c r="AG219" s="66" t="str">
        <f>IF(AND(N219="1521",MONTH(C219)='BK NL'!$M$11),"x","")</f>
        <v/>
      </c>
      <c r="AI219" s="410">
        <v>1</v>
      </c>
    </row>
    <row r="220" spans="1:35" s="410" customFormat="1" ht="15.75" hidden="1" customHeight="1">
      <c r="A220" s="397" t="str">
        <f>IF(B220&lt;&gt;"",IF(AND(B220&gt;=_TM1,B220&lt;=_TM2,OR(TH!N220="1111",TH!O220="1111")),TH!D220,""),"")</f>
        <v/>
      </c>
      <c r="B220" s="63">
        <f t="shared" si="22"/>
        <v>2</v>
      </c>
      <c r="C220" s="64">
        <v>42426</v>
      </c>
      <c r="D220" s="500" t="s">
        <v>45</v>
      </c>
      <c r="E220" s="64">
        <v>42426</v>
      </c>
      <c r="F220" s="67" t="s">
        <v>829</v>
      </c>
      <c r="G220" s="500" t="s">
        <v>831</v>
      </c>
      <c r="H220" s="74" t="s">
        <v>222</v>
      </c>
      <c r="I220" s="514"/>
      <c r="J220" s="514"/>
      <c r="K220" s="506"/>
      <c r="L220" s="514"/>
      <c r="M220" s="100">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3"/>
        <v>1</v>
      </c>
      <c r="AD220" s="66" t="str">
        <f>IF(AND(MONTH(E220)='IN-NX'!$J$5,'IN-NX'!$D$7=D220,OR(LEFT(TH!N220,2)="15",LEFT(TH!O220,2)="15")),"x","")</f>
        <v/>
      </c>
      <c r="AE220" s="66" t="str">
        <f>IF(AND(OR(LEFT(TH!N220,2)="15",LEFT(TH!O220,2)="15"),'152-CT'!$J$8=TH!F220),"x","")</f>
        <v/>
      </c>
      <c r="AF220" s="66" t="str">
        <f>IF(AND(OR(LEFT(TH!N220,2)="15",LEFT(TH!O220,2)="15"),'THE KHO'!$E$7=TH!F220),"x","")</f>
        <v/>
      </c>
      <c r="AG220" s="66" t="str">
        <f>IF(AND(N220="1521",MONTH(C220)='BK NL'!$M$11),"x","")</f>
        <v/>
      </c>
      <c r="AI220" s="410">
        <v>1</v>
      </c>
    </row>
    <row r="221" spans="1:35" s="410" customFormat="1" ht="15.75" hidden="1" customHeight="1">
      <c r="A221" s="397" t="str">
        <f>IF(B221&lt;&gt;"",IF(AND(B221&gt;=_TM1,B221&lt;=_TM2,OR(TH!N221="1111",TH!O221="1111")),TH!D221,""),"")</f>
        <v/>
      </c>
      <c r="B221" s="63">
        <f t="shared" si="22"/>
        <v>3</v>
      </c>
      <c r="C221" s="64">
        <v>42454</v>
      </c>
      <c r="D221" s="64" t="s">
        <v>8</v>
      </c>
      <c r="E221" s="64">
        <f>C221</f>
        <v>42454</v>
      </c>
      <c r="F221" s="67" t="s">
        <v>832</v>
      </c>
      <c r="G221" s="375" t="s">
        <v>808</v>
      </c>
      <c r="H221" s="74"/>
      <c r="I221" s="514"/>
      <c r="J221" s="514"/>
      <c r="K221" s="506"/>
      <c r="L221" s="514"/>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3"/>
        <v>1</v>
      </c>
      <c r="AD221" s="66" t="str">
        <f>IF(AND(MONTH(E221)='IN-NX'!$J$5,'IN-NX'!$D$7=D221,OR(LEFT(TH!N221,2)="15",LEFT(TH!O221,2)="15")),"x","")</f>
        <v/>
      </c>
      <c r="AE221" s="66" t="str">
        <f>IF(AND(OR(LEFT(TH!N221,2)="15",LEFT(TH!O221,2)="15"),'152-CT'!$J$8=TH!F221),"x","")</f>
        <v/>
      </c>
      <c r="AF221" s="66" t="str">
        <f>IF(AND(OR(LEFT(TH!N221,2)="15",LEFT(TH!O221,2)="15"),'THE KHO'!$E$7=TH!F221),"x","")</f>
        <v/>
      </c>
      <c r="AG221" s="66" t="str">
        <f>IF(AND(N221="1521",MONTH(C221)='BK NL'!$M$11),"x","")</f>
        <v/>
      </c>
      <c r="AI221" s="410">
        <v>1</v>
      </c>
    </row>
    <row r="222" spans="1:35" s="410" customFormat="1" ht="15.75" hidden="1" customHeight="1">
      <c r="A222" s="397" t="str">
        <f>IF(B222&lt;&gt;"",IF(AND(B222&gt;=_TM1,B222&lt;=_TM2,OR(TH!N222="1111",TH!O222="1111")),TH!D222,""),"")</f>
        <v/>
      </c>
      <c r="B222" s="63">
        <f t="shared" si="22"/>
        <v>3</v>
      </c>
      <c r="C222" s="64">
        <v>42454</v>
      </c>
      <c r="D222" s="64" t="s">
        <v>8</v>
      </c>
      <c r="E222" s="64">
        <f t="shared" ref="E222:E231" si="23">C222</f>
        <v>42454</v>
      </c>
      <c r="F222" s="67" t="s">
        <v>834</v>
      </c>
      <c r="G222" s="375" t="s">
        <v>808</v>
      </c>
      <c r="H222" s="404"/>
      <c r="I222" s="515"/>
      <c r="J222" s="515"/>
      <c r="K222" s="507"/>
      <c r="L222" s="515"/>
      <c r="M222" s="100">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3"/>
        <v>1</v>
      </c>
      <c r="AD222" s="66" t="str">
        <f>IF(AND(MONTH(E222)='IN-NX'!$J$5,'IN-NX'!$D$7=D222,OR(LEFT(TH!N222,2)="15",LEFT(TH!O222,2)="15")),"x","")</f>
        <v/>
      </c>
      <c r="AE222" s="66" t="str">
        <f>IF(AND(OR(LEFT(TH!N222,2)="15",LEFT(TH!O222,2)="15"),'152-CT'!$J$8=TH!F222),"x","")</f>
        <v/>
      </c>
      <c r="AF222" s="66" t="str">
        <f>IF(AND(OR(LEFT(TH!N222,2)="15",LEFT(TH!O222,2)="15"),'THE KHO'!$E$7=TH!F222),"x","")</f>
        <v/>
      </c>
      <c r="AG222" s="66" t="str">
        <f>IF(AND(N222="1521",MONTH(C222)='BK NL'!$M$11),"x","")</f>
        <v/>
      </c>
      <c r="AI222" s="410">
        <v>1</v>
      </c>
    </row>
    <row r="223" spans="1:35" s="410" customFormat="1" ht="15.75" hidden="1" customHeight="1">
      <c r="A223" s="397" t="str">
        <f>IF(B223&lt;&gt;"",IF(AND(B223&gt;=_TM1,B223&lt;=_TM2,OR(TH!N223="1111",TH!O223="1111")),TH!D223,""),"")</f>
        <v/>
      </c>
      <c r="B223" s="63">
        <f t="shared" si="22"/>
        <v>3</v>
      </c>
      <c r="C223" s="64">
        <v>42454</v>
      </c>
      <c r="D223" s="64" t="s">
        <v>8</v>
      </c>
      <c r="E223" s="64">
        <f t="shared" si="23"/>
        <v>42454</v>
      </c>
      <c r="F223" s="67" t="s">
        <v>833</v>
      </c>
      <c r="G223" s="375" t="s">
        <v>808</v>
      </c>
      <c r="H223" s="404"/>
      <c r="I223" s="515"/>
      <c r="J223" s="515"/>
      <c r="K223" s="507"/>
      <c r="L223" s="515"/>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3"/>
        <v>1</v>
      </c>
      <c r="AD223" s="66" t="str">
        <f>IF(AND(MONTH(E223)='IN-NX'!$J$5,'IN-NX'!$D$7=D223,OR(LEFT(TH!N223,2)="15",LEFT(TH!O223,2)="15")),"x","")</f>
        <v/>
      </c>
      <c r="AE223" s="66" t="str">
        <f>IF(AND(OR(LEFT(TH!N223,2)="15",LEFT(TH!O223,2)="15"),'152-CT'!$J$8=TH!F223),"x","")</f>
        <v/>
      </c>
      <c r="AF223" s="66" t="str">
        <f>IF(AND(OR(LEFT(TH!N223,2)="15",LEFT(TH!O223,2)="15"),'THE KHO'!$E$7=TH!F223),"x","")</f>
        <v/>
      </c>
      <c r="AG223" s="66" t="str">
        <f>IF(AND(N223="1521",MONTH(C223)='BK NL'!$M$11),"x","")</f>
        <v/>
      </c>
      <c r="AI223" s="410">
        <v>1</v>
      </c>
    </row>
    <row r="224" spans="1:35" s="410" customFormat="1" ht="15.75" hidden="1" customHeight="1">
      <c r="A224" s="397" t="str">
        <f>IF(B224&lt;&gt;"",IF(AND(B224&gt;=_TM1,B224&lt;=_TM2,OR(TH!N224="1111",TH!O224="1111")),TH!D224,""),"")</f>
        <v/>
      </c>
      <c r="B224" s="63">
        <f t="shared" si="22"/>
        <v>3</v>
      </c>
      <c r="C224" s="64">
        <v>42454</v>
      </c>
      <c r="D224" s="64" t="s">
        <v>8</v>
      </c>
      <c r="E224" s="64">
        <f t="shared" si="23"/>
        <v>42454</v>
      </c>
      <c r="F224" s="67" t="s">
        <v>834</v>
      </c>
      <c r="G224" s="375" t="s">
        <v>808</v>
      </c>
      <c r="H224" s="74"/>
      <c r="I224" s="514"/>
      <c r="J224" s="514"/>
      <c r="K224" s="506"/>
      <c r="L224" s="514"/>
      <c r="M224" s="100">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3"/>
        <v>1</v>
      </c>
      <c r="AD224" s="66" t="str">
        <f>IF(AND(MONTH(E224)='IN-NX'!$J$5,'IN-NX'!$D$7=D224,OR(LEFT(TH!N224,2)="15",LEFT(TH!O224,2)="15")),"x","")</f>
        <v/>
      </c>
      <c r="AE224" s="66" t="str">
        <f>IF(AND(OR(LEFT(TH!N224,2)="15",LEFT(TH!O224,2)="15"),'152-CT'!$J$8=TH!F224),"x","")</f>
        <v/>
      </c>
      <c r="AF224" s="66" t="str">
        <f>IF(AND(OR(LEFT(TH!N224,2)="15",LEFT(TH!O224,2)="15"),'THE KHO'!$E$7=TH!F224),"x","")</f>
        <v/>
      </c>
      <c r="AG224" s="66" t="str">
        <f>IF(AND(N224="1521",MONTH(C224)='BK NL'!$M$11),"x","")</f>
        <v/>
      </c>
      <c r="AI224" s="410">
        <v>1</v>
      </c>
    </row>
    <row r="225" spans="1:35" s="410" customFormat="1" ht="15.75" hidden="1" customHeight="1">
      <c r="A225" s="397" t="str">
        <f>IF(B225&lt;&gt;"",IF(AND(B225&gt;=_TM1,B225&lt;=_TM2,OR(TH!N225="1111",TH!O225="1111")),TH!D225,""),"")</f>
        <v/>
      </c>
      <c r="B225" s="63">
        <f t="shared" ref="B225" si="24">IF(C225&lt;&gt;"",MONTH(C225),"")</f>
        <v>3</v>
      </c>
      <c r="C225" s="64">
        <v>42453</v>
      </c>
      <c r="D225" s="64" t="s">
        <v>12</v>
      </c>
      <c r="E225" s="64">
        <f t="shared" ref="E225" si="25">C225</f>
        <v>42453</v>
      </c>
      <c r="F225" s="67" t="s">
        <v>837</v>
      </c>
      <c r="G225" s="375" t="s">
        <v>808</v>
      </c>
      <c r="H225" s="74"/>
      <c r="I225" s="514"/>
      <c r="J225" s="514"/>
      <c r="K225" s="506"/>
      <c r="L225" s="514"/>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3"/>
        <v>1</v>
      </c>
      <c r="AD225" s="66" t="str">
        <f>IF(AND(MONTH(E225)='IN-NX'!$J$5,'IN-NX'!$D$7=D225,OR(LEFT(TH!N225,2)="15",LEFT(TH!O225,2)="15")),"x","")</f>
        <v/>
      </c>
      <c r="AE225" s="66" t="str">
        <f>IF(AND(OR(LEFT(TH!N225,2)="15",LEFT(TH!O225,2)="15"),'152-CT'!$J$8=TH!F225),"x","")</f>
        <v/>
      </c>
      <c r="AF225" s="66" t="str">
        <f>IF(AND(OR(LEFT(TH!N225,2)="15",LEFT(TH!O225,2)="15"),'THE KHO'!$E$7=TH!F225),"x","")</f>
        <v/>
      </c>
      <c r="AG225" s="66" t="str">
        <f>IF(AND(N225="1521",MONTH(C225)='BK NL'!$M$11),"x","")</f>
        <v/>
      </c>
    </row>
    <row r="226" spans="1:35" s="410" customFormat="1" ht="15.75" customHeight="1">
      <c r="A226" s="397" t="str">
        <f>IF(B226&lt;&gt;"",IF(AND(B226&gt;=_TM1,B226&lt;=_TM2,OR(TH!N226="1111",TH!O226="1111")),TH!D226,""),"")</f>
        <v>C45</v>
      </c>
      <c r="B226" s="63">
        <f t="shared" si="22"/>
        <v>3</v>
      </c>
      <c r="C226" s="64">
        <v>42458</v>
      </c>
      <c r="D226" s="64" t="s">
        <v>846</v>
      </c>
      <c r="E226" s="64">
        <f t="shared" si="23"/>
        <v>42458</v>
      </c>
      <c r="F226" s="67" t="s">
        <v>419</v>
      </c>
      <c r="G226" s="375" t="s">
        <v>808</v>
      </c>
      <c r="H226" s="74" t="s">
        <v>835</v>
      </c>
      <c r="I226" s="514"/>
      <c r="J226" s="514"/>
      <c r="K226" s="506"/>
      <c r="L226" s="514"/>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3"/>
        <v>1</v>
      </c>
      <c r="AD226" s="66" t="str">
        <f>IF(AND(MONTH(E226)='IN-NX'!$J$5,'IN-NX'!$D$7=D226,OR(LEFT(TH!N226,2)="15",LEFT(TH!O226,2)="15")),"x","")</f>
        <v/>
      </c>
      <c r="AE226" s="66" t="str">
        <f>IF(AND(OR(LEFT(TH!N226,2)="15",LEFT(TH!O226,2)="15"),'152-CT'!$J$8=TH!F226),"x","")</f>
        <v/>
      </c>
      <c r="AF226" s="66" t="str">
        <f>IF(AND(OR(LEFT(TH!N226,2)="15",LEFT(TH!O226,2)="15"),'THE KHO'!$E$7=TH!F226),"x","")</f>
        <v/>
      </c>
      <c r="AG226" s="66" t="str">
        <f>IF(AND(N226="1521",MONTH(C226)='BK NL'!$M$11),"x","")</f>
        <v/>
      </c>
    </row>
    <row r="227" spans="1:35" s="410" customFormat="1" ht="15.75" hidden="1" customHeight="1">
      <c r="A227" s="397" t="str">
        <f>IF(B227&lt;&gt;"",IF(AND(B227&gt;=_TM1,B227&lt;=_TM2,OR(TH!N227="1111",TH!O227="1111")),TH!D227,""),"")</f>
        <v/>
      </c>
      <c r="B227" s="63">
        <f t="shared" si="22"/>
        <v>3</v>
      </c>
      <c r="C227" s="64">
        <v>42458</v>
      </c>
      <c r="D227" s="64" t="s">
        <v>8</v>
      </c>
      <c r="E227" s="64">
        <f t="shared" si="23"/>
        <v>42458</v>
      </c>
      <c r="F227" s="67" t="s">
        <v>164</v>
      </c>
      <c r="G227" s="375" t="s">
        <v>808</v>
      </c>
      <c r="H227" s="7" t="s">
        <v>166</v>
      </c>
      <c r="I227" s="514"/>
      <c r="J227" s="514"/>
      <c r="K227" s="506"/>
      <c r="L227" s="514"/>
      <c r="M227" s="65">
        <v>50000000</v>
      </c>
      <c r="N227" s="66" t="s">
        <v>9</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3"/>
        <v>1</v>
      </c>
      <c r="AD227" s="66" t="str">
        <f>IF(AND(MONTH(E227)='IN-NX'!$J$5,'IN-NX'!$D$7=D227,OR(LEFT(TH!N227,2)="15",LEFT(TH!O227,2)="15")),"x","")</f>
        <v/>
      </c>
      <c r="AE227" s="66" t="str">
        <f>IF(AND(OR(LEFT(TH!N227,2)="15",LEFT(TH!O227,2)="15"),'152-CT'!$J$8=TH!F227),"x","")</f>
        <v/>
      </c>
      <c r="AF227" s="66" t="str">
        <f>IF(AND(OR(LEFT(TH!N227,2)="15",LEFT(TH!O227,2)="15"),'THE KHO'!$E$7=TH!F227),"x","")</f>
        <v/>
      </c>
      <c r="AG227" s="66" t="str">
        <f>IF(AND(N227="1521",MONTH(C227)='BK NL'!$M$11),"x","")</f>
        <v/>
      </c>
    </row>
    <row r="228" spans="1:35" s="410" customFormat="1" ht="15.75" hidden="1" customHeight="1">
      <c r="A228" s="397" t="str">
        <f>IF(B228&lt;&gt;"",IF(AND(B228&gt;=_TM1,B228&lt;=_TM2,OR(TH!N228="1111",TH!O228="1111")),TH!D228,""),"")</f>
        <v/>
      </c>
      <c r="B228" s="63">
        <f t="shared" ref="B228" si="26">IF(C228&lt;&gt;"",MONTH(C228),"")</f>
        <v>3</v>
      </c>
      <c r="C228" s="64">
        <v>42458</v>
      </c>
      <c r="D228" s="64" t="s">
        <v>8</v>
      </c>
      <c r="E228" s="64">
        <f t="shared" ref="E228" si="27">C228</f>
        <v>42458</v>
      </c>
      <c r="F228" s="67" t="s">
        <v>22</v>
      </c>
      <c r="G228" s="375" t="s">
        <v>808</v>
      </c>
      <c r="H228" s="74"/>
      <c r="I228" s="514"/>
      <c r="J228" s="514"/>
      <c r="K228" s="506"/>
      <c r="L228" s="514"/>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3"/>
        <v>1</v>
      </c>
      <c r="AD228" s="66" t="str">
        <f>IF(AND(MONTH(E228)='IN-NX'!$J$5,'IN-NX'!$D$7=D228,OR(LEFT(TH!N228,2)="15",LEFT(TH!O228,2)="15")),"x","")</f>
        <v/>
      </c>
      <c r="AE228" s="66" t="str">
        <f>IF(AND(OR(LEFT(TH!N228,2)="15",LEFT(TH!O228,2)="15"),'152-CT'!$J$8=TH!F228),"x","")</f>
        <v/>
      </c>
      <c r="AF228" s="66" t="str">
        <f>IF(AND(OR(LEFT(TH!N228,2)="15",LEFT(TH!O228,2)="15"),'THE KHO'!$E$7=TH!F228),"x","")</f>
        <v/>
      </c>
      <c r="AG228" s="66" t="str">
        <f>IF(AND(N228="1521",MONTH(C228)='BK NL'!$M$11),"x","")</f>
        <v/>
      </c>
      <c r="AI228" s="410">
        <v>1</v>
      </c>
    </row>
    <row r="229" spans="1:35" s="410" customFormat="1" ht="15.75" hidden="1" customHeight="1">
      <c r="A229" s="397" t="str">
        <f>IF(B229&lt;&gt;"",IF(AND(B229&gt;=_TM1,B229&lt;=_TM2,OR(TH!N229="1111",TH!O229="1111")),TH!D229,""),"")</f>
        <v/>
      </c>
      <c r="B229" s="63">
        <f t="shared" si="22"/>
        <v>3</v>
      </c>
      <c r="C229" s="64">
        <v>42458</v>
      </c>
      <c r="D229" s="64" t="s">
        <v>8</v>
      </c>
      <c r="E229" s="64">
        <f t="shared" si="23"/>
        <v>42458</v>
      </c>
      <c r="F229" s="67" t="s">
        <v>23</v>
      </c>
      <c r="G229" s="375" t="s">
        <v>808</v>
      </c>
      <c r="H229" s="74"/>
      <c r="I229" s="514"/>
      <c r="J229" s="514"/>
      <c r="K229" s="506"/>
      <c r="L229" s="514"/>
      <c r="M229" s="100">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3"/>
        <v>1</v>
      </c>
      <c r="AD229" s="66" t="str">
        <f>IF(AND(MONTH(E229)='IN-NX'!$J$5,'IN-NX'!$D$7=D229,OR(LEFT(TH!N229,2)="15",LEFT(TH!O229,2)="15")),"x","")</f>
        <v/>
      </c>
      <c r="AE229" s="66" t="str">
        <f>IF(AND(OR(LEFT(TH!N229,2)="15",LEFT(TH!O229,2)="15"),'152-CT'!$J$8=TH!F229),"x","")</f>
        <v/>
      </c>
      <c r="AF229" s="66" t="str">
        <f>IF(AND(OR(LEFT(TH!N229,2)="15",LEFT(TH!O229,2)="15"),'THE KHO'!$E$7=TH!F229),"x","")</f>
        <v/>
      </c>
      <c r="AG229" s="66" t="str">
        <f>IF(AND(N229="1521",MONTH(C229)='BK NL'!$M$11),"x","")</f>
        <v/>
      </c>
      <c r="AI229" s="410">
        <v>1</v>
      </c>
    </row>
    <row r="230" spans="1:35" s="410" customFormat="1" ht="15.75" customHeight="1">
      <c r="A230" s="397" t="str">
        <f>IF(B230&lt;&gt;"",IF(AND(B230&gt;=_TM1,B230&lt;=_TM2,OR(TH!N230="1111",TH!O230="1111")),TH!D230,""),"")</f>
        <v>C46</v>
      </c>
      <c r="B230" s="63">
        <f t="shared" si="22"/>
        <v>3</v>
      </c>
      <c r="C230" s="64">
        <v>42459</v>
      </c>
      <c r="D230" s="64" t="s">
        <v>852</v>
      </c>
      <c r="E230" s="64">
        <f t="shared" si="23"/>
        <v>42459</v>
      </c>
      <c r="F230" s="67" t="s">
        <v>419</v>
      </c>
      <c r="G230" s="375" t="s">
        <v>808</v>
      </c>
      <c r="H230" s="74" t="s">
        <v>161</v>
      </c>
      <c r="I230" s="514"/>
      <c r="J230" s="514"/>
      <c r="K230" s="506"/>
      <c r="L230" s="514"/>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3"/>
        <v>1</v>
      </c>
      <c r="AD230" s="66" t="str">
        <f>IF(AND(MONTH(E230)='IN-NX'!$J$5,'IN-NX'!$D$7=D230,OR(LEFT(TH!N230,2)="15",LEFT(TH!O230,2)="15")),"x","")</f>
        <v/>
      </c>
      <c r="AE230" s="66" t="str">
        <f>IF(AND(OR(LEFT(TH!N230,2)="15",LEFT(TH!O230,2)="15"),'152-CT'!$J$8=TH!F230),"x","")</f>
        <v/>
      </c>
      <c r="AF230" s="66" t="str">
        <f>IF(AND(OR(LEFT(TH!N230,2)="15",LEFT(TH!O230,2)="15"),'THE KHO'!$E$7=TH!F230),"x","")</f>
        <v/>
      </c>
      <c r="AG230" s="66" t="str">
        <f>IF(AND(N230="1521",MONTH(C230)='BK NL'!$M$11),"x","")</f>
        <v/>
      </c>
    </row>
    <row r="231" spans="1:35" s="410" customFormat="1" ht="15.75" hidden="1" customHeight="1">
      <c r="A231" s="397" t="str">
        <f>IF(B231&lt;&gt;"",IF(AND(B231&gt;=_TM1,B231&lt;=_TM2,OR(TH!N231="1111",TH!O231="1111")),TH!D231,""),"")</f>
        <v/>
      </c>
      <c r="B231" s="63">
        <f t="shared" si="22"/>
        <v>3</v>
      </c>
      <c r="C231" s="64">
        <v>42459</v>
      </c>
      <c r="D231" s="64" t="s">
        <v>8</v>
      </c>
      <c r="E231" s="64">
        <f t="shared" si="23"/>
        <v>42459</v>
      </c>
      <c r="F231" s="67" t="s">
        <v>836</v>
      </c>
      <c r="G231" s="375" t="s">
        <v>808</v>
      </c>
      <c r="H231" s="74" t="s">
        <v>222</v>
      </c>
      <c r="I231" s="514"/>
      <c r="J231" s="514"/>
      <c r="K231" s="506"/>
      <c r="L231" s="514"/>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3"/>
        <v>1</v>
      </c>
      <c r="AD231" s="66" t="str">
        <f>IF(AND(MONTH(E231)='IN-NX'!$J$5,'IN-NX'!$D$7=D231,OR(LEFT(TH!N231,2)="15",LEFT(TH!O231,2)="15")),"x","")</f>
        <v/>
      </c>
      <c r="AE231" s="66" t="str">
        <f>IF(AND(OR(LEFT(TH!N231,2)="15",LEFT(TH!O231,2)="15"),'152-CT'!$J$8=TH!F231),"x","")</f>
        <v/>
      </c>
      <c r="AF231" s="66" t="str">
        <f>IF(AND(OR(LEFT(TH!N231,2)="15",LEFT(TH!O231,2)="15"),'THE KHO'!$E$7=TH!F231),"x","")</f>
        <v/>
      </c>
      <c r="AG231" s="66" t="str">
        <f>IF(AND(N231="1521",MONTH(C231)='BK NL'!$M$11),"x","")</f>
        <v/>
      </c>
    </row>
    <row r="232" spans="1:35" s="410" customFormat="1" ht="15.75" hidden="1" customHeight="1">
      <c r="A232" s="397" t="str">
        <f>IF(B232&lt;&gt;"",IF(AND(B232&gt;=_TM1,B232&lt;=_TM2,OR(TH!N232="1111",TH!O232="1111")),TH!D232,""),"")</f>
        <v/>
      </c>
      <c r="B232" s="63">
        <f t="shared" si="22"/>
        <v>3</v>
      </c>
      <c r="C232" s="64">
        <v>42459</v>
      </c>
      <c r="D232" s="64" t="s">
        <v>8</v>
      </c>
      <c r="E232" s="64">
        <f t="shared" ref="E232" si="28">C232</f>
        <v>42459</v>
      </c>
      <c r="F232" s="67" t="s">
        <v>22</v>
      </c>
      <c r="G232" s="375" t="s">
        <v>808</v>
      </c>
      <c r="H232" s="404"/>
      <c r="I232" s="515"/>
      <c r="J232" s="515"/>
      <c r="K232" s="507"/>
      <c r="L232" s="515"/>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3"/>
        <v>1</v>
      </c>
      <c r="AD232" s="66" t="str">
        <f>IF(AND(MONTH(E232)='IN-NX'!$J$5,'IN-NX'!$D$7=D232,OR(LEFT(TH!N232,2)="15",LEFT(TH!O232,2)="15")),"x","")</f>
        <v/>
      </c>
      <c r="AE232" s="66" t="str">
        <f>IF(AND(OR(LEFT(TH!N232,2)="15",LEFT(TH!O232,2)="15"),'152-CT'!$J$8=TH!F232),"x","")</f>
        <v/>
      </c>
      <c r="AF232" s="66" t="str">
        <f>IF(AND(OR(LEFT(TH!N232,2)="15",LEFT(TH!O232,2)="15"),'THE KHO'!$E$7=TH!F232),"x","")</f>
        <v/>
      </c>
      <c r="AG232" s="66" t="str">
        <f>IF(AND(N232="1521",MONTH(C232)='BK NL'!$M$11),"x","")</f>
        <v/>
      </c>
      <c r="AI232" s="410">
        <v>1</v>
      </c>
    </row>
    <row r="233" spans="1:35" s="410" customFormat="1" ht="15.75" hidden="1" customHeight="1">
      <c r="A233" s="397" t="str">
        <f>IF(B233&lt;&gt;"",IF(AND(B233&gt;=_TM1,B233&lt;=_TM2,OR(TH!N233="1111",TH!O233="1111")),TH!D233,""),"")</f>
        <v/>
      </c>
      <c r="B233" s="63">
        <f t="shared" si="22"/>
        <v>3</v>
      </c>
      <c r="C233" s="64">
        <v>42459</v>
      </c>
      <c r="D233" s="64" t="s">
        <v>8</v>
      </c>
      <c r="E233" s="64">
        <f t="shared" ref="E233" si="29">C233</f>
        <v>42459</v>
      </c>
      <c r="F233" s="67" t="s">
        <v>23</v>
      </c>
      <c r="G233" s="375" t="s">
        <v>808</v>
      </c>
      <c r="H233" s="74"/>
      <c r="I233" s="514"/>
      <c r="J233" s="514"/>
      <c r="K233" s="506"/>
      <c r="L233" s="514"/>
      <c r="M233" s="100">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3"/>
        <v>1</v>
      </c>
      <c r="AD233" s="66" t="str">
        <f>IF(AND(MONTH(E233)='IN-NX'!$J$5,'IN-NX'!$D$7=D233,OR(LEFT(TH!N233,2)="15",LEFT(TH!O233,2)="15")),"x","")</f>
        <v/>
      </c>
      <c r="AE233" s="66" t="str">
        <f>IF(AND(OR(LEFT(TH!N233,2)="15",LEFT(TH!O233,2)="15"),'152-CT'!$J$8=TH!F233),"x","")</f>
        <v/>
      </c>
      <c r="AF233" s="66" t="str">
        <f>IF(AND(OR(LEFT(TH!N233,2)="15",LEFT(TH!O233,2)="15"),'THE KHO'!$E$7=TH!F233),"x","")</f>
        <v/>
      </c>
      <c r="AG233" s="66" t="str">
        <f>IF(AND(N233="1521",MONTH(C233)='BK NL'!$M$11),"x","")</f>
        <v/>
      </c>
      <c r="AI233" s="410">
        <v>1</v>
      </c>
    </row>
    <row r="234" spans="1:35" s="410" customFormat="1" ht="15.75" hidden="1" customHeight="1">
      <c r="A234" s="397" t="str">
        <f>IF(B234&lt;&gt;"",IF(AND(B234&gt;=_TM1,B234&lt;=_TM2,OR(TH!N234="1111",TH!O234="1111")),TH!D234,""),"")</f>
        <v/>
      </c>
      <c r="B234" s="63">
        <f t="shared" si="22"/>
        <v>3</v>
      </c>
      <c r="C234" s="64">
        <v>42440</v>
      </c>
      <c r="D234" s="500" t="s">
        <v>45</v>
      </c>
      <c r="E234" s="64">
        <f>C234</f>
        <v>42440</v>
      </c>
      <c r="F234" s="67" t="s">
        <v>838</v>
      </c>
      <c r="G234" s="500" t="s">
        <v>842</v>
      </c>
      <c r="H234" s="74" t="s">
        <v>222</v>
      </c>
      <c r="I234" s="514"/>
      <c r="J234" s="514"/>
      <c r="K234" s="506"/>
      <c r="L234" s="514"/>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3"/>
        <v>1</v>
      </c>
      <c r="AD234" s="66" t="str">
        <f>IF(AND(MONTH(E234)='IN-NX'!$J$5,'IN-NX'!$D$7=D234,OR(LEFT(TH!N234,2)="15",LEFT(TH!O234,2)="15")),"x","")</f>
        <v/>
      </c>
      <c r="AE234" s="66" t="str">
        <f>IF(AND(OR(LEFT(TH!N234,2)="15",LEFT(TH!O234,2)="15"),'152-CT'!$J$8=TH!F234),"x","")</f>
        <v/>
      </c>
      <c r="AF234" s="66" t="str">
        <f>IF(AND(OR(LEFT(TH!N234,2)="15",LEFT(TH!O234,2)="15"),'THE KHO'!$E$7=TH!F234),"x","")</f>
        <v/>
      </c>
      <c r="AG234" s="66" t="str">
        <f>IF(AND(N234="1521",MONTH(C234)='BK NL'!$M$11),"x","")</f>
        <v/>
      </c>
      <c r="AI234" s="410">
        <v>1</v>
      </c>
    </row>
    <row r="235" spans="1:35" s="410" customFormat="1" ht="15.75" hidden="1" customHeight="1">
      <c r="A235" s="397" t="str">
        <f>IF(B235&lt;&gt;"",IF(AND(B235&gt;=_TM1,B235&lt;=_TM2,OR(TH!N235="1111",TH!O235="1111")),TH!D235,""),"")</f>
        <v/>
      </c>
      <c r="B235" s="63">
        <f t="shared" si="22"/>
        <v>3</v>
      </c>
      <c r="C235" s="64">
        <v>42440</v>
      </c>
      <c r="D235" s="500" t="s">
        <v>45</v>
      </c>
      <c r="E235" s="64">
        <f t="shared" ref="E235:E237" si="30">C235</f>
        <v>42440</v>
      </c>
      <c r="F235" s="67" t="s">
        <v>841</v>
      </c>
      <c r="G235" s="500" t="s">
        <v>842</v>
      </c>
      <c r="H235" s="74" t="s">
        <v>222</v>
      </c>
      <c r="I235" s="514"/>
      <c r="J235" s="514"/>
      <c r="K235" s="506"/>
      <c r="L235" s="514"/>
      <c r="M235" s="100">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3"/>
        <v>1</v>
      </c>
      <c r="AD235" s="66" t="str">
        <f>IF(AND(MONTH(E235)='IN-NX'!$J$5,'IN-NX'!$D$7=D235,OR(LEFT(TH!N235,2)="15",LEFT(TH!O235,2)="15")),"x","")</f>
        <v/>
      </c>
      <c r="AE235" s="66" t="str">
        <f>IF(AND(OR(LEFT(TH!N235,2)="15",LEFT(TH!O235,2)="15"),'152-CT'!$J$8=TH!F235),"x","")</f>
        <v/>
      </c>
      <c r="AF235" s="66" t="str">
        <f>IF(AND(OR(LEFT(TH!N235,2)="15",LEFT(TH!O235,2)="15"),'THE KHO'!$E$7=TH!F235),"x","")</f>
        <v/>
      </c>
      <c r="AG235" s="66" t="str">
        <f>IF(AND(N235="1521",MONTH(C235)='BK NL'!$M$11),"x","")</f>
        <v/>
      </c>
      <c r="AI235" s="410">
        <v>1</v>
      </c>
    </row>
    <row r="236" spans="1:35" s="410" customFormat="1" ht="15.75" hidden="1" customHeight="1">
      <c r="A236" s="397" t="str">
        <f>IF(B236&lt;&gt;"",IF(AND(B236&gt;=_TM1,B236&lt;=_TM2,OR(TH!N236="1111",TH!O236="1111")),TH!D236,""),"")</f>
        <v/>
      </c>
      <c r="B236" s="63">
        <f t="shared" si="22"/>
        <v>3</v>
      </c>
      <c r="C236" s="64">
        <v>42454</v>
      </c>
      <c r="D236" s="500" t="s">
        <v>45</v>
      </c>
      <c r="E236" s="64">
        <f t="shared" si="30"/>
        <v>42454</v>
      </c>
      <c r="F236" s="67" t="s">
        <v>839</v>
      </c>
      <c r="G236" s="500"/>
      <c r="H236" s="74" t="s">
        <v>222</v>
      </c>
      <c r="I236" s="514"/>
      <c r="J236" s="514"/>
      <c r="K236" s="506"/>
      <c r="L236" s="514"/>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3"/>
        <v>1</v>
      </c>
      <c r="AD236" s="66" t="str">
        <f>IF(AND(MONTH(E236)='IN-NX'!$J$5,'IN-NX'!$D$7=D236,OR(LEFT(TH!N236,2)="15",LEFT(TH!O236,2)="15")),"x","")</f>
        <v/>
      </c>
      <c r="AE236" s="66" t="str">
        <f>IF(AND(OR(LEFT(TH!N236,2)="15",LEFT(TH!O236,2)="15"),'152-CT'!$J$8=TH!F236),"x","")</f>
        <v/>
      </c>
      <c r="AF236" s="66" t="str">
        <f>IF(AND(OR(LEFT(TH!N236,2)="15",LEFT(TH!O236,2)="15"),'THE KHO'!$E$7=TH!F236),"x","")</f>
        <v/>
      </c>
      <c r="AG236" s="66" t="str">
        <f>IF(AND(N236="1521",MONTH(C236)='BK NL'!$M$11),"x","")</f>
        <v/>
      </c>
      <c r="AI236" s="410">
        <v>1</v>
      </c>
    </row>
    <row r="237" spans="1:35" s="410" customFormat="1" ht="15.75" hidden="1" customHeight="1">
      <c r="A237" s="397" t="str">
        <f>IF(B237&lt;&gt;"",IF(AND(B237&gt;=_TM1,B237&lt;=_TM2,OR(TH!N237="1111",TH!O237="1111")),TH!D237,""),"")</f>
        <v/>
      </c>
      <c r="B237" s="63">
        <f t="shared" si="22"/>
        <v>3</v>
      </c>
      <c r="C237" s="64">
        <v>42454</v>
      </c>
      <c r="D237" s="500" t="s">
        <v>45</v>
      </c>
      <c r="E237" s="64">
        <f t="shared" si="30"/>
        <v>42454</v>
      </c>
      <c r="F237" s="67" t="s">
        <v>840</v>
      </c>
      <c r="G237" s="500"/>
      <c r="H237" s="74" t="s">
        <v>222</v>
      </c>
      <c r="I237" s="514"/>
      <c r="J237" s="514"/>
      <c r="K237" s="506"/>
      <c r="L237" s="514"/>
      <c r="M237" s="100">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3"/>
        <v>1</v>
      </c>
      <c r="AD237" s="66" t="str">
        <f>IF(AND(MONTH(E237)='IN-NX'!$J$5,'IN-NX'!$D$7=D237,OR(LEFT(TH!N237,2)="15",LEFT(TH!O237,2)="15")),"x","")</f>
        <v/>
      </c>
      <c r="AE237" s="66" t="str">
        <f>IF(AND(OR(LEFT(TH!N237,2)="15",LEFT(TH!O237,2)="15"),'152-CT'!$J$8=TH!F237),"x","")</f>
        <v/>
      </c>
      <c r="AF237" s="66" t="str">
        <f>IF(AND(OR(LEFT(TH!N237,2)="15",LEFT(TH!O237,2)="15"),'THE KHO'!$E$7=TH!F237),"x","")</f>
        <v/>
      </c>
      <c r="AG237" s="66" t="str">
        <f>IF(AND(N237="1521",MONTH(C237)='BK NL'!$M$11),"x","")</f>
        <v/>
      </c>
      <c r="AI237" s="410">
        <v>1</v>
      </c>
    </row>
    <row r="238" spans="1:35" s="410" customFormat="1" ht="15.75" hidden="1" customHeight="1">
      <c r="A238" s="397" t="str">
        <f>IF(B238&lt;&gt;"",IF(AND(B238&gt;=_TM1,B238&lt;=_TM2,OR(TH!N238="1111",TH!O238="1111")),TH!D238,""),"")</f>
        <v/>
      </c>
      <c r="B238" s="63">
        <f t="shared" si="22"/>
        <v>3</v>
      </c>
      <c r="C238" s="64">
        <v>42443</v>
      </c>
      <c r="D238" s="500" t="s">
        <v>45</v>
      </c>
      <c r="E238" s="64">
        <f t="shared" ref="E238:E240" si="31">C238</f>
        <v>42443</v>
      </c>
      <c r="F238" s="67" t="s">
        <v>844</v>
      </c>
      <c r="G238" s="500" t="s">
        <v>843</v>
      </c>
      <c r="H238" s="7" t="s">
        <v>166</v>
      </c>
      <c r="I238" s="514"/>
      <c r="J238" s="514"/>
      <c r="K238" s="506"/>
      <c r="L238" s="514"/>
      <c r="M238" s="65">
        <v>2050000000</v>
      </c>
      <c r="N238" s="66" t="s">
        <v>243</v>
      </c>
      <c r="O238" s="66" t="s">
        <v>9</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3"/>
        <v>1</v>
      </c>
      <c r="AD238" s="66" t="str">
        <f>IF(AND(MONTH(E238)='IN-NX'!$J$5,'IN-NX'!$D$7=D238,OR(LEFT(TH!N238,2)="15",LEFT(TH!O238,2)="15")),"x","")</f>
        <v/>
      </c>
      <c r="AE238" s="66" t="str">
        <f>IF(AND(OR(LEFT(TH!N238,2)="15",LEFT(TH!O238,2)="15"),'152-CT'!$J$8=TH!F238),"x","")</f>
        <v/>
      </c>
      <c r="AF238" s="66" t="str">
        <f>IF(AND(OR(LEFT(TH!N238,2)="15",LEFT(TH!O238,2)="15"),'THE KHO'!$E$7=TH!F238),"x","")</f>
        <v/>
      </c>
      <c r="AG238" s="66" t="str">
        <f>IF(AND(N238="1521",MONTH(C238)='BK NL'!$M$11),"x","")</f>
        <v/>
      </c>
      <c r="AI238" s="410">
        <v>2</v>
      </c>
    </row>
    <row r="239" spans="1:35" s="410" customFormat="1" ht="15.75" hidden="1" customHeight="1">
      <c r="A239" s="397" t="str">
        <f>IF(B239&lt;&gt;"",IF(AND(B239&gt;=_TM1,B239&lt;=_TM2,OR(TH!N239="1111",TH!O239="1111")),TH!D239,""),"")</f>
        <v/>
      </c>
      <c r="B239" s="63">
        <f t="shared" si="22"/>
        <v>3</v>
      </c>
      <c r="C239" s="64">
        <v>42443</v>
      </c>
      <c r="D239" s="500" t="s">
        <v>45</v>
      </c>
      <c r="E239" s="64">
        <f t="shared" si="31"/>
        <v>42443</v>
      </c>
      <c r="F239" s="67" t="s">
        <v>845</v>
      </c>
      <c r="G239" s="500" t="s">
        <v>843</v>
      </c>
      <c r="H239" s="7" t="s">
        <v>166</v>
      </c>
      <c r="I239" s="514"/>
      <c r="J239" s="514"/>
      <c r="K239" s="506"/>
      <c r="L239" s="514"/>
      <c r="M239" s="85">
        <v>205000000</v>
      </c>
      <c r="N239" s="66" t="s">
        <v>993</v>
      </c>
      <c r="O239" s="66" t="s">
        <v>9</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
      </c>
      <c r="Y239" s="66" t="str">
        <f>IF(AND($N239=$X$7,$B239&lt;'1331'!$I$9),"x","")</f>
        <v/>
      </c>
      <c r="Z239" s="66" t="str">
        <f>IF(AND($O239=$X$7,$B239&lt;'1331'!$I$9),"x","")</f>
        <v/>
      </c>
      <c r="AA239" s="66" t="str">
        <f>IF(AND('341-CT'!$H$9=H239,OR(LEFT(N239,3)=$AA$7,LEFT(O239,3)=$AA$7)),"x","")</f>
        <v/>
      </c>
      <c r="AB239" s="66" t="str">
        <f>IF(OR(TH!N239=TH!$AB$7,O239=TH!$AB$7),"x","")</f>
        <v/>
      </c>
      <c r="AC239" s="66" t="str">
        <f t="shared" si="13"/>
        <v>1</v>
      </c>
      <c r="AD239" s="66" t="str">
        <f>IF(AND(MONTH(E239)='IN-NX'!$J$5,'IN-NX'!$D$7=D239,OR(LEFT(TH!N239,2)="15",LEFT(TH!O239,2)="15")),"x","")</f>
        <v/>
      </c>
      <c r="AE239" s="66" t="str">
        <f>IF(AND(OR(LEFT(TH!N239,2)="15",LEFT(TH!O239,2)="15"),'152-CT'!$J$8=TH!F239),"x","")</f>
        <v/>
      </c>
      <c r="AF239" s="66" t="str">
        <f>IF(AND(OR(LEFT(TH!N239,2)="15",LEFT(TH!O239,2)="15"),'THE KHO'!$E$7=TH!F239),"x","")</f>
        <v/>
      </c>
      <c r="AG239" s="66" t="str">
        <f>IF(AND(N239="1521",MONTH(C239)='BK NL'!$M$11),"x","")</f>
        <v/>
      </c>
      <c r="AI239" s="410">
        <v>2</v>
      </c>
    </row>
    <row r="240" spans="1:35" s="410" customFormat="1" ht="15.75" customHeight="1">
      <c r="A240" s="397" t="str">
        <f>IF(B240&lt;&gt;"",IF(AND(B240&gt;=_TM1,B240&lt;=_TM2,OR(TH!N240="1111",TH!O240="1111")),TH!D240,""),"")</f>
        <v>C47</v>
      </c>
      <c r="B240" s="63">
        <f t="shared" si="22"/>
        <v>3</v>
      </c>
      <c r="C240" s="64">
        <v>42460</v>
      </c>
      <c r="D240" s="64" t="s">
        <v>853</v>
      </c>
      <c r="E240" s="64">
        <f t="shared" si="31"/>
        <v>42460</v>
      </c>
      <c r="F240" s="67" t="s">
        <v>847</v>
      </c>
      <c r="G240" s="375" t="s">
        <v>848</v>
      </c>
      <c r="H240" s="404" t="s">
        <v>327</v>
      </c>
      <c r="I240" s="515"/>
      <c r="J240" s="515"/>
      <c r="K240" s="507"/>
      <c r="L240" s="515"/>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3"/>
        <v>1</v>
      </c>
      <c r="AD240" s="66" t="str">
        <f>IF(AND(MONTH(E240)='IN-NX'!$J$5,'IN-NX'!$D$7=D240,OR(LEFT(TH!N240,2)="15",LEFT(TH!O240,2)="15")),"x","")</f>
        <v/>
      </c>
      <c r="AE240" s="66" t="str">
        <f>IF(AND(OR(LEFT(TH!N240,2)="15",LEFT(TH!O240,2)="15"),'152-CT'!$J$8=TH!F240),"x","")</f>
        <v/>
      </c>
      <c r="AF240" s="66" t="str">
        <f>IF(AND(OR(LEFT(TH!N240,2)="15",LEFT(TH!O240,2)="15"),'THE KHO'!$E$7=TH!F240),"x","")</f>
        <v/>
      </c>
      <c r="AG240" s="66" t="str">
        <f>IF(AND(N240="1521",MONTH(C240)='BK NL'!$M$11),"x","")</f>
        <v/>
      </c>
    </row>
    <row r="241" spans="1:35" s="410" customFormat="1" ht="15.75" customHeight="1">
      <c r="A241" s="397" t="str">
        <f>IF(B241&lt;&gt;"",IF(AND(B241&gt;=_TM1,B241&lt;=_TM2,OR(TH!N241="1111",TH!O241="1111")),TH!D241,""),"")</f>
        <v>C48</v>
      </c>
      <c r="B241" s="63">
        <f t="shared" ref="B241" si="32">IF(C241&lt;&gt;"",MONTH(C241),"")</f>
        <v>3</v>
      </c>
      <c r="C241" s="64">
        <v>42460</v>
      </c>
      <c r="D241" s="64" t="s">
        <v>900</v>
      </c>
      <c r="E241" s="64">
        <f t="shared" ref="E241" si="33">C241</f>
        <v>42460</v>
      </c>
      <c r="F241" s="67" t="s">
        <v>849</v>
      </c>
      <c r="G241" s="375" t="s">
        <v>850</v>
      </c>
      <c r="H241" s="404" t="s">
        <v>851</v>
      </c>
      <c r="I241" s="515"/>
      <c r="J241" s="515"/>
      <c r="K241" s="507"/>
      <c r="L241" s="515"/>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3"/>
        <v>1</v>
      </c>
      <c r="AD241" s="66" t="str">
        <f>IF(AND(MONTH(E241)='IN-NX'!$J$5,'IN-NX'!$D$7=D241,OR(LEFT(TH!N241,2)="15",LEFT(TH!O241,2)="15")),"x","")</f>
        <v/>
      </c>
      <c r="AE241" s="66" t="str">
        <f>IF(AND(OR(LEFT(TH!N241,2)="15",LEFT(TH!O241,2)="15"),'152-CT'!$J$8=TH!F241),"x","")</f>
        <v/>
      </c>
      <c r="AF241" s="66" t="str">
        <f>IF(AND(OR(LEFT(TH!N241,2)="15",LEFT(TH!O241,2)="15"),'THE KHO'!$E$7=TH!F241),"x","")</f>
        <v/>
      </c>
      <c r="AG241" s="66" t="str">
        <f>IF(AND(N241="1521",MONTH(C241)='BK NL'!$M$11),"x","")</f>
        <v/>
      </c>
    </row>
    <row r="242" spans="1:35" ht="15.75" customHeight="1">
      <c r="A242" s="397" t="str">
        <f>IF(B242&lt;&gt;"",IF(AND(B242&gt;=_TM1,B242&lt;=_TM2,OR(TH!N242="1111",TH!O242="1111")),TH!D242,""),"")</f>
        <v>C49</v>
      </c>
      <c r="B242" s="63">
        <f t="shared" ref="B242:B243" si="34">IF(C242&lt;&gt;"",MONTH(C242),"")</f>
        <v>3</v>
      </c>
      <c r="C242" s="64">
        <v>42460</v>
      </c>
      <c r="D242" s="64" t="s">
        <v>901</v>
      </c>
      <c r="E242" s="64">
        <v>42450</v>
      </c>
      <c r="F242" s="67" t="s">
        <v>855</v>
      </c>
      <c r="G242" s="375" t="s">
        <v>857</v>
      </c>
      <c r="H242" s="74" t="s">
        <v>88</v>
      </c>
      <c r="I242" s="514"/>
      <c r="J242" s="514"/>
      <c r="K242" s="506"/>
      <c r="L242" s="514"/>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3"/>
        <v>1</v>
      </c>
      <c r="AD242" s="66" t="str">
        <f>IF(AND(MONTH(E242)='IN-NX'!$J$5,'IN-NX'!$D$7=D242,OR(LEFT(TH!N242,2)="15",LEFT(TH!O242,2)="15")),"x","")</f>
        <v/>
      </c>
      <c r="AE242" s="66" t="str">
        <f>IF(AND(OR(LEFT(TH!N242,2)="15",LEFT(TH!O242,2)="15"),'152-CT'!$J$8=TH!F242),"x","")</f>
        <v/>
      </c>
      <c r="AF242" s="66" t="str">
        <f>IF(AND(OR(LEFT(TH!N242,2)="15",LEFT(TH!O242,2)="15"),'THE KHO'!$E$7=TH!F242),"x","")</f>
        <v/>
      </c>
      <c r="AG242" s="66" t="str">
        <f>IF(AND(N242="1521",MONTH(C242)='BK NL'!$M$11),"x","")</f>
        <v/>
      </c>
      <c r="AI242" s="386">
        <v>1</v>
      </c>
    </row>
    <row r="243" spans="1:35" ht="15.75" customHeight="1">
      <c r="A243" s="397" t="str">
        <f>IF(B243&lt;&gt;"",IF(AND(B243&gt;=_TM1,B243&lt;=_TM2,OR(TH!N243="1111",TH!O243="1111")),TH!D243,""),"")</f>
        <v>C49</v>
      </c>
      <c r="B243" s="63">
        <f t="shared" si="34"/>
        <v>3</v>
      </c>
      <c r="C243" s="64">
        <v>42460</v>
      </c>
      <c r="D243" s="64" t="s">
        <v>901</v>
      </c>
      <c r="E243" s="64">
        <v>42450</v>
      </c>
      <c r="F243" s="67" t="s">
        <v>856</v>
      </c>
      <c r="G243" s="375" t="s">
        <v>857</v>
      </c>
      <c r="H243" s="74" t="s">
        <v>88</v>
      </c>
      <c r="I243" s="514"/>
      <c r="J243" s="514"/>
      <c r="K243" s="506"/>
      <c r="L243" s="514"/>
      <c r="M243" s="100">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3"/>
        <v>1</v>
      </c>
      <c r="AD243" s="66" t="str">
        <f>IF(AND(MONTH(E243)='IN-NX'!$J$5,'IN-NX'!$D$7=D243,OR(LEFT(TH!N243,2)="15",LEFT(TH!O243,2)="15")),"x","")</f>
        <v/>
      </c>
      <c r="AE243" s="66" t="str">
        <f>IF(AND(OR(LEFT(TH!N243,2)="15",LEFT(TH!O243,2)="15"),'152-CT'!$J$8=TH!F243),"x","")</f>
        <v/>
      </c>
      <c r="AF243" s="66" t="str">
        <f>IF(AND(OR(LEFT(TH!N243,2)="15",LEFT(TH!O243,2)="15"),'THE KHO'!$E$7=TH!F243),"x","")</f>
        <v/>
      </c>
      <c r="AG243" s="66" t="str">
        <f>IF(AND(N243="1521",MONTH(C243)='BK NL'!$M$11),"x","")</f>
        <v/>
      </c>
      <c r="AI243" s="386">
        <v>1</v>
      </c>
    </row>
    <row r="244" spans="1:35" ht="15.75" hidden="1" customHeight="1">
      <c r="A244" s="397" t="str">
        <f>IF(B244&lt;&gt;"",IF(AND(B244&gt;=_TM1,B244&lt;=_TM2,OR(TH!N244="1111",TH!O244="1111")),TH!D244,""),"")</f>
        <v/>
      </c>
      <c r="B244" s="63">
        <f t="shared" ref="B244:B275" si="35">IF(C244&lt;&gt;"",MONTH(C244),"")</f>
        <v>4</v>
      </c>
      <c r="C244" s="64">
        <v>42462</v>
      </c>
      <c r="D244" s="64" t="s">
        <v>42</v>
      </c>
      <c r="E244" s="64">
        <v>42358</v>
      </c>
      <c r="F244" s="67" t="s">
        <v>866</v>
      </c>
      <c r="G244" s="375" t="s">
        <v>882</v>
      </c>
      <c r="H244" s="74" t="s">
        <v>868</v>
      </c>
      <c r="I244" s="514"/>
      <c r="J244" s="514"/>
      <c r="K244" s="506"/>
      <c r="L244" s="514"/>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si="13"/>
        <v>2</v>
      </c>
      <c r="AD244" s="66" t="str">
        <f>IF(AND(MONTH(E244)='IN-NX'!$J$5,'IN-NX'!$D$7=D244,OR(LEFT(TH!N244,2)="15",LEFT(TH!O244,2)="15")),"x","")</f>
        <v/>
      </c>
      <c r="AE244" s="66" t="str">
        <f>IF(AND(OR(LEFT(TH!N244,2)="15",LEFT(TH!O244,2)="15"),'152-CT'!$J$8=TH!F244),"x","")</f>
        <v/>
      </c>
      <c r="AF244" s="66" t="str">
        <f>IF(AND(OR(LEFT(TH!N244,2)="15",LEFT(TH!O244,2)="15"),'THE KHO'!$E$7=TH!F244),"x","")</f>
        <v/>
      </c>
      <c r="AG244" s="66" t="str">
        <f>IF(AND(N244="1521",MONTH(C244)='BK NL'!$M$11),"x","")</f>
        <v/>
      </c>
      <c r="AI244" s="386">
        <v>2</v>
      </c>
    </row>
    <row r="245" spans="1:35" ht="15.75" hidden="1" customHeight="1">
      <c r="A245" s="397" t="str">
        <f>IF(B245&lt;&gt;"",IF(AND(B245&gt;=_TM1,B245&lt;=_TM2,OR(TH!N245="1111",TH!O245="1111")),TH!D245,""),"")</f>
        <v/>
      </c>
      <c r="B245" s="63">
        <f t="shared" si="35"/>
        <v>4</v>
      </c>
      <c r="C245" s="64">
        <v>42462</v>
      </c>
      <c r="D245" s="64" t="s">
        <v>42</v>
      </c>
      <c r="E245" s="64">
        <v>42358</v>
      </c>
      <c r="F245" s="67" t="s">
        <v>867</v>
      </c>
      <c r="G245" s="375" t="s">
        <v>882</v>
      </c>
      <c r="H245" s="74" t="s">
        <v>868</v>
      </c>
      <c r="I245" s="514"/>
      <c r="J245" s="514"/>
      <c r="K245" s="506"/>
      <c r="L245" s="514"/>
      <c r="M245" s="85">
        <v>1008700</v>
      </c>
      <c r="N245" s="66" t="s">
        <v>993</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13"/>
        <v>2</v>
      </c>
      <c r="AD245" s="66" t="str">
        <f>IF(AND(MONTH(E245)='IN-NX'!$J$5,'IN-NX'!$D$7=D245,OR(LEFT(TH!N245,2)="15",LEFT(TH!O245,2)="15")),"x","")</f>
        <v/>
      </c>
      <c r="AE245" s="66" t="str">
        <f>IF(AND(OR(LEFT(TH!N245,2)="15",LEFT(TH!O245,2)="15"),'152-CT'!$J$8=TH!F245),"x","")</f>
        <v/>
      </c>
      <c r="AF245" s="66" t="str">
        <f>IF(AND(OR(LEFT(TH!N245,2)="15",LEFT(TH!O245,2)="15"),'THE KHO'!$E$7=TH!F245),"x","")</f>
        <v/>
      </c>
      <c r="AG245" s="66" t="str">
        <f>IF(AND(N245="1521",MONTH(C245)='BK NL'!$M$11),"x","")</f>
        <v/>
      </c>
      <c r="AI245" s="386">
        <v>2</v>
      </c>
    </row>
    <row r="246" spans="1:35" ht="15.75" hidden="1" customHeight="1">
      <c r="A246" s="397" t="str">
        <f>IF(B246&lt;&gt;"",IF(AND(B246&gt;=_TM1,B246&lt;=_TM2,OR(TH!N246="1111",TH!O246="1111")),TH!D246,""),"")</f>
        <v/>
      </c>
      <c r="B246" s="63">
        <f t="shared" si="35"/>
        <v>4</v>
      </c>
      <c r="C246" s="64">
        <v>42462</v>
      </c>
      <c r="D246" s="64" t="s">
        <v>54</v>
      </c>
      <c r="E246" s="64">
        <v>42361</v>
      </c>
      <c r="F246" s="67" t="s">
        <v>958</v>
      </c>
      <c r="G246" s="375" t="s">
        <v>960</v>
      </c>
      <c r="H246" s="74" t="s">
        <v>961</v>
      </c>
      <c r="I246" s="514"/>
      <c r="J246" s="514"/>
      <c r="K246" s="506"/>
      <c r="L246" s="514"/>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13"/>
        <v>2</v>
      </c>
      <c r="AD246" s="66" t="str">
        <f>IF(AND(MONTH(E246)='IN-NX'!$J$5,'IN-NX'!$D$7=D246,OR(LEFT(TH!N246,2)="15",LEFT(TH!O246,2)="15")),"x","")</f>
        <v/>
      </c>
      <c r="AE246" s="66" t="str">
        <f>IF(AND(OR(LEFT(TH!N246,2)="15",LEFT(TH!O246,2)="15"),'152-CT'!$J$8=TH!F246),"x","")</f>
        <v/>
      </c>
      <c r="AF246" s="66" t="str">
        <f>IF(AND(OR(LEFT(TH!N246,2)="15",LEFT(TH!O246,2)="15"),'THE KHO'!$E$7=TH!F246),"x","")</f>
        <v/>
      </c>
      <c r="AG246" s="66" t="str">
        <f>IF(AND(N246="1521",MONTH(C246)='BK NL'!$M$11),"x","")</f>
        <v/>
      </c>
      <c r="AI246" s="386">
        <v>2</v>
      </c>
    </row>
    <row r="247" spans="1:35" ht="15.75" hidden="1" customHeight="1">
      <c r="A247" s="397" t="str">
        <f>IF(B247&lt;&gt;"",IF(AND(B247&gt;=_TM1,B247&lt;=_TM2,OR(TH!N247="1111",TH!O247="1111")),TH!D247,""),"")</f>
        <v/>
      </c>
      <c r="B247" s="63">
        <f t="shared" si="35"/>
        <v>4</v>
      </c>
      <c r="C247" s="64">
        <v>42462</v>
      </c>
      <c r="D247" s="64" t="s">
        <v>54</v>
      </c>
      <c r="E247" s="64">
        <v>42361</v>
      </c>
      <c r="F247" s="67" t="s">
        <v>959</v>
      </c>
      <c r="G247" s="375" t="s">
        <v>960</v>
      </c>
      <c r="H247" s="74" t="s">
        <v>961</v>
      </c>
      <c r="I247" s="514"/>
      <c r="J247" s="514"/>
      <c r="K247" s="506"/>
      <c r="L247" s="514"/>
      <c r="M247" s="85">
        <v>1673000</v>
      </c>
      <c r="N247" s="66" t="s">
        <v>993</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13"/>
        <v>2</v>
      </c>
      <c r="AD247" s="66" t="str">
        <f>IF(AND(MONTH(E247)='IN-NX'!$J$5,'IN-NX'!$D$7=D247,OR(LEFT(TH!N247,2)="15",LEFT(TH!O247,2)="15")),"x","")</f>
        <v/>
      </c>
      <c r="AE247" s="66" t="str">
        <f>IF(AND(OR(LEFT(TH!N247,2)="15",LEFT(TH!O247,2)="15"),'152-CT'!$J$8=TH!F247),"x","")</f>
        <v/>
      </c>
      <c r="AF247" s="66" t="str">
        <f>IF(AND(OR(LEFT(TH!N247,2)="15",LEFT(TH!O247,2)="15"),'THE KHO'!$E$7=TH!F247),"x","")</f>
        <v/>
      </c>
      <c r="AG247" s="66" t="str">
        <f>IF(AND(N247="1521",MONTH(C247)='BK NL'!$M$11),"x","")</f>
        <v/>
      </c>
      <c r="AI247" s="386">
        <v>2</v>
      </c>
    </row>
    <row r="248" spans="1:35" ht="15.75" hidden="1" customHeight="1">
      <c r="A248" s="397" t="str">
        <f>IF(B248&lt;&gt;"",IF(AND(B248&gt;=_TM1,B248&lt;=_TM2,OR(TH!N248="1111",TH!O248="1111")),TH!D248,""),"")</f>
        <v/>
      </c>
      <c r="B248" s="63">
        <f t="shared" si="35"/>
        <v>4</v>
      </c>
      <c r="C248" s="64">
        <v>42462</v>
      </c>
      <c r="D248" s="64" t="s">
        <v>55</v>
      </c>
      <c r="E248" s="64">
        <v>42363</v>
      </c>
      <c r="F248" s="67" t="s">
        <v>962</v>
      </c>
      <c r="G248" s="375" t="s">
        <v>964</v>
      </c>
      <c r="H248" s="74" t="s">
        <v>961</v>
      </c>
      <c r="I248" s="514"/>
      <c r="J248" s="514"/>
      <c r="K248" s="506"/>
      <c r="L248" s="514"/>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13"/>
        <v>2</v>
      </c>
      <c r="AD248" s="66" t="str">
        <f>IF(AND(MONTH(E248)='IN-NX'!$J$5,'IN-NX'!$D$7=D248,OR(LEFT(TH!N248,2)="15",LEFT(TH!O248,2)="15")),"x","")</f>
        <v/>
      </c>
      <c r="AE248" s="66" t="str">
        <f>IF(AND(OR(LEFT(TH!N248,2)="15",LEFT(TH!O248,2)="15"),'152-CT'!$J$8=TH!F248),"x","")</f>
        <v/>
      </c>
      <c r="AF248" s="66" t="str">
        <f>IF(AND(OR(LEFT(TH!N248,2)="15",LEFT(TH!O248,2)="15"),'THE KHO'!$E$7=TH!F248),"x","")</f>
        <v/>
      </c>
      <c r="AG248" s="66" t="str">
        <f>IF(AND(N248="1521",MONTH(C248)='BK NL'!$M$11),"x","")</f>
        <v/>
      </c>
      <c r="AI248" s="386">
        <v>2</v>
      </c>
    </row>
    <row r="249" spans="1:35" ht="15.75" hidden="1" customHeight="1">
      <c r="A249" s="397" t="str">
        <f>IF(B249&lt;&gt;"",IF(AND(B249&gt;=_TM1,B249&lt;=_TM2,OR(TH!N249="1111",TH!O249="1111")),TH!D249,""),"")</f>
        <v/>
      </c>
      <c r="B249" s="63">
        <f t="shared" si="35"/>
        <v>4</v>
      </c>
      <c r="C249" s="64">
        <v>42462</v>
      </c>
      <c r="D249" s="64" t="s">
        <v>55</v>
      </c>
      <c r="E249" s="64">
        <v>42363</v>
      </c>
      <c r="F249" s="67" t="s">
        <v>963</v>
      </c>
      <c r="G249" s="375" t="s">
        <v>964</v>
      </c>
      <c r="H249" s="74" t="s">
        <v>961</v>
      </c>
      <c r="I249" s="514"/>
      <c r="J249" s="514"/>
      <c r="K249" s="506"/>
      <c r="L249" s="514"/>
      <c r="M249" s="85">
        <v>1800000</v>
      </c>
      <c r="N249" s="66" t="s">
        <v>993</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13"/>
        <v>2</v>
      </c>
      <c r="AD249" s="66" t="str">
        <f>IF(AND(MONTH(E249)='IN-NX'!$J$5,'IN-NX'!$D$7=D249,OR(LEFT(TH!N249,2)="15",LEFT(TH!O249,2)="15")),"x","")</f>
        <v/>
      </c>
      <c r="AE249" s="66" t="str">
        <f>IF(AND(OR(LEFT(TH!N249,2)="15",LEFT(TH!O249,2)="15"),'152-CT'!$J$8=TH!F249),"x","")</f>
        <v/>
      </c>
      <c r="AF249" s="66" t="str">
        <f>IF(AND(OR(LEFT(TH!N249,2)="15",LEFT(TH!O249,2)="15"),'THE KHO'!$E$7=TH!F249),"x","")</f>
        <v/>
      </c>
      <c r="AG249" s="66" t="str">
        <f>IF(AND(N249="1521",MONTH(C249)='BK NL'!$M$11),"x","")</f>
        <v/>
      </c>
      <c r="AI249" s="386">
        <v>2</v>
      </c>
    </row>
    <row r="250" spans="1:35" ht="15.75" hidden="1" customHeight="1">
      <c r="A250" s="397" t="str">
        <f>IF(B250&lt;&gt;"",IF(AND(B250&gt;=_TM1,B250&lt;=_TM2,OR(TH!N250="1111",TH!O250="1111")),TH!D250,""),"")</f>
        <v/>
      </c>
      <c r="B250" s="63">
        <f t="shared" si="35"/>
        <v>4</v>
      </c>
      <c r="C250" s="64">
        <v>42462</v>
      </c>
      <c r="D250" s="64" t="s">
        <v>41</v>
      </c>
      <c r="E250" s="64">
        <v>42377</v>
      </c>
      <c r="F250" s="67" t="s">
        <v>869</v>
      </c>
      <c r="G250" s="375" t="s">
        <v>881</v>
      </c>
      <c r="H250" s="404" t="s">
        <v>871</v>
      </c>
      <c r="I250" s="515"/>
      <c r="J250" s="515"/>
      <c r="K250" s="507"/>
      <c r="L250" s="515"/>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13"/>
        <v>2</v>
      </c>
      <c r="AD250" s="66" t="str">
        <f>IF(AND(MONTH(E250)='IN-NX'!$J$5,'IN-NX'!$D$7=D250,OR(LEFT(TH!N250,2)="15",LEFT(TH!O250,2)="15")),"x","")</f>
        <v/>
      </c>
      <c r="AE250" s="66" t="str">
        <f>IF(AND(OR(LEFT(TH!N250,2)="15",LEFT(TH!O250,2)="15"),'152-CT'!$J$8=TH!F250),"x","")</f>
        <v/>
      </c>
      <c r="AF250" s="66" t="str">
        <f>IF(AND(OR(LEFT(TH!N250,2)="15",LEFT(TH!O250,2)="15"),'THE KHO'!$E$7=TH!F250),"x","")</f>
        <v/>
      </c>
      <c r="AG250" s="66" t="str">
        <f>IF(AND(N250="1521",MONTH(C250)='BK NL'!$M$11),"x","")</f>
        <v/>
      </c>
      <c r="AI250" s="386">
        <v>2</v>
      </c>
    </row>
    <row r="251" spans="1:35" ht="15.75" hidden="1" customHeight="1">
      <c r="A251" s="397" t="str">
        <f>IF(B251&lt;&gt;"",IF(AND(B251&gt;=_TM1,B251&lt;=_TM2,OR(TH!N251="1111",TH!O251="1111")),TH!D251,""),"")</f>
        <v/>
      </c>
      <c r="B251" s="63">
        <f t="shared" si="35"/>
        <v>4</v>
      </c>
      <c r="C251" s="64">
        <v>42462</v>
      </c>
      <c r="D251" s="64" t="s">
        <v>41</v>
      </c>
      <c r="E251" s="64">
        <v>42377</v>
      </c>
      <c r="F251" s="67" t="s">
        <v>870</v>
      </c>
      <c r="G251" s="375" t="s">
        <v>881</v>
      </c>
      <c r="H251" s="404" t="s">
        <v>871</v>
      </c>
      <c r="I251" s="515"/>
      <c r="J251" s="515"/>
      <c r="K251" s="507"/>
      <c r="L251" s="515"/>
      <c r="M251" s="85">
        <v>1779222</v>
      </c>
      <c r="N251" s="66" t="s">
        <v>993</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13"/>
        <v>2</v>
      </c>
      <c r="AD251" s="66" t="str">
        <f>IF(AND(MONTH(E251)='IN-NX'!$J$5,'IN-NX'!$D$7=D251,OR(LEFT(TH!N251,2)="15",LEFT(TH!O251,2)="15")),"x","")</f>
        <v/>
      </c>
      <c r="AE251" s="66" t="str">
        <f>IF(AND(OR(LEFT(TH!N251,2)="15",LEFT(TH!O251,2)="15"),'152-CT'!$J$8=TH!F251),"x","")</f>
        <v/>
      </c>
      <c r="AF251" s="66" t="str">
        <f>IF(AND(OR(LEFT(TH!N251,2)="15",LEFT(TH!O251,2)="15"),'THE KHO'!$E$7=TH!F251),"x","")</f>
        <v/>
      </c>
      <c r="AG251" s="66" t="str">
        <f>IF(AND(N251="1521",MONTH(C251)='BK NL'!$M$11),"x","")</f>
        <v/>
      </c>
      <c r="AI251" s="386">
        <v>2</v>
      </c>
    </row>
    <row r="252" spans="1:35" ht="15.75" hidden="1" customHeight="1">
      <c r="A252" s="397" t="str">
        <f>IF(B252&lt;&gt;"",IF(AND(B252&gt;=_TM1,B252&lt;=_TM2,OR(TH!N252="1111",TH!O252="1111")),TH!D252,""),"")</f>
        <v/>
      </c>
      <c r="B252" s="63">
        <f t="shared" si="35"/>
        <v>4</v>
      </c>
      <c r="C252" s="64">
        <v>42462</v>
      </c>
      <c r="D252" s="64" t="s">
        <v>40</v>
      </c>
      <c r="E252" s="64">
        <v>42378</v>
      </c>
      <c r="F252" s="67" t="s">
        <v>872</v>
      </c>
      <c r="G252" s="375" t="s">
        <v>880</v>
      </c>
      <c r="H252" s="404" t="s">
        <v>871</v>
      </c>
      <c r="I252" s="515"/>
      <c r="J252" s="515"/>
      <c r="K252" s="507"/>
      <c r="L252" s="515"/>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13"/>
        <v>2</v>
      </c>
      <c r="AD252" s="66" t="str">
        <f>IF(AND(MONTH(E252)='IN-NX'!$J$5,'IN-NX'!$D$7=D252,OR(LEFT(TH!N252,2)="15",LEFT(TH!O252,2)="15")),"x","")</f>
        <v/>
      </c>
      <c r="AE252" s="66" t="str">
        <f>IF(AND(OR(LEFT(TH!N252,2)="15",LEFT(TH!O252,2)="15"),'152-CT'!$J$8=TH!F252),"x","")</f>
        <v/>
      </c>
      <c r="AF252" s="66" t="str">
        <f>IF(AND(OR(LEFT(TH!N252,2)="15",LEFT(TH!O252,2)="15"),'THE KHO'!$E$7=TH!F252),"x","")</f>
        <v/>
      </c>
      <c r="AG252" s="66" t="str">
        <f>IF(AND(N252="1521",MONTH(C252)='BK NL'!$M$11),"x","")</f>
        <v/>
      </c>
      <c r="AI252" s="386">
        <v>2</v>
      </c>
    </row>
    <row r="253" spans="1:35" ht="15.75" hidden="1" customHeight="1">
      <c r="A253" s="397" t="str">
        <f>IF(B253&lt;&gt;"",IF(AND(B253&gt;=_TM1,B253&lt;=_TM2,OR(TH!N253="1111",TH!O253="1111")),TH!D253,""),"")</f>
        <v/>
      </c>
      <c r="B253" s="63">
        <f t="shared" si="35"/>
        <v>4</v>
      </c>
      <c r="C253" s="64">
        <v>42462</v>
      </c>
      <c r="D253" s="64" t="s">
        <v>40</v>
      </c>
      <c r="E253" s="64">
        <v>42378</v>
      </c>
      <c r="F253" s="67" t="s">
        <v>873</v>
      </c>
      <c r="G253" s="375" t="s">
        <v>880</v>
      </c>
      <c r="H253" s="404" t="s">
        <v>871</v>
      </c>
      <c r="I253" s="514"/>
      <c r="J253" s="514"/>
      <c r="K253" s="506"/>
      <c r="L253" s="514"/>
      <c r="M253" s="85">
        <v>1734789</v>
      </c>
      <c r="N253" s="66" t="s">
        <v>993</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13"/>
        <v>2</v>
      </c>
      <c r="AD253" s="66" t="str">
        <f>IF(AND(MONTH(E253)='IN-NX'!$J$5,'IN-NX'!$D$7=D253,OR(LEFT(TH!N253,2)="15",LEFT(TH!O253,2)="15")),"x","")</f>
        <v/>
      </c>
      <c r="AE253" s="66" t="str">
        <f>IF(AND(OR(LEFT(TH!N253,2)="15",LEFT(TH!O253,2)="15"),'152-CT'!$J$8=TH!F253),"x","")</f>
        <v/>
      </c>
      <c r="AF253" s="66" t="str">
        <f>IF(AND(OR(LEFT(TH!N253,2)="15",LEFT(TH!O253,2)="15"),'THE KHO'!$E$7=TH!F253),"x","")</f>
        <v/>
      </c>
      <c r="AG253" s="66" t="str">
        <f>IF(AND(N253="1521",MONTH(C253)='BK NL'!$M$11),"x","")</f>
        <v/>
      </c>
      <c r="AI253" s="386">
        <v>2</v>
      </c>
    </row>
    <row r="254" spans="1:35" ht="15.75" hidden="1" customHeight="1">
      <c r="A254" s="397" t="str">
        <f>IF(B254&lt;&gt;"",IF(AND(B254&gt;=_TM1,B254&lt;=_TM2,OR(TH!N254="1111",TH!O254="1111")),TH!D254,""),"")</f>
        <v/>
      </c>
      <c r="B254" s="63">
        <f t="shared" si="35"/>
        <v>4</v>
      </c>
      <c r="C254" s="64">
        <v>42462</v>
      </c>
      <c r="D254" s="64" t="s">
        <v>64</v>
      </c>
      <c r="E254" s="64">
        <v>42379</v>
      </c>
      <c r="F254" s="67" t="s">
        <v>869</v>
      </c>
      <c r="G254" s="375" t="s">
        <v>875</v>
      </c>
      <c r="H254" s="74" t="s">
        <v>874</v>
      </c>
      <c r="I254" s="514"/>
      <c r="J254" s="514"/>
      <c r="K254" s="506"/>
      <c r="L254" s="514"/>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13"/>
        <v>2</v>
      </c>
      <c r="AD254" s="66" t="str">
        <f>IF(AND(MONTH(E254)='IN-NX'!$J$5,'IN-NX'!$D$7=D254,OR(LEFT(TH!N254,2)="15",LEFT(TH!O254,2)="15")),"x","")</f>
        <v/>
      </c>
      <c r="AE254" s="66" t="str">
        <f>IF(AND(OR(LEFT(TH!N254,2)="15",LEFT(TH!O254,2)="15"),'152-CT'!$J$8=TH!F254),"x","")</f>
        <v/>
      </c>
      <c r="AF254" s="66" t="str">
        <f>IF(AND(OR(LEFT(TH!N254,2)="15",LEFT(TH!O254,2)="15"),'THE KHO'!$E$7=TH!F254),"x","")</f>
        <v/>
      </c>
      <c r="AG254" s="66" t="str">
        <f>IF(AND(N254="1521",MONTH(C254)='BK NL'!$M$11),"x","")</f>
        <v/>
      </c>
      <c r="AI254" s="386">
        <v>2</v>
      </c>
    </row>
    <row r="255" spans="1:35" ht="15.75" hidden="1" customHeight="1">
      <c r="A255" s="397" t="str">
        <f>IF(B255&lt;&gt;"",IF(AND(B255&gt;=_TM1,B255&lt;=_TM2,OR(TH!N255="1111",TH!O255="1111")),TH!D255,""),"")</f>
        <v/>
      </c>
      <c r="B255" s="63">
        <f t="shared" si="35"/>
        <v>4</v>
      </c>
      <c r="C255" s="64">
        <v>42462</v>
      </c>
      <c r="D255" s="64" t="s">
        <v>64</v>
      </c>
      <c r="E255" s="64">
        <v>42379</v>
      </c>
      <c r="F255" s="67" t="s">
        <v>870</v>
      </c>
      <c r="G255" s="375" t="s">
        <v>875</v>
      </c>
      <c r="H255" s="74" t="s">
        <v>874</v>
      </c>
      <c r="I255" s="515"/>
      <c r="J255" s="515"/>
      <c r="K255" s="507"/>
      <c r="L255" s="515"/>
      <c r="M255" s="85">
        <v>1784000</v>
      </c>
      <c r="N255" s="66" t="s">
        <v>993</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13"/>
        <v>2</v>
      </c>
      <c r="AD255" s="66" t="str">
        <f>IF(AND(MONTH(E255)='IN-NX'!$J$5,'IN-NX'!$D$7=D255,OR(LEFT(TH!N255,2)="15",LEFT(TH!O255,2)="15")),"x","")</f>
        <v/>
      </c>
      <c r="AE255" s="66" t="str">
        <f>IF(AND(OR(LEFT(TH!N255,2)="15",LEFT(TH!O255,2)="15"),'152-CT'!$J$8=TH!F255),"x","")</f>
        <v/>
      </c>
      <c r="AF255" s="66" t="str">
        <f>IF(AND(OR(LEFT(TH!N255,2)="15",LEFT(TH!O255,2)="15"),'THE KHO'!$E$7=TH!F255),"x","")</f>
        <v/>
      </c>
      <c r="AG255" s="66" t="str">
        <f>IF(AND(N255="1521",MONTH(C255)='BK NL'!$M$11),"x","")</f>
        <v/>
      </c>
      <c r="AI255" s="386">
        <v>2</v>
      </c>
    </row>
    <row r="256" spans="1:35" ht="15.75" hidden="1" customHeight="1">
      <c r="A256" s="397" t="str">
        <f>IF(B256&lt;&gt;"",IF(AND(B256&gt;=_TM1,B256&lt;=_TM2,OR(TH!N256="1111",TH!O256="1111")),TH!D256,""),"")</f>
        <v/>
      </c>
      <c r="B256" s="63">
        <f t="shared" si="35"/>
        <v>4</v>
      </c>
      <c r="C256" s="64">
        <v>42462</v>
      </c>
      <c r="D256" s="64" t="s">
        <v>65</v>
      </c>
      <c r="E256" s="64">
        <v>42388</v>
      </c>
      <c r="F256" s="67" t="s">
        <v>876</v>
      </c>
      <c r="G256" s="375" t="s">
        <v>878</v>
      </c>
      <c r="H256" s="404" t="s">
        <v>879</v>
      </c>
      <c r="I256" s="515"/>
      <c r="J256" s="515"/>
      <c r="K256" s="507"/>
      <c r="L256" s="515"/>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13"/>
        <v>2</v>
      </c>
      <c r="AD256" s="66" t="str">
        <f>IF(AND(MONTH(E256)='IN-NX'!$J$5,'IN-NX'!$D$7=D256,OR(LEFT(TH!N256,2)="15",LEFT(TH!O256,2)="15")),"x","")</f>
        <v/>
      </c>
      <c r="AE256" s="66" t="str">
        <f>IF(AND(OR(LEFT(TH!N256,2)="15",LEFT(TH!O256,2)="15"),'152-CT'!$J$8=TH!F256),"x","")</f>
        <v/>
      </c>
      <c r="AF256" s="66" t="str">
        <f>IF(AND(OR(LEFT(TH!N256,2)="15",LEFT(TH!O256,2)="15"),'THE KHO'!$E$7=TH!F256),"x","")</f>
        <v/>
      </c>
      <c r="AG256" s="66" t="str">
        <f>IF(AND(N256="1521",MONTH(C256)='BK NL'!$M$11),"x","")</f>
        <v/>
      </c>
      <c r="AI256" s="386">
        <v>2</v>
      </c>
    </row>
    <row r="257" spans="1:35" ht="15.75" hidden="1" customHeight="1">
      <c r="A257" s="397" t="str">
        <f>IF(B257&lt;&gt;"",IF(AND(B257&gt;=_TM1,B257&lt;=_TM2,OR(TH!N257="1111",TH!O257="1111")),TH!D257,""),"")</f>
        <v/>
      </c>
      <c r="B257" s="63">
        <f t="shared" si="35"/>
        <v>4</v>
      </c>
      <c r="C257" s="64">
        <v>42462</v>
      </c>
      <c r="D257" s="64" t="s">
        <v>65</v>
      </c>
      <c r="E257" s="64">
        <v>42388</v>
      </c>
      <c r="F257" s="67" t="s">
        <v>877</v>
      </c>
      <c r="G257" s="375" t="s">
        <v>878</v>
      </c>
      <c r="H257" s="404" t="s">
        <v>879</v>
      </c>
      <c r="I257" s="515"/>
      <c r="J257" s="515"/>
      <c r="K257" s="507"/>
      <c r="L257" s="515"/>
      <c r="M257" s="85">
        <v>1626364</v>
      </c>
      <c r="N257" s="66" t="s">
        <v>993</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13"/>
        <v>2</v>
      </c>
      <c r="AD257" s="66" t="str">
        <f>IF(AND(MONTH(E257)='IN-NX'!$J$5,'IN-NX'!$D$7=D257,OR(LEFT(TH!N257,2)="15",LEFT(TH!O257,2)="15")),"x","")</f>
        <v/>
      </c>
      <c r="AE257" s="66" t="str">
        <f>IF(AND(OR(LEFT(TH!N257,2)="15",LEFT(TH!O257,2)="15"),'152-CT'!$J$8=TH!F257),"x","")</f>
        <v/>
      </c>
      <c r="AF257" s="66" t="str">
        <f>IF(AND(OR(LEFT(TH!N257,2)="15",LEFT(TH!O257,2)="15"),'THE KHO'!$E$7=TH!F257),"x","")</f>
        <v/>
      </c>
      <c r="AG257" s="66" t="str">
        <f>IF(AND(N257="1521",MONTH(C257)='BK NL'!$M$11),"x","")</f>
        <v/>
      </c>
      <c r="AI257" s="386">
        <v>2</v>
      </c>
    </row>
    <row r="258" spans="1:35" ht="15.75" hidden="1" customHeight="1">
      <c r="A258" s="397" t="str">
        <f>IF(B258&lt;&gt;"",IF(AND(B258&gt;=_TM1,B258&lt;=_TM2,OR(TH!N258="1111",TH!O258="1111")),TH!D258,""),"")</f>
        <v/>
      </c>
      <c r="B258" s="63">
        <f t="shared" si="35"/>
        <v>4</v>
      </c>
      <c r="C258" s="64">
        <v>42462</v>
      </c>
      <c r="D258" s="64" t="s">
        <v>66</v>
      </c>
      <c r="E258" s="64">
        <f t="shared" ref="E258:E265" si="36">C258</f>
        <v>42462</v>
      </c>
      <c r="F258" s="67" t="s">
        <v>408</v>
      </c>
      <c r="G258" s="375" t="s">
        <v>854</v>
      </c>
      <c r="H258" s="404" t="s">
        <v>327</v>
      </c>
      <c r="I258" s="515"/>
      <c r="J258" s="515"/>
      <c r="K258" s="507"/>
      <c r="L258" s="515"/>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13"/>
        <v>2</v>
      </c>
      <c r="AD258" s="66" t="str">
        <f>IF(AND(MONTH(E258)='IN-NX'!$J$5,'IN-NX'!$D$7=D258,OR(LEFT(TH!N258,2)="15",LEFT(TH!O258,2)="15")),"x","")</f>
        <v/>
      </c>
      <c r="AE258" s="66" t="str">
        <f>IF(AND(OR(LEFT(TH!N258,2)="15",LEFT(TH!O258,2)="15"),'152-CT'!$J$8=TH!F258),"x","")</f>
        <v/>
      </c>
      <c r="AF258" s="66" t="str">
        <f>IF(AND(OR(LEFT(TH!N258,2)="15",LEFT(TH!O258,2)="15"),'THE KHO'!$E$7=TH!F258),"x","")</f>
        <v/>
      </c>
      <c r="AG258" s="66" t="str">
        <f>IF(AND(N258="1521",MONTH(C258)='BK NL'!$M$11),"x","")</f>
        <v/>
      </c>
    </row>
    <row r="259" spans="1:35" ht="15.75" hidden="1" customHeight="1">
      <c r="A259" s="397" t="str">
        <f>IF(B259&lt;&gt;"",IF(AND(B259&gt;=_TM1,B259&lt;=_TM2,OR(TH!N259="1111",TH!O259="1111")),TH!D259,""),"")</f>
        <v/>
      </c>
      <c r="B259" s="63">
        <f t="shared" si="35"/>
        <v>4</v>
      </c>
      <c r="C259" s="64">
        <v>42462</v>
      </c>
      <c r="D259" s="64" t="s">
        <v>71</v>
      </c>
      <c r="E259" s="64">
        <f t="shared" si="36"/>
        <v>42462</v>
      </c>
      <c r="F259" s="67" t="s">
        <v>862</v>
      </c>
      <c r="G259" s="375"/>
      <c r="H259" s="74" t="s">
        <v>183</v>
      </c>
      <c r="I259" s="514"/>
      <c r="J259" s="514"/>
      <c r="K259" s="506"/>
      <c r="L259" s="514"/>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13"/>
        <v>2</v>
      </c>
      <c r="AD259" s="66" t="str">
        <f>IF(AND(MONTH(E259)='IN-NX'!$J$5,'IN-NX'!$D$7=D259,OR(LEFT(TH!N259,2)="15",LEFT(TH!O259,2)="15")),"x","")</f>
        <v/>
      </c>
      <c r="AE259" s="66" t="str">
        <f>IF(AND(OR(LEFT(TH!N259,2)="15",LEFT(TH!O259,2)="15"),'152-CT'!$J$8=TH!F259),"x","")</f>
        <v/>
      </c>
      <c r="AF259" s="66" t="str">
        <f>IF(AND(OR(LEFT(TH!N259,2)="15",LEFT(TH!O259,2)="15"),'THE KHO'!$E$7=TH!F259),"x","")</f>
        <v/>
      </c>
      <c r="AG259" s="66" t="str">
        <f>IF(AND(N259="1521",MONTH(C259)='BK NL'!$M$11),"x","")</f>
        <v/>
      </c>
      <c r="AI259" s="386">
        <v>1</v>
      </c>
    </row>
    <row r="260" spans="1:35" ht="15.75" hidden="1" customHeight="1">
      <c r="A260" s="397" t="str">
        <f>IF(B260&lt;&gt;"",IF(AND(B260&gt;=_TM1,B260&lt;=_TM2,OR(TH!N260="1111",TH!O260="1111")),TH!D260,""),"")</f>
        <v/>
      </c>
      <c r="B260" s="63">
        <f t="shared" si="35"/>
        <v>4</v>
      </c>
      <c r="C260" s="64">
        <v>42462</v>
      </c>
      <c r="D260" s="64" t="s">
        <v>71</v>
      </c>
      <c r="E260" s="64">
        <f t="shared" si="36"/>
        <v>42462</v>
      </c>
      <c r="F260" s="67" t="s">
        <v>863</v>
      </c>
      <c r="G260" s="375"/>
      <c r="H260" s="74" t="s">
        <v>183</v>
      </c>
      <c r="I260" s="514"/>
      <c r="J260" s="514"/>
      <c r="K260" s="506"/>
      <c r="L260" s="514"/>
      <c r="M260" s="100">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13"/>
        <v>2</v>
      </c>
      <c r="AD260" s="66" t="str">
        <f>IF(AND(MONTH(E260)='IN-NX'!$J$5,'IN-NX'!$D$7=D260,OR(LEFT(TH!N260,2)="15",LEFT(TH!O260,2)="15")),"x","")</f>
        <v/>
      </c>
      <c r="AE260" s="66" t="str">
        <f>IF(AND(OR(LEFT(TH!N260,2)="15",LEFT(TH!O260,2)="15"),'152-CT'!$J$8=TH!F260),"x","")</f>
        <v/>
      </c>
      <c r="AF260" s="66" t="str">
        <f>IF(AND(OR(LEFT(TH!N260,2)="15",LEFT(TH!O260,2)="15"),'THE KHO'!$E$7=TH!F260),"x","")</f>
        <v/>
      </c>
      <c r="AG260" s="66" t="str">
        <f>IF(AND(N260="1521",MONTH(C260)='BK NL'!$M$11),"x","")</f>
        <v/>
      </c>
      <c r="AI260" s="386">
        <v>1</v>
      </c>
    </row>
    <row r="261" spans="1:35" ht="15.75" hidden="1" customHeight="1">
      <c r="A261" s="397" t="str">
        <f>IF(B261&lt;&gt;"",IF(AND(B261&gt;=_TM1,B261&lt;=_TM2,OR(TH!N261="1111",TH!O261="1111")),TH!D261,""),"")</f>
        <v/>
      </c>
      <c r="B261" s="63">
        <f t="shared" si="35"/>
        <v>4</v>
      </c>
      <c r="C261" s="64">
        <v>42467</v>
      </c>
      <c r="D261" s="64" t="s">
        <v>72</v>
      </c>
      <c r="E261" s="64">
        <f t="shared" si="36"/>
        <v>42467</v>
      </c>
      <c r="F261" s="67" t="s">
        <v>408</v>
      </c>
      <c r="G261" s="375" t="s">
        <v>858</v>
      </c>
      <c r="H261" s="404" t="s">
        <v>327</v>
      </c>
      <c r="I261" s="515"/>
      <c r="J261" s="515"/>
      <c r="K261" s="507"/>
      <c r="L261" s="515"/>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13"/>
        <v>2</v>
      </c>
      <c r="AD261" s="66" t="str">
        <f>IF(AND(MONTH(E261)='IN-NX'!$J$5,'IN-NX'!$D$7=D261,OR(LEFT(TH!N261,2)="15",LEFT(TH!O261,2)="15")),"x","")</f>
        <v/>
      </c>
      <c r="AE261" s="66" t="str">
        <f>IF(AND(OR(LEFT(TH!N261,2)="15",LEFT(TH!O261,2)="15"),'152-CT'!$J$8=TH!F261),"x","")</f>
        <v/>
      </c>
      <c r="AF261" s="66" t="str">
        <f>IF(AND(OR(LEFT(TH!N261,2)="15",LEFT(TH!O261,2)="15"),'THE KHO'!$E$7=TH!F261),"x","")</f>
        <v/>
      </c>
      <c r="AG261" s="66" t="str">
        <f>IF(AND(N261="1521",MONTH(C261)='BK NL'!$M$11),"x","")</f>
        <v/>
      </c>
    </row>
    <row r="262" spans="1:35" ht="15.75" hidden="1" customHeight="1">
      <c r="A262" s="397" t="str">
        <f>IF(B262&lt;&gt;"",IF(AND(B262&gt;=_TM1,B262&lt;=_TM2,OR(TH!N262="1111",TH!O262="1111")),TH!D262,""),"")</f>
        <v/>
      </c>
      <c r="B262" s="63">
        <f t="shared" si="35"/>
        <v>4</v>
      </c>
      <c r="C262" s="64">
        <v>42470</v>
      </c>
      <c r="D262" s="64" t="s">
        <v>73</v>
      </c>
      <c r="E262" s="64">
        <f t="shared" si="36"/>
        <v>42470</v>
      </c>
      <c r="F262" s="67" t="s">
        <v>859</v>
      </c>
      <c r="G262" s="375" t="s">
        <v>861</v>
      </c>
      <c r="H262" s="74" t="s">
        <v>323</v>
      </c>
      <c r="I262" s="515"/>
      <c r="J262" s="515"/>
      <c r="K262" s="507"/>
      <c r="L262" s="515"/>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13"/>
        <v>2</v>
      </c>
      <c r="AD262" s="66" t="str">
        <f>IF(AND(MONTH(E262)='IN-NX'!$J$5,'IN-NX'!$D$7=D262,OR(LEFT(TH!N262,2)="15",LEFT(TH!O262,2)="15")),"x","")</f>
        <v/>
      </c>
      <c r="AE262" s="66" t="str">
        <f>IF(AND(OR(LEFT(TH!N262,2)="15",LEFT(TH!O262,2)="15"),'152-CT'!$J$8=TH!F262),"x","")</f>
        <v/>
      </c>
      <c r="AF262" s="66" t="str">
        <f>IF(AND(OR(LEFT(TH!N262,2)="15",LEFT(TH!O262,2)="15"),'THE KHO'!$E$7=TH!F262),"x","")</f>
        <v/>
      </c>
      <c r="AG262" s="66" t="str">
        <f>IF(AND(N262="1521",MONTH(C262)='BK NL'!$M$11),"x","")</f>
        <v/>
      </c>
      <c r="AI262" s="386">
        <v>1</v>
      </c>
    </row>
    <row r="263" spans="1:35" ht="15.75" hidden="1" customHeight="1">
      <c r="A263" s="397" t="str">
        <f>IF(B263&lt;&gt;"",IF(AND(B263&gt;=_TM1,B263&lt;=_TM2,OR(TH!N263="1111",TH!O263="1111")),TH!D263,""),"")</f>
        <v/>
      </c>
      <c r="B263" s="63">
        <f t="shared" si="35"/>
        <v>4</v>
      </c>
      <c r="C263" s="64">
        <v>42470</v>
      </c>
      <c r="D263" s="64" t="s">
        <v>73</v>
      </c>
      <c r="E263" s="64">
        <f t="shared" si="36"/>
        <v>42470</v>
      </c>
      <c r="F263" s="67" t="s">
        <v>860</v>
      </c>
      <c r="G263" s="375" t="s">
        <v>861</v>
      </c>
      <c r="H263" s="74" t="s">
        <v>323</v>
      </c>
      <c r="I263" s="515"/>
      <c r="J263" s="515"/>
      <c r="K263" s="507"/>
      <c r="L263" s="515"/>
      <c r="M263" s="100">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13"/>
        <v>2</v>
      </c>
      <c r="AD263" s="66" t="str">
        <f>IF(AND(MONTH(E263)='IN-NX'!$J$5,'IN-NX'!$D$7=D263,OR(LEFT(TH!N263,2)="15",LEFT(TH!O263,2)="15")),"x","")</f>
        <v/>
      </c>
      <c r="AE263" s="66" t="str">
        <f>IF(AND(OR(LEFT(TH!N263,2)="15",LEFT(TH!O263,2)="15"),'152-CT'!$J$8=TH!F263),"x","")</f>
        <v/>
      </c>
      <c r="AF263" s="66" t="str">
        <f>IF(AND(OR(LEFT(TH!N263,2)="15",LEFT(TH!O263,2)="15"),'THE KHO'!$E$7=TH!F263),"x","")</f>
        <v/>
      </c>
      <c r="AG263" s="66" t="str">
        <f>IF(AND(N263="1521",MONTH(C263)='BK NL'!$M$11),"x","")</f>
        <v/>
      </c>
      <c r="AI263" s="386">
        <v>1</v>
      </c>
    </row>
    <row r="264" spans="1:35" ht="15.75" hidden="1" customHeight="1">
      <c r="A264" s="397" t="str">
        <f>IF(B264&lt;&gt;"",IF(AND(B264&gt;=_TM1,B264&lt;=_TM2,OR(TH!N264="1111",TH!O264="1111")),TH!D264,""),"")</f>
        <v/>
      </c>
      <c r="B264" s="63">
        <f t="shared" si="35"/>
        <v>4</v>
      </c>
      <c r="C264" s="64">
        <v>42471</v>
      </c>
      <c r="D264" s="64" t="s">
        <v>74</v>
      </c>
      <c r="E264" s="64">
        <f t="shared" si="36"/>
        <v>42471</v>
      </c>
      <c r="F264" s="67" t="s">
        <v>885</v>
      </c>
      <c r="G264" s="375" t="s">
        <v>887</v>
      </c>
      <c r="H264" s="405" t="s">
        <v>888</v>
      </c>
      <c r="I264" s="517"/>
      <c r="J264" s="517"/>
      <c r="K264" s="509"/>
      <c r="L264" s="517"/>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13"/>
        <v>2</v>
      </c>
      <c r="AD264" s="66" t="str">
        <f>IF(AND(MONTH(E264)='IN-NX'!$J$5,'IN-NX'!$D$7=D264,OR(LEFT(TH!N264,2)="15",LEFT(TH!O264,2)="15")),"x","")</f>
        <v/>
      </c>
      <c r="AE264" s="66" t="str">
        <f>IF(AND(OR(LEFT(TH!N264,2)="15",LEFT(TH!O264,2)="15"),'152-CT'!$J$8=TH!F264),"x","")</f>
        <v/>
      </c>
      <c r="AF264" s="66" t="str">
        <f>IF(AND(OR(LEFT(TH!N264,2)="15",LEFT(TH!O264,2)="15"),'THE KHO'!$E$7=TH!F264),"x","")</f>
        <v/>
      </c>
      <c r="AG264" s="66" t="str">
        <f>IF(AND(N264="1521",MONTH(C264)='BK NL'!$M$11),"x","")</f>
        <v/>
      </c>
      <c r="AI264" s="386">
        <v>1</v>
      </c>
    </row>
    <row r="265" spans="1:35" ht="15.75" hidden="1" customHeight="1">
      <c r="A265" s="397" t="str">
        <f>IF(B265&lt;&gt;"",IF(AND(B265&gt;=_TM1,B265&lt;=_TM2,OR(TH!N265="1111",TH!O265="1111")),TH!D265,""),"")</f>
        <v/>
      </c>
      <c r="B265" s="63">
        <f t="shared" si="35"/>
        <v>4</v>
      </c>
      <c r="C265" s="64">
        <v>42471</v>
      </c>
      <c r="D265" s="64" t="s">
        <v>74</v>
      </c>
      <c r="E265" s="64">
        <f t="shared" si="36"/>
        <v>42471</v>
      </c>
      <c r="F265" s="67" t="s">
        <v>886</v>
      </c>
      <c r="G265" s="375" t="s">
        <v>887</v>
      </c>
      <c r="H265" s="405" t="s">
        <v>888</v>
      </c>
      <c r="I265" s="514"/>
      <c r="J265" s="514"/>
      <c r="K265" s="506"/>
      <c r="L265" s="514"/>
      <c r="M265" s="100">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13"/>
        <v>2</v>
      </c>
      <c r="AD265" s="66" t="str">
        <f>IF(AND(MONTH(E265)='IN-NX'!$J$5,'IN-NX'!$D$7=D265,OR(LEFT(TH!N265,2)="15",LEFT(TH!O265,2)="15")),"x","")</f>
        <v/>
      </c>
      <c r="AE265" s="66" t="str">
        <f>IF(AND(OR(LEFT(TH!N265,2)="15",LEFT(TH!O265,2)="15"),'152-CT'!$J$8=TH!F265),"x","")</f>
        <v/>
      </c>
      <c r="AF265" s="66" t="str">
        <f>IF(AND(OR(LEFT(TH!N265,2)="15",LEFT(TH!O265,2)="15"),'THE KHO'!$E$7=TH!F265),"x","")</f>
        <v/>
      </c>
      <c r="AG265" s="66" t="str">
        <f>IF(AND(N265="1521",MONTH(C265)='BK NL'!$M$11),"x","")</f>
        <v/>
      </c>
      <c r="AI265" s="386">
        <v>1</v>
      </c>
    </row>
    <row r="266" spans="1:35" ht="15.75" hidden="1" customHeight="1">
      <c r="A266" s="397" t="str">
        <f>IF(B266&lt;&gt;"",IF(AND(B266&gt;=_TM1,B266&lt;=_TM2,OR(TH!N266="1111",TH!O266="1111")),TH!D266,""),"")</f>
        <v/>
      </c>
      <c r="B266" s="63">
        <f t="shared" si="35"/>
        <v>4</v>
      </c>
      <c r="C266" s="64">
        <v>42471</v>
      </c>
      <c r="D266" s="64" t="s">
        <v>45</v>
      </c>
      <c r="E266" s="64">
        <v>42471</v>
      </c>
      <c r="F266" s="67" t="s">
        <v>943</v>
      </c>
      <c r="G266" s="500" t="s">
        <v>952</v>
      </c>
      <c r="H266" s="74" t="s">
        <v>222</v>
      </c>
      <c r="I266" s="514"/>
      <c r="J266" s="514"/>
      <c r="K266" s="506"/>
      <c r="L266" s="514"/>
      <c r="M266" s="65">
        <v>46496600</v>
      </c>
      <c r="N266" s="66" t="s">
        <v>136</v>
      </c>
      <c r="O266" s="66" t="s">
        <v>9</v>
      </c>
      <c r="P266" s="66" t="str">
        <f>IF(AND('331-CT'!$E$7=TH!H266,OR(N266="331",O266="331")),"x","")</f>
        <v/>
      </c>
      <c r="Q266" s="66" t="str">
        <f>IF(AND($B266&gt;='111'!$N$11,$B266&lt;='111'!$O$11,OR($N266=$Q$7,$O266=$Q$7)),"x","")</f>
        <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 t="shared" si="13"/>
        <v>2</v>
      </c>
      <c r="AD266" s="66" t="str">
        <f>IF(AND(MONTH(E266)='IN-NX'!$J$5,'IN-NX'!$D$7=D266,OR(LEFT(TH!N266,2)="15",LEFT(TH!O266,2)="15")),"x","")</f>
        <v/>
      </c>
      <c r="AE266" s="66" t="str">
        <f>IF(AND(OR(LEFT(TH!N266,2)="15",LEFT(TH!O266,2)="15"),'152-CT'!$J$8=TH!F266),"x","")</f>
        <v/>
      </c>
      <c r="AF266" s="66" t="str">
        <f>IF(AND(OR(LEFT(TH!N266,2)="15",LEFT(TH!O266,2)="15"),'THE KHO'!$E$7=TH!F266),"x","")</f>
        <v/>
      </c>
      <c r="AG266" s="66" t="str">
        <f>IF(AND(N266="1521",MONTH(C266)='BK NL'!$M$11),"x","")</f>
        <v/>
      </c>
      <c r="AI266" s="386">
        <v>1</v>
      </c>
    </row>
    <row r="267" spans="1:35" ht="15.75" hidden="1" customHeight="1">
      <c r="A267" s="397" t="str">
        <f>IF(B267&lt;&gt;"",IF(AND(B267&gt;=_TM1,B267&lt;=_TM2,OR(TH!N267="1111",TH!O267="1111")),TH!D267,""),"")</f>
        <v/>
      </c>
      <c r="B267" s="63">
        <f t="shared" si="35"/>
        <v>4</v>
      </c>
      <c r="C267" s="64">
        <v>42471</v>
      </c>
      <c r="D267" s="64" t="s">
        <v>45</v>
      </c>
      <c r="E267" s="64">
        <v>42471</v>
      </c>
      <c r="F267" s="67" t="s">
        <v>944</v>
      </c>
      <c r="G267" s="500" t="s">
        <v>952</v>
      </c>
      <c r="H267" s="74" t="s">
        <v>222</v>
      </c>
      <c r="I267" s="514"/>
      <c r="J267" s="514"/>
      <c r="K267" s="506"/>
      <c r="L267" s="514"/>
      <c r="M267" s="100">
        <v>4649660</v>
      </c>
      <c r="N267" s="66" t="s">
        <v>10</v>
      </c>
      <c r="O267" s="66" t="s">
        <v>9</v>
      </c>
      <c r="P267" s="66" t="str">
        <f>IF(AND('331-CT'!$E$7=TH!H267,OR(N267="331",O267="331")),"x","")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 t="shared" si="13"/>
        <v>2</v>
      </c>
      <c r="AD267" s="66" t="str">
        <f>IF(AND(MONTH(E267)='IN-NX'!$J$5,'IN-NX'!$D$7=D267,OR(LEFT(TH!N267,2)="15",LEFT(TH!O267,2)="15")),"x","")</f>
        <v/>
      </c>
      <c r="AE267" s="66" t="str">
        <f>IF(AND(OR(LEFT(TH!N267,2)="15",LEFT(TH!O267,2)="15"),'152-CT'!$J$8=TH!F267),"x","")</f>
        <v/>
      </c>
      <c r="AF267" s="66" t="str">
        <f>IF(AND(OR(LEFT(TH!N267,2)="15",LEFT(TH!O267,2)="15"),'THE KHO'!$E$7=TH!F267),"x","")</f>
        <v/>
      </c>
      <c r="AG267" s="66" t="str">
        <f>IF(AND(N267="1521",MONTH(C267)='BK NL'!$M$11),"x","")</f>
        <v/>
      </c>
      <c r="AI267" s="386">
        <v>1</v>
      </c>
    </row>
    <row r="268" spans="1:35" ht="15.75" hidden="1" customHeight="1">
      <c r="A268" s="397" t="str">
        <f>IF(B268&lt;&gt;"",IF(AND(B268&gt;=_TM1,B268&lt;=_TM2,OR(TH!N268="1111",TH!O268="1111")),TH!D268,""),"")</f>
        <v/>
      </c>
      <c r="B268" s="63">
        <f t="shared" si="35"/>
        <v>4</v>
      </c>
      <c r="C268" s="64">
        <v>42472</v>
      </c>
      <c r="D268" s="64" t="s">
        <v>75</v>
      </c>
      <c r="E268" s="64">
        <f t="shared" ref="E268:E273" si="37">C268</f>
        <v>42472</v>
      </c>
      <c r="F268" s="67" t="s">
        <v>408</v>
      </c>
      <c r="G268" s="375" t="s">
        <v>892</v>
      </c>
      <c r="H268" s="404" t="s">
        <v>327</v>
      </c>
      <c r="I268" s="515"/>
      <c r="J268" s="515"/>
      <c r="K268" s="507"/>
      <c r="L268" s="515"/>
      <c r="M268" s="65">
        <v>1388000</v>
      </c>
      <c r="N268" s="66" t="s">
        <v>243</v>
      </c>
      <c r="O268" s="66" t="s">
        <v>98</v>
      </c>
      <c r="P268" s="66" t="str">
        <f>IF(AND('331-CT'!$E$7=TH!H268,OR(N268="331",O268="331")),"x","")</f>
        <v/>
      </c>
      <c r="Q268" s="66" t="str">
        <f>IF(AND($B268&gt;='111'!$N$11,$B268&lt;='111'!$O$11,OR($N268=$Q$7,$O268=$Q$7)),"x","")</f>
        <v>x</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 t="shared" si="13"/>
        <v>2</v>
      </c>
      <c r="AD268" s="66" t="str">
        <f>IF(AND(MONTH(E268)='IN-NX'!$J$5,'IN-NX'!$D$7=D268,OR(LEFT(TH!N268,2)="15",LEFT(TH!O268,2)="15")),"x","")</f>
        <v/>
      </c>
      <c r="AE268" s="66" t="str">
        <f>IF(AND(OR(LEFT(TH!N268,2)="15",LEFT(TH!O268,2)="15"),'152-CT'!$J$8=TH!F268),"x","")</f>
        <v/>
      </c>
      <c r="AF268" s="66" t="str">
        <f>IF(AND(OR(LEFT(TH!N268,2)="15",LEFT(TH!O268,2)="15"),'THE KHO'!$E$7=TH!F268),"x","")</f>
        <v/>
      </c>
      <c r="AG268" s="66" t="str">
        <f>IF(AND(N268="1521",MONTH(C268)='BK NL'!$M$11),"x","")</f>
        <v/>
      </c>
    </row>
    <row r="269" spans="1:35" ht="15.75" hidden="1" customHeight="1">
      <c r="A269" s="397" t="str">
        <f>IF(B269&lt;&gt;"",IF(AND(B269&gt;=_TM1,B269&lt;=_TM2,OR(TH!N269="1111",TH!O269="1111")),TH!D269,""),"")</f>
        <v/>
      </c>
      <c r="B269" s="63">
        <f t="shared" si="35"/>
        <v>4</v>
      </c>
      <c r="C269" s="64">
        <v>42472</v>
      </c>
      <c r="D269" s="64" t="s">
        <v>794</v>
      </c>
      <c r="E269" s="64">
        <f t="shared" si="37"/>
        <v>42472</v>
      </c>
      <c r="F269" s="67" t="s">
        <v>896</v>
      </c>
      <c r="G269" s="375" t="s">
        <v>899</v>
      </c>
      <c r="H269" s="67" t="s">
        <v>768</v>
      </c>
      <c r="I269" s="514">
        <v>3000</v>
      </c>
      <c r="J269" s="514">
        <v>800</v>
      </c>
      <c r="K269" s="506"/>
      <c r="L269" s="514"/>
      <c r="M269" s="65">
        <f>ROUND(I269*J269,0)</f>
        <v>2400000</v>
      </c>
      <c r="N269" s="66" t="s">
        <v>472</v>
      </c>
      <c r="O269" s="66" t="s">
        <v>9</v>
      </c>
      <c r="P269" s="66" t="str">
        <f>IF(AND('331-CT'!$E$7=TH!H269,OR(N269="331",O269="331")),"x","")</f>
        <v>x</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 t="shared" si="13"/>
        <v>2</v>
      </c>
      <c r="AD269" s="66" t="str">
        <f>IF(AND(MONTH(E269)='IN-NX'!$J$5,'IN-NX'!$D$7=D269,OR(LEFT(TH!N269,2)="15",LEFT(TH!O269,2)="15")),"x","")</f>
        <v/>
      </c>
      <c r="AE269" s="66" t="str">
        <f>IF(AND(OR(LEFT(TH!N269,2)="15",LEFT(TH!O269,2)="15"),'152-CT'!$J$8=TH!F269),"x","")</f>
        <v/>
      </c>
      <c r="AF269" s="66" t="str">
        <f>IF(AND(OR(LEFT(TH!N269,2)="15",LEFT(TH!O269,2)="15"),'THE KHO'!$E$7=TH!F269),"x","")</f>
        <v/>
      </c>
      <c r="AG269" s="66" t="str">
        <f>IF(AND(N269="1521",MONTH(C269)='BK NL'!$M$11),"x","")</f>
        <v/>
      </c>
      <c r="AI269" s="386">
        <v>1</v>
      </c>
    </row>
    <row r="270" spans="1:35" ht="15.75" hidden="1" customHeight="1">
      <c r="A270" s="397" t="str">
        <f>IF(B270&lt;&gt;"",IF(AND(B270&gt;=_TM1,B270&lt;=_TM2,OR(TH!N270="1111",TH!O270="1111")),TH!D270,""),"")</f>
        <v/>
      </c>
      <c r="B270" s="63">
        <f t="shared" si="35"/>
        <v>4</v>
      </c>
      <c r="C270" s="64">
        <v>42472</v>
      </c>
      <c r="D270" s="64" t="s">
        <v>794</v>
      </c>
      <c r="E270" s="64">
        <f t="shared" si="37"/>
        <v>42472</v>
      </c>
      <c r="F270" s="67" t="s">
        <v>897</v>
      </c>
      <c r="G270" s="375" t="s">
        <v>899</v>
      </c>
      <c r="H270" s="67" t="s">
        <v>768</v>
      </c>
      <c r="I270" s="514">
        <v>2000</v>
      </c>
      <c r="J270" s="514">
        <v>900</v>
      </c>
      <c r="K270" s="506"/>
      <c r="L270" s="514"/>
      <c r="M270" s="65">
        <f>ROUND(I270*J270,0)</f>
        <v>1800000</v>
      </c>
      <c r="N270" s="66" t="s">
        <v>472</v>
      </c>
      <c r="O270" s="66" t="s">
        <v>9</v>
      </c>
      <c r="P270" s="66" t="str">
        <f>IF(AND('331-CT'!$E$7=TH!H270,OR(N270="331",O270="331")),"x","")</f>
        <v>x</v>
      </c>
      <c r="Q270" s="66" t="str">
        <f>IF(AND($B270&gt;='111'!$N$11,$B270&lt;='111'!$O$11,OR($N270=$Q$7,$O270=$Q$7)),"x","")</f>
        <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 t="shared" si="13"/>
        <v>2</v>
      </c>
      <c r="AD270" s="66" t="str">
        <f>IF(AND(MONTH(E270)='IN-NX'!$J$5,'IN-NX'!$D$7=D270,OR(LEFT(TH!N270,2)="15",LEFT(TH!O270,2)="15")),"x","")</f>
        <v/>
      </c>
      <c r="AE270" s="66" t="str">
        <f>IF(AND(OR(LEFT(TH!N270,2)="15",LEFT(TH!O270,2)="15"),'152-CT'!$J$8=TH!F270),"x","")</f>
        <v/>
      </c>
      <c r="AF270" s="66" t="str">
        <f>IF(AND(OR(LEFT(TH!N270,2)="15",LEFT(TH!O270,2)="15"),'THE KHO'!$E$7=TH!F270),"x","")</f>
        <v/>
      </c>
      <c r="AG270" s="66" t="str">
        <f>IF(AND(N270="1521",MONTH(C270)='BK NL'!$M$11),"x","")</f>
        <v/>
      </c>
      <c r="AI270" s="386">
        <v>1</v>
      </c>
    </row>
    <row r="271" spans="1:35" ht="15.75" hidden="1" customHeight="1">
      <c r="A271" s="397" t="str">
        <f>IF(B271&lt;&gt;"",IF(AND(B271&gt;=_TM1,B271&lt;=_TM2,OR(TH!N271="1111",TH!O271="1111")),TH!D271,""),"")</f>
        <v/>
      </c>
      <c r="B271" s="63">
        <f t="shared" si="35"/>
        <v>4</v>
      </c>
      <c r="C271" s="64">
        <v>42472</v>
      </c>
      <c r="D271" s="64" t="s">
        <v>794</v>
      </c>
      <c r="E271" s="64">
        <f t="shared" si="37"/>
        <v>42472</v>
      </c>
      <c r="F271" s="67" t="s">
        <v>898</v>
      </c>
      <c r="G271" s="375" t="s">
        <v>899</v>
      </c>
      <c r="H271" s="67" t="s">
        <v>768</v>
      </c>
      <c r="I271" s="517"/>
      <c r="J271" s="517"/>
      <c r="K271" s="509"/>
      <c r="L271" s="517"/>
      <c r="M271" s="100">
        <v>420000</v>
      </c>
      <c r="N271" s="66" t="s">
        <v>10</v>
      </c>
      <c r="O271" s="66" t="s">
        <v>9</v>
      </c>
      <c r="P271" s="66" t="str">
        <f>IF(AND('331-CT'!$E$7=TH!H271,OR(N271="331",O271="331")),"x","")</f>
        <v>x</v>
      </c>
      <c r="Q271" s="66" t="str">
        <f>IF(AND($B271&gt;='111'!$N$11,$B271&lt;='111'!$O$11,OR($N271=$Q$7,$O271=$Q$7)),"x","")</f>
        <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 t="shared" si="13"/>
        <v>2</v>
      </c>
      <c r="AD271" s="66" t="str">
        <f>IF(AND(MONTH(E271)='IN-NX'!$J$5,'IN-NX'!$D$7=D271,OR(LEFT(TH!N271,2)="15",LEFT(TH!O271,2)="15")),"x","")</f>
        <v/>
      </c>
      <c r="AE271" s="66" t="str">
        <f>IF(AND(OR(LEFT(TH!N271,2)="15",LEFT(TH!O271,2)="15"),'152-CT'!$J$8=TH!F271),"x","")</f>
        <v/>
      </c>
      <c r="AF271" s="66" t="str">
        <f>IF(AND(OR(LEFT(TH!N271,2)="15",LEFT(TH!O271,2)="15"),'THE KHO'!$E$7=TH!F271),"x","")</f>
        <v/>
      </c>
      <c r="AG271" s="66" t="str">
        <f>IF(AND(N271="1521",MONTH(C271)='BK NL'!$M$11),"x","")</f>
        <v/>
      </c>
      <c r="AI271" s="386">
        <v>1</v>
      </c>
    </row>
    <row r="272" spans="1:35" s="1048" customFormat="1" ht="15.75" hidden="1" customHeight="1">
      <c r="A272" s="397" t="str">
        <f>IF(B272&lt;&gt;"",IF(AND(B272&gt;=_TM1,B272&lt;=_TM2,OR(TH!N272="1111",TH!O272="1111")),TH!D272,""),"")</f>
        <v/>
      </c>
      <c r="B272" s="63">
        <f t="shared" si="35"/>
        <v>4</v>
      </c>
      <c r="C272" s="64">
        <v>42474</v>
      </c>
      <c r="D272" s="64" t="s">
        <v>76</v>
      </c>
      <c r="E272" s="64">
        <f t="shared" si="37"/>
        <v>42474</v>
      </c>
      <c r="F272" s="67" t="s">
        <v>889</v>
      </c>
      <c r="G272" s="375" t="s">
        <v>890</v>
      </c>
      <c r="H272" s="74" t="s">
        <v>891</v>
      </c>
      <c r="I272" s="514"/>
      <c r="J272" s="514"/>
      <c r="K272" s="506"/>
      <c r="L272" s="514"/>
      <c r="M272" s="65">
        <v>50000</v>
      </c>
      <c r="N272" s="66" t="s">
        <v>136</v>
      </c>
      <c r="O272" s="66" t="s">
        <v>98</v>
      </c>
      <c r="P272" s="66" t="str">
        <f>IF(AND('331-CT'!$E$7=TH!H272,OR(N272="331",O272="331")),"x","")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 t="shared" si="13"/>
        <v>2</v>
      </c>
      <c r="AD272" s="66" t="str">
        <f>IF(AND(MONTH(E272)='IN-NX'!$J$5,'IN-NX'!$D$7=D272,OR(LEFT(TH!N272,2)="15",LEFT(TH!O272,2)="15")),"x","")</f>
        <v/>
      </c>
      <c r="AE272" s="66" t="str">
        <f>IF(AND(OR(LEFT(TH!N272,2)="15",LEFT(TH!O272,2)="15"),'152-CT'!$J$8=TH!F272),"x","")</f>
        <v/>
      </c>
      <c r="AF272" s="66" t="str">
        <f>IF(AND(OR(LEFT(TH!N272,2)="15",LEFT(TH!O272,2)="15"),'THE KHO'!$E$7=TH!F272),"x","")</f>
        <v/>
      </c>
      <c r="AG272" s="66" t="str">
        <f>IF(AND(N272="1521",MONTH(C272)='BK NL'!$M$11),"x","")</f>
        <v/>
      </c>
      <c r="AH272" s="386"/>
      <c r="AI272" s="386"/>
    </row>
    <row r="273" spans="1:35" s="1048" customFormat="1" ht="15.75" hidden="1" customHeight="1">
      <c r="A273" s="397" t="str">
        <f>IF(B273&lt;&gt;"",IF(AND(B273&gt;=_TM1,B273&lt;=_TM2,OR(TH!N273="1111",TH!O273="1111")),TH!D273,""),"")</f>
        <v/>
      </c>
      <c r="B273" s="63">
        <f t="shared" si="35"/>
        <v>4</v>
      </c>
      <c r="C273" s="64">
        <v>42474</v>
      </c>
      <c r="D273" s="64" t="s">
        <v>77</v>
      </c>
      <c r="E273" s="64">
        <f t="shared" si="37"/>
        <v>42474</v>
      </c>
      <c r="F273" s="67" t="s">
        <v>893</v>
      </c>
      <c r="G273" s="375" t="s">
        <v>894</v>
      </c>
      <c r="H273" s="405" t="s">
        <v>895</v>
      </c>
      <c r="I273" s="517"/>
      <c r="J273" s="517"/>
      <c r="K273" s="509"/>
      <c r="L273" s="517"/>
      <c r="M273" s="65">
        <v>2220000</v>
      </c>
      <c r="N273" s="66" t="s">
        <v>243</v>
      </c>
      <c r="O273" s="66" t="s">
        <v>98</v>
      </c>
      <c r="P273" s="66" t="str">
        <f>IF(AND('331-CT'!$E$7=TH!H273,OR(N273="331",O273="331")),"x","")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 t="shared" si="13"/>
        <v>2</v>
      </c>
      <c r="AD273" s="66" t="str">
        <f>IF(AND(MONTH(E273)='IN-NX'!$J$5,'IN-NX'!$D$7=D273,OR(LEFT(TH!N273,2)="15",LEFT(TH!O273,2)="15")),"x","")</f>
        <v/>
      </c>
      <c r="AE273" s="66" t="str">
        <f>IF(AND(OR(LEFT(TH!N273,2)="15",LEFT(TH!O273,2)="15"),'152-CT'!$J$8=TH!F273),"x","")</f>
        <v/>
      </c>
      <c r="AF273" s="66" t="str">
        <f>IF(AND(OR(LEFT(TH!N273,2)="15",LEFT(TH!O273,2)="15"),'THE KHO'!$E$7=TH!F273),"x","")</f>
        <v/>
      </c>
      <c r="AG273" s="66" t="str">
        <f>IF(AND(N273="1521",MONTH(C273)='BK NL'!$M$11),"x","")</f>
        <v/>
      </c>
      <c r="AH273" s="386"/>
      <c r="AI273" s="386"/>
    </row>
    <row r="274" spans="1:35" ht="15.75" hidden="1" customHeight="1">
      <c r="A274" s="397" t="str">
        <f>IF(B274&lt;&gt;"",IF(AND(B274&gt;=_TM1,B274&lt;=_TM2,OR(TH!N274="1111",TH!O274="1111")),TH!D274,""),"")</f>
        <v/>
      </c>
      <c r="B274" s="63">
        <f t="shared" si="35"/>
        <v>4</v>
      </c>
      <c r="C274" s="64">
        <f t="shared" ref="C274:C303" si="38">E274</f>
        <v>42480</v>
      </c>
      <c r="D274" s="64" t="s">
        <v>78</v>
      </c>
      <c r="E274" s="64">
        <v>42480</v>
      </c>
      <c r="F274" s="67" t="s">
        <v>909</v>
      </c>
      <c r="G274" s="375" t="s">
        <v>903</v>
      </c>
      <c r="H274" s="74" t="s">
        <v>162</v>
      </c>
      <c r="I274" s="515"/>
      <c r="J274" s="515"/>
      <c r="K274" s="507"/>
      <c r="L274" s="515"/>
      <c r="M274" s="65">
        <f>65000+210000+130634+219164</f>
        <v>624798</v>
      </c>
      <c r="N274" s="66" t="s">
        <v>136</v>
      </c>
      <c r="O274" s="66" t="s">
        <v>98</v>
      </c>
      <c r="P274" s="66" t="str">
        <f>IF(AND('331-CT'!$E$7=TH!H274,OR(N274="331",O274="331")),"x","")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 t="shared" ref="AC274:AC337" si="39">IF(AND(1&lt;=$B274,$B274&lt;=3),"1",IF(AND(4&lt;=$B274,$B274&lt;=6),"2",IF(AND(7&lt;=$B274,$B274&lt;=9),"3",IF(AND(10&lt;=$B274,$B274&lt;=12),"4",""))))</f>
        <v>2</v>
      </c>
      <c r="AD274" s="66" t="str">
        <f>IF(AND(MONTH(E274)='IN-NX'!$J$5,'IN-NX'!$D$7=D274,OR(LEFT(TH!N274,2)="15",LEFT(TH!O274,2)="15")),"x","")</f>
        <v/>
      </c>
      <c r="AE274" s="66" t="str">
        <f>IF(AND(OR(LEFT(TH!N274,2)="15",LEFT(TH!O274,2)="15"),'152-CT'!$J$8=TH!F274),"x","")</f>
        <v/>
      </c>
      <c r="AF274" s="66" t="str">
        <f>IF(AND(OR(LEFT(TH!N274,2)="15",LEFT(TH!O274,2)="15"),'THE KHO'!$E$7=TH!F274),"x","")</f>
        <v/>
      </c>
      <c r="AG274" s="66" t="str">
        <f>IF(AND(N274="1521",MONTH(C274)='BK NL'!$M$11),"x","")</f>
        <v/>
      </c>
      <c r="AH274" s="1048"/>
      <c r="AI274" s="1048">
        <v>1</v>
      </c>
    </row>
    <row r="275" spans="1:35" ht="15.75" hidden="1" customHeight="1">
      <c r="A275" s="397" t="str">
        <f>IF(B275&lt;&gt;"",IF(AND(B275&gt;=_TM1,B275&lt;=_TM2,OR(TH!N275="1111",TH!O275="1111")),TH!D275,""),"")</f>
        <v/>
      </c>
      <c r="B275" s="63">
        <f t="shared" si="35"/>
        <v>4</v>
      </c>
      <c r="C275" s="64">
        <f t="shared" si="38"/>
        <v>42480</v>
      </c>
      <c r="D275" s="64" t="s">
        <v>78</v>
      </c>
      <c r="E275" s="64">
        <v>42480</v>
      </c>
      <c r="F275" s="67" t="s">
        <v>910</v>
      </c>
      <c r="G275" s="375" t="s">
        <v>903</v>
      </c>
      <c r="H275" s="74" t="s">
        <v>162</v>
      </c>
      <c r="I275" s="514"/>
      <c r="J275" s="514"/>
      <c r="K275" s="506"/>
      <c r="L275" s="514"/>
      <c r="M275" s="100">
        <f>6500+21000+13063+21916</f>
        <v>62479</v>
      </c>
      <c r="N275" s="66" t="s">
        <v>10</v>
      </c>
      <c r="O275" s="66" t="s">
        <v>98</v>
      </c>
      <c r="P275" s="66" t="str">
        <f>IF(AND('331-CT'!$E$7=TH!H275,OR(N275="331",O275="331")),"x","")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 t="shared" si="39"/>
        <v>2</v>
      </c>
      <c r="AD275" s="66" t="str">
        <f>IF(AND(MONTH(E275)='IN-NX'!$J$5,'IN-NX'!$D$7=D275,OR(LEFT(TH!N275,2)="15",LEFT(TH!O275,2)="15")),"x","")</f>
        <v/>
      </c>
      <c r="AE275" s="66" t="str">
        <f>IF(AND(OR(LEFT(TH!N275,2)="15",LEFT(TH!O275,2)="15"),'152-CT'!$J$8=TH!F275),"x","")</f>
        <v/>
      </c>
      <c r="AF275" s="66" t="str">
        <f>IF(AND(OR(LEFT(TH!N275,2)="15",LEFT(TH!O275,2)="15"),'THE KHO'!$E$7=TH!F275),"x","")</f>
        <v/>
      </c>
      <c r="AG275" s="66" t="str">
        <f>IF(AND(N275="1521",MONTH(C275)='BK NL'!$M$11),"x","")</f>
        <v/>
      </c>
      <c r="AH275" s="1048"/>
      <c r="AI275" s="1048">
        <v>1</v>
      </c>
    </row>
    <row r="276" spans="1:35" ht="15.75" hidden="1" customHeight="1">
      <c r="A276" s="397" t="str">
        <f>IF(B276&lt;&gt;"",IF(AND(B276&gt;=_TM1,B276&lt;=_TM2,OR(TH!N276="1111",TH!O276="1111")),TH!D276,""),"")</f>
        <v/>
      </c>
      <c r="B276" s="63">
        <f t="shared" ref="B276:B307" si="40">IF(C276&lt;&gt;"",MONTH(C276),"")</f>
        <v>4</v>
      </c>
      <c r="C276" s="64">
        <f t="shared" si="38"/>
        <v>42480</v>
      </c>
      <c r="D276" s="64" t="s">
        <v>79</v>
      </c>
      <c r="E276" s="64">
        <v>42480</v>
      </c>
      <c r="F276" s="67" t="s">
        <v>810</v>
      </c>
      <c r="G276" s="375" t="s">
        <v>904</v>
      </c>
      <c r="H276" s="7" t="s">
        <v>50</v>
      </c>
      <c r="I276" s="514"/>
      <c r="J276" s="514"/>
      <c r="K276" s="506"/>
      <c r="L276" s="514"/>
      <c r="M276" s="65">
        <v>6523636</v>
      </c>
      <c r="N276" s="66" t="s">
        <v>136</v>
      </c>
      <c r="O276" s="66" t="s">
        <v>98</v>
      </c>
      <c r="P276" s="66" t="str">
        <f>IF(AND('331-CT'!$E$7=TH!H276,OR(N276="331",O276="331")),"x","")</f>
        <v/>
      </c>
      <c r="Q276" s="66" t="str">
        <f>IF(AND($B276&gt;='111'!$N$11,$B276&lt;='111'!$O$11,OR($N276=$Q$7,$O276=$Q$7)),"x","")</f>
        <v>x</v>
      </c>
      <c r="R276" s="66" t="str">
        <f>IF(AND($N276=$Q$7,$B276&lt;'111'!$N$11),"x","")</f>
        <v/>
      </c>
      <c r="S276" s="66" t="str">
        <f>IF(AND($O276=$Q$7,$B276&lt;'111'!$N$11),"x","")</f>
        <v/>
      </c>
      <c r="T276" s="66" t="str">
        <f>IF(AND($B276&gt;='112'!$M$9,$B276&lt;='112'!$N$9,OR($N276='112'!$I$6,$O276='112'!$I$6)),"x","")</f>
        <v/>
      </c>
      <c r="U276" s="66" t="str">
        <f>IF(AND($N276='112'!$I$6,$B276&lt;'112'!$M$9),"x","")</f>
        <v/>
      </c>
      <c r="V276" s="66" t="str">
        <f>IF(AND($O276='112'!$I$6,$B276&lt;'112'!$M$9),"x","")</f>
        <v/>
      </c>
      <c r="W276" s="66" t="str">
        <f>IF(AND('131-CT'!$H$9=TH!H276,OR(N276="131",O276="131")),"x","")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IF(OR(TH!N276=TH!$AB$7,O276=TH!$AB$7),"x","")</f>
        <v/>
      </c>
      <c r="AC276" s="66" t="str">
        <f t="shared" si="39"/>
        <v>2</v>
      </c>
      <c r="AD276" s="66" t="str">
        <f>IF(AND(MONTH(E276)='IN-NX'!$J$5,'IN-NX'!$D$7=D276,OR(LEFT(TH!N276,2)="15",LEFT(TH!O276,2)="15")),"x","")</f>
        <v/>
      </c>
      <c r="AE276" s="66" t="str">
        <f>IF(AND(OR(LEFT(TH!N276,2)="15",LEFT(TH!O276,2)="15"),'152-CT'!$J$8=TH!F276),"x","")</f>
        <v/>
      </c>
      <c r="AF276" s="66" t="str">
        <f>IF(AND(OR(LEFT(TH!N276,2)="15",LEFT(TH!O276,2)="15"),'THE KHO'!$E$7=TH!F276),"x","")</f>
        <v/>
      </c>
      <c r="AG276" s="66" t="str">
        <f>IF(AND(N276="1521",MONTH(C276)='BK NL'!$M$11),"x","")</f>
        <v/>
      </c>
      <c r="AI276" s="1048">
        <v>1</v>
      </c>
    </row>
    <row r="277" spans="1:35" ht="15.75" hidden="1" customHeight="1">
      <c r="A277" s="397" t="str">
        <f>IF(B277&lt;&gt;"",IF(AND(B277&gt;=_TM1,B277&lt;=_TM2,OR(TH!N277="1111",TH!O277="1111")),TH!D277,""),"")</f>
        <v/>
      </c>
      <c r="B277" s="63">
        <f t="shared" si="40"/>
        <v>4</v>
      </c>
      <c r="C277" s="64">
        <f t="shared" si="38"/>
        <v>42480</v>
      </c>
      <c r="D277" s="64" t="s">
        <v>79</v>
      </c>
      <c r="E277" s="64">
        <v>42480</v>
      </c>
      <c r="F277" s="67" t="s">
        <v>812</v>
      </c>
      <c r="G277" s="375" t="s">
        <v>904</v>
      </c>
      <c r="H277" s="7" t="s">
        <v>50</v>
      </c>
      <c r="I277" s="514"/>
      <c r="J277" s="514"/>
      <c r="K277" s="506"/>
      <c r="L277" s="514"/>
      <c r="M277" s="100">
        <v>652364</v>
      </c>
      <c r="N277" s="66" t="s">
        <v>10</v>
      </c>
      <c r="O277" s="66" t="s">
        <v>98</v>
      </c>
      <c r="P277" s="66" t="str">
        <f>IF(AND('331-CT'!$E$7=TH!H277,OR(N277="331",O277="331")),"x","")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IF(AND('131-CT'!$H$9=TH!H277,OR(N277="131",O277="131")),"x","")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IF(OR(TH!N277=TH!$AB$7,O277=TH!$AB$7),"x","")</f>
        <v/>
      </c>
      <c r="AC277" s="66" t="str">
        <f t="shared" si="39"/>
        <v>2</v>
      </c>
      <c r="AD277" s="66" t="str">
        <f>IF(AND(MONTH(E277)='IN-NX'!$J$5,'IN-NX'!$D$7=D277,OR(LEFT(TH!N277,2)="15",LEFT(TH!O277,2)="15")),"x","")</f>
        <v/>
      </c>
      <c r="AE277" s="66" t="str">
        <f>IF(AND(OR(LEFT(TH!N277,2)="15",LEFT(TH!O277,2)="15"),'152-CT'!$J$8=TH!F277),"x","")</f>
        <v/>
      </c>
      <c r="AF277" s="66" t="str">
        <f>IF(AND(OR(LEFT(TH!N277,2)="15",LEFT(TH!O277,2)="15"),'THE KHO'!$E$7=TH!F277),"x","")</f>
        <v/>
      </c>
      <c r="AG277" s="66" t="str">
        <f>IF(AND(N277="1521",MONTH(C277)='BK NL'!$M$11),"x","")</f>
        <v/>
      </c>
      <c r="AI277" s="1048">
        <v>1</v>
      </c>
    </row>
    <row r="278" spans="1:35" ht="15.75" hidden="1" customHeight="1">
      <c r="A278" s="397" t="str">
        <f>IF(B278&lt;&gt;"",IF(AND(B278&gt;=_TM1,B278&lt;=_TM2,OR(TH!N278="1111",TH!O278="1111")),TH!D278,""),"")</f>
        <v/>
      </c>
      <c r="B278" s="63">
        <f t="shared" si="40"/>
        <v>4</v>
      </c>
      <c r="C278" s="64">
        <f t="shared" si="38"/>
        <v>42481</v>
      </c>
      <c r="D278" s="64" t="s">
        <v>12</v>
      </c>
      <c r="E278" s="64">
        <v>42481</v>
      </c>
      <c r="F278" s="67" t="s">
        <v>798</v>
      </c>
      <c r="G278" s="361" t="s">
        <v>808</v>
      </c>
      <c r="H278" s="74" t="s">
        <v>439</v>
      </c>
      <c r="I278" s="514"/>
      <c r="J278" s="514"/>
      <c r="K278" s="506"/>
      <c r="L278" s="514"/>
      <c r="M278" s="65">
        <v>40000000</v>
      </c>
      <c r="N278" s="66" t="s">
        <v>31</v>
      </c>
      <c r="O278" s="66" t="s">
        <v>107</v>
      </c>
      <c r="P278" s="66" t="str">
        <f>IF(AND('331-CT'!$E$7=TH!H278,OR(N278="331",O278="331")),"x","")</f>
        <v/>
      </c>
      <c r="Q278" s="66" t="str">
        <f>IF(AND($B278&gt;='111'!$N$11,$B278&lt;='111'!$O$11,OR($N278=$Q$7,$O278=$Q$7)),"x","")</f>
        <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IF(AND('131-CT'!$H$9=TH!H278,OR(N278="131",O278="131")),"x","")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IF(OR(TH!N278=TH!$AB$7,O278=TH!$AB$7),"x","")</f>
        <v>x</v>
      </c>
      <c r="AC278" s="66" t="str">
        <f t="shared" si="39"/>
        <v>2</v>
      </c>
      <c r="AD278" s="66" t="str">
        <f>IF(AND(MONTH(E278)='IN-NX'!$J$5,'IN-NX'!$D$7=D278,OR(LEFT(TH!N278,2)="15",LEFT(TH!O278,2)="15")),"x","")</f>
        <v/>
      </c>
      <c r="AE278" s="66" t="str">
        <f>IF(AND(OR(LEFT(TH!N278,2)="15",LEFT(TH!O278,2)="15"),'152-CT'!$J$8=TH!F278),"x","")</f>
        <v/>
      </c>
      <c r="AF278" s="66" t="str">
        <f>IF(AND(OR(LEFT(TH!N278,2)="15",LEFT(TH!O278,2)="15"),'THE KHO'!$E$7=TH!F278),"x","")</f>
        <v/>
      </c>
      <c r="AG278" s="66" t="str">
        <f>IF(AND(N278="1521",MONTH(C278)='BK NL'!$M$11),"x","")</f>
        <v/>
      </c>
    </row>
    <row r="279" spans="1:35" ht="15.75" hidden="1" customHeight="1">
      <c r="A279" s="397" t="str">
        <f>IF(B279&lt;&gt;"",IF(AND(B279&gt;=_TM1,B279&lt;=_TM2,OR(TH!N279="1111",TH!O279="1111")),TH!D279,""),"")</f>
        <v/>
      </c>
      <c r="B279" s="63">
        <f t="shared" si="40"/>
        <v>4</v>
      </c>
      <c r="C279" s="64">
        <f t="shared" si="38"/>
        <v>42481</v>
      </c>
      <c r="D279" s="64" t="s">
        <v>80</v>
      </c>
      <c r="E279" s="64">
        <v>42481</v>
      </c>
      <c r="F279" s="67" t="s">
        <v>447</v>
      </c>
      <c r="G279" s="361" t="s">
        <v>808</v>
      </c>
      <c r="H279" s="74" t="s">
        <v>439</v>
      </c>
      <c r="I279" s="514"/>
      <c r="J279" s="514"/>
      <c r="K279" s="506"/>
      <c r="L279" s="514"/>
      <c r="M279" s="65">
        <v>40000000</v>
      </c>
      <c r="N279" s="66" t="s">
        <v>107</v>
      </c>
      <c r="O279" s="66" t="s">
        <v>98</v>
      </c>
      <c r="P279" s="66" t="str">
        <f>IF(AND('331-CT'!$E$7=TH!H279,OR(N279="331",O279="331")),"x","")</f>
        <v/>
      </c>
      <c r="Q279" s="66" t="str">
        <f>IF(AND($B279&gt;='111'!$N$11,$B279&lt;='111'!$O$11,OR($N279=$Q$7,$O279=$Q$7)),"x","")</f>
        <v>x</v>
      </c>
      <c r="R279" s="66" t="str">
        <f>IF(AND($N279=$Q$7,$B279&lt;'111'!$N$11),"x","")</f>
        <v/>
      </c>
      <c r="S279" s="66" t="str">
        <f>IF(AND($O279=$Q$7,$B279&lt;'111'!$N$11),"x","")</f>
        <v/>
      </c>
      <c r="T279" s="66" t="str">
        <f>IF(AND($B279&gt;='112'!$M$9,$B279&lt;='112'!$N$9,OR($N279='112'!$I$6,$O279='112'!$I$6)),"x","")</f>
        <v/>
      </c>
      <c r="U279" s="66" t="str">
        <f>IF(AND($N279='112'!$I$6,$B279&lt;'112'!$M$9),"x","")</f>
        <v/>
      </c>
      <c r="V279" s="66" t="str">
        <f>IF(AND($O279='112'!$I$6,$B279&lt;'112'!$M$9),"x","")</f>
        <v/>
      </c>
      <c r="W279" s="66" t="str">
        <f>IF(AND('131-CT'!$H$9=TH!H279,OR(N279="131",O279="131")),"x","")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IF(OR(TH!N279=TH!$AB$7,O279=TH!$AB$7),"x","")</f>
        <v>x</v>
      </c>
      <c r="AC279" s="66" t="str">
        <f t="shared" si="39"/>
        <v>2</v>
      </c>
      <c r="AD279" s="66" t="str">
        <f>IF(AND(MONTH(E279)='IN-NX'!$J$5,'IN-NX'!$D$7=D279,OR(LEFT(TH!N279,2)="15",LEFT(TH!O279,2)="15")),"x","")</f>
        <v/>
      </c>
      <c r="AE279" s="66" t="str">
        <f>IF(AND(OR(LEFT(TH!N279,2)="15",LEFT(TH!O279,2)="15"),'152-CT'!$J$8=TH!F279),"x","")</f>
        <v/>
      </c>
      <c r="AF279" s="66" t="str">
        <f>IF(AND(OR(LEFT(TH!N279,2)="15",LEFT(TH!O279,2)="15"),'THE KHO'!$E$7=TH!F279),"x","")</f>
        <v/>
      </c>
      <c r="AG279" s="66" t="str">
        <f>IF(AND(N279="1521",MONTH(C279)='BK NL'!$M$11),"x","")</f>
        <v/>
      </c>
    </row>
    <row r="280" spans="1:35" ht="15.75" hidden="1" customHeight="1">
      <c r="A280" s="397" t="str">
        <f>IF(B280&lt;&gt;"",IF(AND(B280&gt;=_TM1,B280&lt;=_TM2,OR(TH!N280="1111",TH!O280="1111")),TH!D280,""),"")</f>
        <v/>
      </c>
      <c r="B280" s="63">
        <f t="shared" si="40"/>
        <v>4</v>
      </c>
      <c r="C280" s="64">
        <f t="shared" si="38"/>
        <v>42481</v>
      </c>
      <c r="D280" s="64" t="s">
        <v>81</v>
      </c>
      <c r="E280" s="64">
        <v>42481</v>
      </c>
      <c r="F280" s="67" t="s">
        <v>419</v>
      </c>
      <c r="G280" s="361" t="s">
        <v>808</v>
      </c>
      <c r="H280" s="74" t="s">
        <v>161</v>
      </c>
      <c r="I280" s="514"/>
      <c r="J280" s="514"/>
      <c r="K280" s="506"/>
      <c r="L280" s="514"/>
      <c r="M280" s="65">
        <v>130000000</v>
      </c>
      <c r="N280" s="66" t="s">
        <v>31</v>
      </c>
      <c r="O280" s="66" t="s">
        <v>98</v>
      </c>
      <c r="P280" s="66" t="str">
        <f>IF(AND('331-CT'!$E$7=TH!H280,OR(N280="331",O280="331")),"x","")</f>
        <v/>
      </c>
      <c r="Q280" s="66" t="str">
        <f>IF(AND($B280&gt;='111'!$N$11,$B280&lt;='111'!$O$11,OR($N280=$Q$7,$O280=$Q$7)),"x","")</f>
        <v>x</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IF(AND('131-CT'!$H$9=TH!H280,OR(N280="131",O280="131")),"x","")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IF(OR(TH!N280=TH!$AB$7,O280=TH!$AB$7),"x","")</f>
        <v/>
      </c>
      <c r="AC280" s="66" t="str">
        <f t="shared" si="39"/>
        <v>2</v>
      </c>
      <c r="AD280" s="66" t="str">
        <f>IF(AND(MONTH(E280)='IN-NX'!$J$5,'IN-NX'!$D$7=D280,OR(LEFT(TH!N280,2)="15",LEFT(TH!O280,2)="15")),"x","")</f>
        <v/>
      </c>
      <c r="AE280" s="66" t="str">
        <f>IF(AND(OR(LEFT(TH!N280,2)="15",LEFT(TH!O280,2)="15"),'152-CT'!$J$8=TH!F280),"x","")</f>
        <v/>
      </c>
      <c r="AF280" s="66" t="str">
        <f>IF(AND(OR(LEFT(TH!N280,2)="15",LEFT(TH!O280,2)="15"),'THE KHO'!$E$7=TH!F280),"x","")</f>
        <v/>
      </c>
      <c r="AG280" s="66" t="str">
        <f>IF(AND(N280="1521",MONTH(C280)='BK NL'!$M$11),"x","")</f>
        <v/>
      </c>
    </row>
    <row r="281" spans="1:35" ht="15.75" hidden="1" customHeight="1">
      <c r="A281" s="397" t="str">
        <f>IF(B281&lt;&gt;"",IF(AND(B281&gt;=_TM1,B281&lt;=_TM2,OR(TH!N281="1111",TH!O281="1111")),TH!D281,""),"")</f>
        <v/>
      </c>
      <c r="B281" s="63">
        <f t="shared" si="40"/>
        <v>4</v>
      </c>
      <c r="C281" s="64">
        <f t="shared" si="38"/>
        <v>42481</v>
      </c>
      <c r="D281" s="64" t="s">
        <v>81</v>
      </c>
      <c r="E281" s="64">
        <v>42481</v>
      </c>
      <c r="F281" s="67" t="s">
        <v>419</v>
      </c>
      <c r="G281" s="361" t="s">
        <v>808</v>
      </c>
      <c r="H281" s="74" t="s">
        <v>161</v>
      </c>
      <c r="I281" s="514"/>
      <c r="J281" s="514"/>
      <c r="K281" s="506"/>
      <c r="L281" s="514"/>
      <c r="M281" s="65">
        <v>60000000</v>
      </c>
      <c r="N281" s="66" t="s">
        <v>31</v>
      </c>
      <c r="O281" s="66" t="s">
        <v>98</v>
      </c>
      <c r="P281" s="66" t="str">
        <f>IF(AND('331-CT'!$E$7=TH!H281,OR(N281="331",O281="331")),"x","")</f>
        <v/>
      </c>
      <c r="Q281" s="66" t="str">
        <f>IF(AND($B281&gt;='111'!$N$11,$B281&lt;='111'!$O$11,OR($N281=$Q$7,$O281=$Q$7)),"x","")</f>
        <v>x</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IF(AND('131-CT'!$H$9=TH!H281,OR(N281="131",O281="131")),"x","")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IF(OR(TH!N281=TH!$AB$7,O281=TH!$AB$7),"x","")</f>
        <v/>
      </c>
      <c r="AC281" s="66" t="str">
        <f t="shared" si="39"/>
        <v>2</v>
      </c>
      <c r="AD281" s="66" t="str">
        <f>IF(AND(MONTH(E281)='IN-NX'!$J$5,'IN-NX'!$D$7=D281,OR(LEFT(TH!N281,2)="15",LEFT(TH!O281,2)="15")),"x","")</f>
        <v/>
      </c>
      <c r="AE281" s="66" t="str">
        <f>IF(AND(OR(LEFT(TH!N281,2)="15",LEFT(TH!O281,2)="15"),'152-CT'!$J$8=TH!F281),"x","")</f>
        <v/>
      </c>
      <c r="AF281" s="66" t="str">
        <f>IF(AND(OR(LEFT(TH!N281,2)="15",LEFT(TH!O281,2)="15"),'THE KHO'!$E$7=TH!F281),"x","")</f>
        <v/>
      </c>
      <c r="AG281" s="66" t="str">
        <f>IF(AND(N281="1521",MONTH(C281)='BK NL'!$M$11),"x","")</f>
        <v/>
      </c>
    </row>
    <row r="282" spans="1:35" ht="15.75" hidden="1" customHeight="1">
      <c r="A282" s="397" t="str">
        <f>IF(B282&lt;&gt;"",IF(AND(B282&gt;=_TM1,B282&lt;=_TM2,OR(TH!N282="1111",TH!O282="1111")),TH!D282,""),"")</f>
        <v/>
      </c>
      <c r="B282" s="63">
        <f t="shared" si="40"/>
        <v>4</v>
      </c>
      <c r="C282" s="64">
        <f t="shared" si="38"/>
        <v>42481</v>
      </c>
      <c r="D282" s="64" t="s">
        <v>8</v>
      </c>
      <c r="E282" s="64">
        <v>42481</v>
      </c>
      <c r="F282" s="67" t="s">
        <v>414</v>
      </c>
      <c r="G282" s="361" t="s">
        <v>808</v>
      </c>
      <c r="H282" s="74" t="s">
        <v>167</v>
      </c>
      <c r="I282" s="514"/>
      <c r="J282" s="514"/>
      <c r="K282" s="506"/>
      <c r="L282" s="514"/>
      <c r="M282" s="65">
        <v>8187032</v>
      </c>
      <c r="N282" s="66" t="s">
        <v>134</v>
      </c>
      <c r="O282" s="66" t="s">
        <v>31</v>
      </c>
      <c r="P282" s="66" t="str">
        <f>IF(AND('331-CT'!$E$7=TH!H282,OR(N282="331",O282="331")),"x","")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IF(AND('131-CT'!$H$9=TH!H282,OR(N282="131",O282="131")),"x","")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IF(OR(TH!N282=TH!$AB$7,O282=TH!$AB$7),"x","")</f>
        <v/>
      </c>
      <c r="AC282" s="66" t="str">
        <f t="shared" si="39"/>
        <v>2</v>
      </c>
      <c r="AD282" s="66" t="str">
        <f>IF(AND(MONTH(E282)='IN-NX'!$J$5,'IN-NX'!$D$7=D282,OR(LEFT(TH!N282,2)="15",LEFT(TH!O282,2)="15")),"x","")</f>
        <v/>
      </c>
      <c r="AE282" s="66" t="str">
        <f>IF(AND(OR(LEFT(TH!N282,2)="15",LEFT(TH!O282,2)="15"),'152-CT'!$J$8=TH!F282),"x","")</f>
        <v/>
      </c>
      <c r="AF282" s="66" t="str">
        <f>IF(AND(OR(LEFT(TH!N282,2)="15",LEFT(TH!O282,2)="15"),'THE KHO'!$E$7=TH!F282),"x","")</f>
        <v/>
      </c>
      <c r="AG282" s="66" t="str">
        <f>IF(AND(N282="1521",MONTH(C282)='BK NL'!$M$11),"x","")</f>
        <v/>
      </c>
    </row>
    <row r="283" spans="1:35" ht="15.75" hidden="1" customHeight="1">
      <c r="A283" s="397" t="str">
        <f>IF(B283&lt;&gt;"",IF(AND(B283&gt;=_TM1,B283&lt;=_TM2,OR(TH!N283="1111",TH!O283="1111")),TH!D283,""),"")</f>
        <v/>
      </c>
      <c r="B283" s="81">
        <f t="shared" si="40"/>
        <v>4</v>
      </c>
      <c r="C283" s="64">
        <f t="shared" si="38"/>
        <v>42481</v>
      </c>
      <c r="D283" s="64" t="s">
        <v>8</v>
      </c>
      <c r="E283" s="64">
        <v>42481</v>
      </c>
      <c r="F283" s="67" t="s">
        <v>414</v>
      </c>
      <c r="G283" s="361" t="s">
        <v>808</v>
      </c>
      <c r="H283" s="74" t="s">
        <v>168</v>
      </c>
      <c r="I283" s="512"/>
      <c r="J283" s="512"/>
      <c r="K283" s="504"/>
      <c r="L283" s="512"/>
      <c r="M283" s="65">
        <v>16374064</v>
      </c>
      <c r="N283" s="66" t="s">
        <v>134</v>
      </c>
      <c r="O283" s="66" t="s">
        <v>31</v>
      </c>
      <c r="P283" s="66" t="str">
        <f>IF(AND('331-CT'!$E$7=TH!H283,OR(N283="331",O283="331")),"x","")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IF(AND('131-CT'!$H$9=TH!H283,OR(N283="131",O283="131")),"x","")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IF(OR(TH!N283=TH!$AB$7,O283=TH!$AB$7),"x","")</f>
        <v/>
      </c>
      <c r="AC283" s="66" t="str">
        <f t="shared" si="39"/>
        <v>2</v>
      </c>
      <c r="AD283" s="66" t="str">
        <f>IF(AND(MONTH(E283)='IN-NX'!$J$5,'IN-NX'!$D$7=D283,OR(LEFT(TH!N283,2)="15",LEFT(TH!O283,2)="15")),"x","")</f>
        <v/>
      </c>
      <c r="AE283" s="66" t="str">
        <f>IF(AND(OR(LEFT(TH!N283,2)="15",LEFT(TH!O283,2)="15"),'152-CT'!$J$8=TH!F283),"x","")</f>
        <v/>
      </c>
      <c r="AF283" s="66" t="str">
        <f>IF(AND(OR(LEFT(TH!N283,2)="15",LEFT(TH!O283,2)="15"),'THE KHO'!$E$7=TH!F283),"x","")</f>
        <v/>
      </c>
      <c r="AG283" s="66" t="str">
        <f>IF(AND(N283="1521",MONTH(C283)='BK NL'!$M$11),"x","")</f>
        <v/>
      </c>
    </row>
    <row r="284" spans="1:35" ht="15.75" hidden="1" customHeight="1">
      <c r="A284" s="397" t="str">
        <f>IF(B284&lt;&gt;"",IF(AND(B284&gt;=_TM1,B284&lt;=_TM2,OR(TH!N284="1111",TH!O284="1111")),TH!D284,""),"")</f>
        <v/>
      </c>
      <c r="B284" s="63">
        <f t="shared" si="40"/>
        <v>4</v>
      </c>
      <c r="C284" s="64">
        <f t="shared" si="38"/>
        <v>42481</v>
      </c>
      <c r="D284" s="64" t="s">
        <v>8</v>
      </c>
      <c r="E284" s="64">
        <v>42481</v>
      </c>
      <c r="F284" s="67" t="s">
        <v>414</v>
      </c>
      <c r="G284" s="361" t="s">
        <v>808</v>
      </c>
      <c r="H284" s="75" t="s">
        <v>170</v>
      </c>
      <c r="I284" s="514"/>
      <c r="J284" s="514"/>
      <c r="K284" s="506"/>
      <c r="L284" s="514"/>
      <c r="M284" s="65">
        <v>13099251</v>
      </c>
      <c r="N284" s="66" t="s">
        <v>134</v>
      </c>
      <c r="O284" s="66" t="s">
        <v>31</v>
      </c>
      <c r="P284" s="66" t="str">
        <f>IF(AND('331-CT'!$E$7=TH!H284,OR(N284="331",O284="331")),"x","")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IF(AND('131-CT'!$H$9=TH!H284,OR(N284="131",O284="131")),"x","")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IF(OR(TH!N284=TH!$AB$7,O284=TH!$AB$7),"x","")</f>
        <v/>
      </c>
      <c r="AC284" s="66" t="str">
        <f t="shared" si="39"/>
        <v>2</v>
      </c>
      <c r="AD284" s="66" t="str">
        <f>IF(AND(MONTH(E284)='IN-NX'!$J$5,'IN-NX'!$D$7=D284,OR(LEFT(TH!N284,2)="15",LEFT(TH!O284,2)="15")),"x","")</f>
        <v/>
      </c>
      <c r="AE284" s="66" t="str">
        <f>IF(AND(OR(LEFT(TH!N284,2)="15",LEFT(TH!O284,2)="15"),'152-CT'!$J$8=TH!F284),"x","")</f>
        <v/>
      </c>
      <c r="AF284" s="66" t="str">
        <f>IF(AND(OR(LEFT(TH!N284,2)="15",LEFT(TH!O284,2)="15"),'THE KHO'!$E$7=TH!F284),"x","")</f>
        <v/>
      </c>
      <c r="AG284" s="66" t="str">
        <f>IF(AND(N284="1521",MONTH(C284)='BK NL'!$M$11),"x","")</f>
        <v/>
      </c>
    </row>
    <row r="285" spans="1:35" ht="15.75" hidden="1" customHeight="1">
      <c r="A285" s="397" t="str">
        <f>IF(B285&lt;&gt;"",IF(AND(B285&gt;=_TM1,B285&lt;=_TM2,OR(TH!N285="1111",TH!O285="1111")),TH!D285,""),"")</f>
        <v/>
      </c>
      <c r="B285" s="63">
        <f t="shared" si="40"/>
        <v>4</v>
      </c>
      <c r="C285" s="64">
        <f t="shared" si="38"/>
        <v>42481</v>
      </c>
      <c r="D285" s="64" t="s">
        <v>8</v>
      </c>
      <c r="E285" s="64">
        <v>42481</v>
      </c>
      <c r="F285" s="67" t="s">
        <v>414</v>
      </c>
      <c r="G285" s="361" t="s">
        <v>808</v>
      </c>
      <c r="H285" s="74" t="s">
        <v>169</v>
      </c>
      <c r="I285" s="517"/>
      <c r="J285" s="517"/>
      <c r="K285" s="509"/>
      <c r="L285" s="517"/>
      <c r="M285" s="65">
        <v>12280547</v>
      </c>
      <c r="N285" s="66" t="s">
        <v>134</v>
      </c>
      <c r="O285" s="66" t="s">
        <v>31</v>
      </c>
      <c r="P285" s="66" t="str">
        <f>IF(AND('331-CT'!$E$7=TH!H285,OR(N285="331",O285="331")),"x","")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IF(AND('131-CT'!$H$9=TH!H285,OR(N285="131",O285="131")),"x","")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IF(OR(TH!N285=TH!$AB$7,O285=TH!$AB$7),"x","")</f>
        <v/>
      </c>
      <c r="AC285" s="66" t="str">
        <f t="shared" si="39"/>
        <v>2</v>
      </c>
      <c r="AD285" s="66" t="str">
        <f>IF(AND(MONTH(E285)='IN-NX'!$J$5,'IN-NX'!$D$7=D285,OR(LEFT(TH!N285,2)="15",LEFT(TH!O285,2)="15")),"x","")</f>
        <v/>
      </c>
      <c r="AE285" s="66" t="str">
        <f>IF(AND(OR(LEFT(TH!N285,2)="15",LEFT(TH!O285,2)="15"),'152-CT'!$J$8=TH!F285),"x","")</f>
        <v/>
      </c>
      <c r="AF285" s="66" t="str">
        <f>IF(AND(OR(LEFT(TH!N285,2)="15",LEFT(TH!O285,2)="15"),'THE KHO'!$E$7=TH!F285),"x","")</f>
        <v/>
      </c>
      <c r="AG285" s="66" t="str">
        <f>IF(AND(N285="1521",MONTH(C285)='BK NL'!$M$11),"x","")</f>
        <v/>
      </c>
    </row>
    <row r="286" spans="1:35" ht="15.75" hidden="1" customHeight="1">
      <c r="A286" s="397" t="str">
        <f>IF(B286&lt;&gt;"",IF(AND(B286&gt;=_TM1,B286&lt;=_TM2,OR(TH!N286="1111",TH!O286="1111")),TH!D286,""),"")</f>
        <v/>
      </c>
      <c r="B286" s="63">
        <f t="shared" si="40"/>
        <v>4</v>
      </c>
      <c r="C286" s="64">
        <f t="shared" si="38"/>
        <v>42481</v>
      </c>
      <c r="D286" s="64" t="s">
        <v>8</v>
      </c>
      <c r="E286" s="64">
        <v>42481</v>
      </c>
      <c r="F286" s="67" t="s">
        <v>414</v>
      </c>
      <c r="G286" s="361" t="s">
        <v>808</v>
      </c>
      <c r="H286" s="74" t="s">
        <v>171</v>
      </c>
      <c r="I286" s="514"/>
      <c r="J286" s="514"/>
      <c r="K286" s="506"/>
      <c r="L286" s="514"/>
      <c r="M286" s="65">
        <v>8187032</v>
      </c>
      <c r="N286" s="66" t="s">
        <v>134</v>
      </c>
      <c r="O286" s="66" t="s">
        <v>31</v>
      </c>
      <c r="P286" s="66" t="str">
        <f>IF(AND('331-CT'!$E$7=TH!H286,OR(N286="331",O286="331")),"x","")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IF(AND('131-CT'!$H$9=TH!H286,OR(N286="131",O286="131")),"x","")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IF(OR(TH!N286=TH!$AB$7,O286=TH!$AB$7),"x","")</f>
        <v/>
      </c>
      <c r="AC286" s="66" t="str">
        <f t="shared" si="39"/>
        <v>2</v>
      </c>
      <c r="AD286" s="66" t="str">
        <f>IF(AND(MONTH(E286)='IN-NX'!$J$5,'IN-NX'!$D$7=D286,OR(LEFT(TH!N286,2)="15",LEFT(TH!O286,2)="15")),"x","")</f>
        <v/>
      </c>
      <c r="AE286" s="66" t="str">
        <f>IF(AND(OR(LEFT(TH!N286,2)="15",LEFT(TH!O286,2)="15"),'152-CT'!$J$8=TH!F286),"x","")</f>
        <v/>
      </c>
      <c r="AF286" s="66" t="str">
        <f>IF(AND(OR(LEFT(TH!N286,2)="15",LEFT(TH!O286,2)="15"),'THE KHO'!$E$7=TH!F286),"x","")</f>
        <v/>
      </c>
      <c r="AG286" s="66" t="str">
        <f>IF(AND(N286="1521",MONTH(C286)='BK NL'!$M$11),"x","")</f>
        <v/>
      </c>
    </row>
    <row r="287" spans="1:35" ht="15.75" hidden="1" customHeight="1">
      <c r="A287" s="397" t="str">
        <f>IF(B287&lt;&gt;"",IF(AND(B287&gt;=_TM1,B287&lt;=_TM2,OR(TH!N287="1111",TH!O287="1111")),TH!D287,""),"")</f>
        <v/>
      </c>
      <c r="B287" s="63">
        <f t="shared" si="40"/>
        <v>4</v>
      </c>
      <c r="C287" s="64">
        <f t="shared" si="38"/>
        <v>42481</v>
      </c>
      <c r="D287" s="64" t="s">
        <v>8</v>
      </c>
      <c r="E287" s="64">
        <v>42481</v>
      </c>
      <c r="F287" s="67" t="s">
        <v>414</v>
      </c>
      <c r="G287" s="361" t="s">
        <v>808</v>
      </c>
      <c r="H287" s="74" t="s">
        <v>172</v>
      </c>
      <c r="I287" s="514"/>
      <c r="J287" s="514"/>
      <c r="K287" s="506"/>
      <c r="L287" s="514"/>
      <c r="M287" s="65">
        <v>12280547</v>
      </c>
      <c r="N287" s="66" t="s">
        <v>134</v>
      </c>
      <c r="O287" s="66" t="s">
        <v>31</v>
      </c>
      <c r="P287" s="66" t="str">
        <f>IF(AND('331-CT'!$E$7=TH!H287,OR(N287="331",O287="331")),"x","")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IF(AND('131-CT'!$H$9=TH!H287,OR(N287="131",O287="131")),"x","")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IF(OR(TH!N287=TH!$AB$7,O287=TH!$AB$7),"x","")</f>
        <v/>
      </c>
      <c r="AC287" s="66" t="str">
        <f t="shared" si="39"/>
        <v>2</v>
      </c>
      <c r="AD287" s="66" t="str">
        <f>IF(AND(MONTH(E287)='IN-NX'!$J$5,'IN-NX'!$D$7=D287,OR(LEFT(TH!N287,2)="15",LEFT(TH!O287,2)="15")),"x","")</f>
        <v/>
      </c>
      <c r="AE287" s="66" t="str">
        <f>IF(AND(OR(LEFT(TH!N287,2)="15",LEFT(TH!O287,2)="15"),'152-CT'!$J$8=TH!F287),"x","")</f>
        <v/>
      </c>
      <c r="AF287" s="66" t="str">
        <f>IF(AND(OR(LEFT(TH!N287,2)="15",LEFT(TH!O287,2)="15"),'THE KHO'!$E$7=TH!F287),"x","")</f>
        <v/>
      </c>
      <c r="AG287" s="66" t="str">
        <f>IF(AND(N287="1521",MONTH(C287)='BK NL'!$M$11),"x","")</f>
        <v/>
      </c>
    </row>
    <row r="288" spans="1:35" ht="15.75" hidden="1" customHeight="1">
      <c r="A288" s="397" t="str">
        <f>IF(B288&lt;&gt;"",IF(AND(B288&gt;=_TM1,B288&lt;=_TM2,OR(TH!N288="1111",TH!O288="1111")),TH!D288,""),"")</f>
        <v/>
      </c>
      <c r="B288" s="63">
        <f t="shared" si="40"/>
        <v>4</v>
      </c>
      <c r="C288" s="64">
        <f t="shared" si="38"/>
        <v>42481</v>
      </c>
      <c r="D288" s="64" t="s">
        <v>8</v>
      </c>
      <c r="E288" s="64">
        <v>42481</v>
      </c>
      <c r="F288" s="67" t="s">
        <v>414</v>
      </c>
      <c r="G288" s="361" t="s">
        <v>808</v>
      </c>
      <c r="H288" s="74" t="s">
        <v>173</v>
      </c>
      <c r="I288" s="517"/>
      <c r="J288" s="517"/>
      <c r="K288" s="509"/>
      <c r="L288" s="517"/>
      <c r="M288" s="65">
        <v>16374064</v>
      </c>
      <c r="N288" s="66" t="s">
        <v>134</v>
      </c>
      <c r="O288" s="66" t="s">
        <v>31</v>
      </c>
      <c r="P288" s="66" t="str">
        <f>IF(AND('331-CT'!$E$7=TH!H288,OR(N288="331",O288="331")),"x","")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IF(AND('131-CT'!$H$9=TH!H288,OR(N288="131",O288="131")),"x","")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IF(OR(TH!N288=TH!$AB$7,O288=TH!$AB$7),"x","")</f>
        <v/>
      </c>
      <c r="AC288" s="66" t="str">
        <f t="shared" si="39"/>
        <v>2</v>
      </c>
      <c r="AD288" s="66" t="str">
        <f>IF(AND(MONTH(E288)='IN-NX'!$J$5,'IN-NX'!$D$7=D288,OR(LEFT(TH!N288,2)="15",LEFT(TH!O288,2)="15")),"x","")</f>
        <v/>
      </c>
      <c r="AE288" s="66" t="str">
        <f>IF(AND(OR(LEFT(TH!N288,2)="15",LEFT(TH!O288,2)="15"),'152-CT'!$J$8=TH!F288),"x","")</f>
        <v/>
      </c>
      <c r="AF288" s="66" t="str">
        <f>IF(AND(OR(LEFT(TH!N288,2)="15",LEFT(TH!O288,2)="15"),'THE KHO'!$E$7=TH!F288),"x","")</f>
        <v/>
      </c>
      <c r="AG288" s="66" t="str">
        <f>IF(AND(N288="1521",MONTH(C288)='BK NL'!$M$11),"x","")</f>
        <v/>
      </c>
    </row>
    <row r="289" spans="1:35" ht="15.75" hidden="1" customHeight="1">
      <c r="A289" s="397" t="str">
        <f>IF(B289&lt;&gt;"",IF(AND(B289&gt;=_TM1,B289&lt;=_TM2,OR(TH!N289="1111",TH!O289="1111")),TH!D289,""),"")</f>
        <v/>
      </c>
      <c r="B289" s="63">
        <f t="shared" si="40"/>
        <v>4</v>
      </c>
      <c r="C289" s="64">
        <f t="shared" si="38"/>
        <v>42481</v>
      </c>
      <c r="D289" s="64" t="s">
        <v>8</v>
      </c>
      <c r="E289" s="64">
        <v>42481</v>
      </c>
      <c r="F289" s="67" t="s">
        <v>414</v>
      </c>
      <c r="G289" s="361" t="s">
        <v>808</v>
      </c>
      <c r="H289" s="74" t="s">
        <v>174</v>
      </c>
      <c r="I289" s="517"/>
      <c r="J289" s="517"/>
      <c r="K289" s="509"/>
      <c r="L289" s="517"/>
      <c r="M289" s="65">
        <v>11461845</v>
      </c>
      <c r="N289" s="66" t="s">
        <v>134</v>
      </c>
      <c r="O289" s="66" t="s">
        <v>31</v>
      </c>
      <c r="P289" s="66" t="str">
        <f>IF(AND('331-CT'!$E$7=TH!H289,OR(N289="331",O289="331")),"x","")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IF(AND('131-CT'!$H$9=TH!H289,OR(N289="131",O289="131")),"x","")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IF(OR(TH!N289=TH!$AB$7,O289=TH!$AB$7),"x","")</f>
        <v/>
      </c>
      <c r="AC289" s="66" t="str">
        <f t="shared" si="39"/>
        <v>2</v>
      </c>
      <c r="AD289" s="66" t="str">
        <f>IF(AND(MONTH(E289)='IN-NX'!$J$5,'IN-NX'!$D$7=D289,OR(LEFT(TH!N289,2)="15",LEFT(TH!O289,2)="15")),"x","")</f>
        <v/>
      </c>
      <c r="AE289" s="66" t="str">
        <f>IF(AND(OR(LEFT(TH!N289,2)="15",LEFT(TH!O289,2)="15"),'152-CT'!$J$8=TH!F289),"x","")</f>
        <v/>
      </c>
      <c r="AF289" s="66" t="str">
        <f>IF(AND(OR(LEFT(TH!N289,2)="15",LEFT(TH!O289,2)="15"),'THE KHO'!$E$7=TH!F289),"x","")</f>
        <v/>
      </c>
      <c r="AG289" s="66" t="str">
        <f>IF(AND(N289="1521",MONTH(C289)='BK NL'!$M$11),"x","")</f>
        <v/>
      </c>
    </row>
    <row r="290" spans="1:35" s="409" customFormat="1" ht="15.75" hidden="1" customHeight="1">
      <c r="A290" s="397" t="str">
        <f>IF(B290&lt;&gt;"",IF(AND(B290&gt;=_TM1,B290&lt;=_TM2,OR(TH!N290="1111",TH!O290="1111")),TH!D290,""),"")</f>
        <v/>
      </c>
      <c r="B290" s="63">
        <f t="shared" si="40"/>
        <v>4</v>
      </c>
      <c r="C290" s="64">
        <f t="shared" si="38"/>
        <v>42481</v>
      </c>
      <c r="D290" s="64" t="s">
        <v>8</v>
      </c>
      <c r="E290" s="64">
        <v>42481</v>
      </c>
      <c r="F290" s="67" t="s">
        <v>414</v>
      </c>
      <c r="G290" s="361" t="s">
        <v>808</v>
      </c>
      <c r="H290" s="404" t="s">
        <v>175</v>
      </c>
      <c r="I290" s="517"/>
      <c r="J290" s="517"/>
      <c r="K290" s="509"/>
      <c r="L290" s="517"/>
      <c r="M290" s="65">
        <v>12280547</v>
      </c>
      <c r="N290" s="66" t="s">
        <v>134</v>
      </c>
      <c r="O290" s="66" t="s">
        <v>31</v>
      </c>
      <c r="P290" s="66" t="str">
        <f>IF(AND('331-CT'!$E$7=TH!H290,OR(N290="331",O290="331")),"x","")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IF(AND('131-CT'!$H$9=TH!H290,OR(N290="131",O290="131")),"x","")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IF(OR(TH!N290=TH!$AB$7,O290=TH!$AB$7),"x","")</f>
        <v/>
      </c>
      <c r="AC290" s="66" t="str">
        <f t="shared" si="39"/>
        <v>2</v>
      </c>
      <c r="AD290" s="66" t="str">
        <f>IF(AND(MONTH(E290)='IN-NX'!$J$5,'IN-NX'!$D$7=D290,OR(LEFT(TH!N290,2)="15",LEFT(TH!O290,2)="15")),"x","")</f>
        <v/>
      </c>
      <c r="AE290" s="66" t="str">
        <f>IF(AND(OR(LEFT(TH!N290,2)="15",LEFT(TH!O290,2)="15"),'152-CT'!$J$8=TH!F290),"x","")</f>
        <v/>
      </c>
      <c r="AF290" s="66" t="str">
        <f>IF(AND(OR(LEFT(TH!N290,2)="15",LEFT(TH!O290,2)="15"),'THE KHO'!$E$7=TH!F290),"x","")</f>
        <v/>
      </c>
      <c r="AG290" s="66" t="str">
        <f>IF(AND(N290="1521",MONTH(C290)='BK NL'!$M$11),"x","")</f>
        <v/>
      </c>
      <c r="AH290" s="406"/>
      <c r="AI290" s="386"/>
    </row>
    <row r="291" spans="1:35" s="409" customFormat="1" ht="15.75" hidden="1" customHeight="1">
      <c r="A291" s="397" t="str">
        <f>IF(B291&lt;&gt;"",IF(AND(B291&gt;=_TM1,B291&lt;=_TM2,OR(TH!N291="1111",TH!O291="1111")),TH!D291,""),"")</f>
        <v/>
      </c>
      <c r="B291" s="63">
        <f t="shared" si="40"/>
        <v>4</v>
      </c>
      <c r="C291" s="64">
        <f t="shared" si="38"/>
        <v>42481</v>
      </c>
      <c r="D291" s="64" t="s">
        <v>8</v>
      </c>
      <c r="E291" s="64">
        <v>42481</v>
      </c>
      <c r="F291" s="67" t="s">
        <v>414</v>
      </c>
      <c r="G291" s="361" t="s">
        <v>808</v>
      </c>
      <c r="H291" s="74" t="s">
        <v>177</v>
      </c>
      <c r="I291" s="517"/>
      <c r="J291" s="517"/>
      <c r="K291" s="509"/>
      <c r="L291" s="517"/>
      <c r="M291" s="65">
        <v>12280547</v>
      </c>
      <c r="N291" s="66" t="s">
        <v>134</v>
      </c>
      <c r="O291" s="66" t="s">
        <v>31</v>
      </c>
      <c r="P291" s="66" t="str">
        <f>IF(AND('331-CT'!$E$7=TH!H291,OR(N291="331",O291="331")),"x","")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IF(AND('131-CT'!$H$9=TH!H291,OR(N291="131",O291="131")),"x","")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IF(OR(TH!N291=TH!$AB$7,O291=TH!$AB$7),"x","")</f>
        <v/>
      </c>
      <c r="AC291" s="66" t="str">
        <f t="shared" si="39"/>
        <v>2</v>
      </c>
      <c r="AD291" s="66" t="str">
        <f>IF(AND(MONTH(E291)='IN-NX'!$J$5,'IN-NX'!$D$7=D291,OR(LEFT(TH!N291,2)="15",LEFT(TH!O291,2)="15")),"x","")</f>
        <v/>
      </c>
      <c r="AE291" s="66" t="str">
        <f>IF(AND(OR(LEFT(TH!N291,2)="15",LEFT(TH!O291,2)="15"),'152-CT'!$J$8=TH!F291),"x","")</f>
        <v/>
      </c>
      <c r="AF291" s="66" t="str">
        <f>IF(AND(OR(LEFT(TH!N291,2)="15",LEFT(TH!O291,2)="15"),'THE KHO'!$E$7=TH!F291),"x","")</f>
        <v/>
      </c>
      <c r="AG291" s="66" t="str">
        <f>IF(AND(N291="1521",MONTH(C291)='BK NL'!$M$11),"x","")</f>
        <v/>
      </c>
      <c r="AH291" s="386"/>
      <c r="AI291" s="386"/>
    </row>
    <row r="292" spans="1:35" ht="15.75" hidden="1" customHeight="1">
      <c r="A292" s="397" t="str">
        <f>IF(B292&lt;&gt;"",IF(AND(B292&gt;=_TM1,B292&lt;=_TM2,OR(TH!N292="1111",TH!O292="1111")),TH!D292,""),"")</f>
        <v/>
      </c>
      <c r="B292" s="63">
        <f t="shared" si="40"/>
        <v>4</v>
      </c>
      <c r="C292" s="64">
        <f t="shared" si="38"/>
        <v>42481</v>
      </c>
      <c r="D292" s="64" t="s">
        <v>8</v>
      </c>
      <c r="E292" s="64">
        <v>42481</v>
      </c>
      <c r="F292" s="67" t="s">
        <v>414</v>
      </c>
      <c r="G292" s="361" t="s">
        <v>808</v>
      </c>
      <c r="H292" s="404" t="s">
        <v>180</v>
      </c>
      <c r="I292" s="517"/>
      <c r="J292" s="517"/>
      <c r="K292" s="509"/>
      <c r="L292" s="517"/>
      <c r="M292" s="65">
        <v>12280547</v>
      </c>
      <c r="N292" s="66" t="s">
        <v>134</v>
      </c>
      <c r="O292" s="66" t="s">
        <v>31</v>
      </c>
      <c r="P292" s="66" t="str">
        <f>IF(AND('331-CT'!$E$7=TH!H292,OR(N292="331",O292="331")),"x","")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IF(AND('131-CT'!$H$9=TH!H292,OR(N292="131",O292="131")),"x","")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IF(OR(TH!N292=TH!$AB$7,O292=TH!$AB$7),"x","")</f>
        <v/>
      </c>
      <c r="AC292" s="66" t="str">
        <f t="shared" si="39"/>
        <v>2</v>
      </c>
      <c r="AD292" s="66" t="str">
        <f>IF(AND(MONTH(E292)='IN-NX'!$J$5,'IN-NX'!$D$7=D292,OR(LEFT(TH!N292,2)="15",LEFT(TH!O292,2)="15")),"x","")</f>
        <v/>
      </c>
      <c r="AE292" s="66" t="str">
        <f>IF(AND(OR(LEFT(TH!N292,2)="15",LEFT(TH!O292,2)="15"),'152-CT'!$J$8=TH!F292),"x","")</f>
        <v/>
      </c>
      <c r="AF292" s="66" t="str">
        <f>IF(AND(OR(LEFT(TH!N292,2)="15",LEFT(TH!O292,2)="15"),'THE KHO'!$E$7=TH!F292),"x","")</f>
        <v/>
      </c>
      <c r="AG292" s="66" t="str">
        <f>IF(AND(N292="1521",MONTH(C292)='BK NL'!$M$11),"x","")</f>
        <v/>
      </c>
      <c r="AI292" s="409"/>
    </row>
    <row r="293" spans="1:35" ht="15.75" hidden="1" customHeight="1">
      <c r="A293" s="397" t="str">
        <f>IF(B293&lt;&gt;"",IF(AND(B293&gt;=_TM1,B293&lt;=_TM2,OR(TH!N293="1111",TH!O293="1111")),TH!D293,""),"")</f>
        <v/>
      </c>
      <c r="B293" s="63">
        <f t="shared" si="40"/>
        <v>4</v>
      </c>
      <c r="C293" s="64">
        <f t="shared" si="38"/>
        <v>42481</v>
      </c>
      <c r="D293" s="64" t="s">
        <v>8</v>
      </c>
      <c r="E293" s="64">
        <v>42481</v>
      </c>
      <c r="F293" s="67" t="s">
        <v>414</v>
      </c>
      <c r="G293" s="361" t="s">
        <v>808</v>
      </c>
      <c r="H293" s="74" t="s">
        <v>181</v>
      </c>
      <c r="I293" s="517"/>
      <c r="J293" s="517"/>
      <c r="K293" s="509"/>
      <c r="L293" s="517"/>
      <c r="M293" s="65">
        <v>8187032</v>
      </c>
      <c r="N293" s="66" t="s">
        <v>134</v>
      </c>
      <c r="O293" s="66" t="s">
        <v>31</v>
      </c>
      <c r="P293" s="66" t="str">
        <f>IF(AND('331-CT'!$E$7=TH!H293,OR(N293="331",O293="331")),"x","")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IF(AND('131-CT'!$H$9=TH!H293,OR(N293="131",O293="131")),"x","")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IF(OR(TH!N293=TH!$AB$7,O293=TH!$AB$7),"x","")</f>
        <v/>
      </c>
      <c r="AC293" s="66" t="str">
        <f t="shared" si="39"/>
        <v>2</v>
      </c>
      <c r="AD293" s="66" t="str">
        <f>IF(AND(MONTH(E293)='IN-NX'!$J$5,'IN-NX'!$D$7=D293,OR(LEFT(TH!N293,2)="15",LEFT(TH!O293,2)="15")),"x","")</f>
        <v/>
      </c>
      <c r="AE293" s="66" t="str">
        <f>IF(AND(OR(LEFT(TH!N293,2)="15",LEFT(TH!O293,2)="15"),'152-CT'!$J$8=TH!F293),"x","")</f>
        <v/>
      </c>
      <c r="AF293" s="66" t="str">
        <f>IF(AND(OR(LEFT(TH!N293,2)="15",LEFT(TH!O293,2)="15"),'THE KHO'!$E$7=TH!F293),"x","")</f>
        <v/>
      </c>
      <c r="AG293" s="66" t="str">
        <f>IF(AND(N293="1521",MONTH(C293)='BK NL'!$M$11),"x","")</f>
        <v/>
      </c>
      <c r="AI293" s="409"/>
    </row>
    <row r="294" spans="1:35" ht="15.75" hidden="1" customHeight="1">
      <c r="A294" s="397" t="str">
        <f>IF(B294&lt;&gt;"",IF(AND(B294&gt;=_TM1,B294&lt;=_TM2,OR(TH!N294="1111",TH!O294="1111")),TH!D294,""),"")</f>
        <v/>
      </c>
      <c r="B294" s="63">
        <f t="shared" si="40"/>
        <v>4</v>
      </c>
      <c r="C294" s="64">
        <f t="shared" si="38"/>
        <v>42481</v>
      </c>
      <c r="D294" s="64" t="s">
        <v>8</v>
      </c>
      <c r="E294" s="64">
        <v>42481</v>
      </c>
      <c r="F294" s="67" t="s">
        <v>414</v>
      </c>
      <c r="G294" s="361" t="s">
        <v>808</v>
      </c>
      <c r="H294" s="74" t="s">
        <v>185</v>
      </c>
      <c r="I294" s="517"/>
      <c r="J294" s="517"/>
      <c r="K294" s="509"/>
      <c r="L294" s="517"/>
      <c r="M294" s="65">
        <v>8187032</v>
      </c>
      <c r="N294" s="66" t="s">
        <v>134</v>
      </c>
      <c r="O294" s="66" t="s">
        <v>31</v>
      </c>
      <c r="P294" s="66" t="str">
        <f>IF(AND('331-CT'!$E$7=TH!H294,OR(N294="331",O294="331")),"x","")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IF(AND('131-CT'!$H$9=TH!H294,OR(N294="131",O294="131")),"x","")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IF(OR(TH!N294=TH!$AB$7,O294=TH!$AB$7),"x","")</f>
        <v/>
      </c>
      <c r="AC294" s="66" t="str">
        <f t="shared" si="39"/>
        <v>2</v>
      </c>
      <c r="AD294" s="66" t="str">
        <f>IF(AND(MONTH(E294)='IN-NX'!$J$5,'IN-NX'!$D$7=D294,OR(LEFT(TH!N294,2)="15",LEFT(TH!O294,2)="15")),"x","")</f>
        <v/>
      </c>
      <c r="AE294" s="66" t="str">
        <f>IF(AND(OR(LEFT(TH!N294,2)="15",LEFT(TH!O294,2)="15"),'152-CT'!$J$8=TH!F294),"x","")</f>
        <v/>
      </c>
      <c r="AF294" s="66" t="str">
        <f>IF(AND(OR(LEFT(TH!N294,2)="15",LEFT(TH!O294,2)="15"),'THE KHO'!$E$7=TH!F294),"x","")</f>
        <v/>
      </c>
      <c r="AG294" s="66" t="str">
        <f>IF(AND(N294="1521",MONTH(C294)='BK NL'!$M$11),"x","")</f>
        <v/>
      </c>
    </row>
    <row r="295" spans="1:35" ht="15.75" hidden="1" customHeight="1">
      <c r="A295" s="397" t="str">
        <f>IF(B295&lt;&gt;"",IF(AND(B295&gt;=_TM1,B295&lt;=_TM2,OR(TH!N295="1111",TH!O295="1111")),TH!D295,""),"")</f>
        <v/>
      </c>
      <c r="B295" s="63">
        <f t="shared" si="40"/>
        <v>4</v>
      </c>
      <c r="C295" s="64">
        <f t="shared" si="38"/>
        <v>42481</v>
      </c>
      <c r="D295" s="64" t="s">
        <v>8</v>
      </c>
      <c r="E295" s="64">
        <v>42481</v>
      </c>
      <c r="F295" s="67" t="s">
        <v>414</v>
      </c>
      <c r="G295" s="361" t="s">
        <v>808</v>
      </c>
      <c r="H295" s="74" t="s">
        <v>333</v>
      </c>
      <c r="I295" s="517"/>
      <c r="J295" s="517"/>
      <c r="K295" s="509"/>
      <c r="L295" s="517"/>
      <c r="M295" s="65">
        <v>6772110</v>
      </c>
      <c r="N295" s="66" t="s">
        <v>134</v>
      </c>
      <c r="O295" s="66" t="s">
        <v>31</v>
      </c>
      <c r="P295" s="66" t="str">
        <f>IF(AND('331-CT'!$E$7=TH!H295,OR(N295="331",O295="331")),"x","")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IF(AND('131-CT'!$H$9=TH!H295,OR(N295="131",O295="131")),"x","")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IF(OR(TH!N295=TH!$AB$7,O295=TH!$AB$7),"x","")</f>
        <v/>
      </c>
      <c r="AC295" s="66" t="str">
        <f t="shared" si="39"/>
        <v>2</v>
      </c>
      <c r="AD295" s="66" t="str">
        <f>IF(AND(MONTH(E295)='IN-NX'!$J$5,'IN-NX'!$D$7=D295,OR(LEFT(TH!N295,2)="15",LEFT(TH!O295,2)="15")),"x","")</f>
        <v/>
      </c>
      <c r="AE295" s="66" t="str">
        <f>IF(AND(OR(LEFT(TH!N295,2)="15",LEFT(TH!O295,2)="15"),'152-CT'!$J$8=TH!F295),"x","")</f>
        <v/>
      </c>
      <c r="AF295" s="66" t="str">
        <f>IF(AND(OR(LEFT(TH!N295,2)="15",LEFT(TH!O295,2)="15"),'THE KHO'!$E$7=TH!F295),"x","")</f>
        <v/>
      </c>
      <c r="AG295" s="66" t="str">
        <f>IF(AND(N295="1521",MONTH(C295)='BK NL'!$M$11),"x","")</f>
        <v/>
      </c>
    </row>
    <row r="296" spans="1:35" ht="15.75" hidden="1" customHeight="1">
      <c r="A296" s="397" t="str">
        <f>IF(B296&lt;&gt;"",IF(AND(B296&gt;=_TM1,B296&lt;=_TM2,OR(TH!N296="1111",TH!O296="1111")),TH!D296,""),"")</f>
        <v/>
      </c>
      <c r="B296" s="63">
        <f t="shared" si="40"/>
        <v>4</v>
      </c>
      <c r="C296" s="64">
        <f t="shared" si="38"/>
        <v>42481</v>
      </c>
      <c r="D296" s="64" t="s">
        <v>8</v>
      </c>
      <c r="E296" s="64">
        <v>42481</v>
      </c>
      <c r="F296" s="67" t="s">
        <v>414</v>
      </c>
      <c r="G296" s="361" t="s">
        <v>808</v>
      </c>
      <c r="H296" s="74" t="s">
        <v>176</v>
      </c>
      <c r="I296" s="517"/>
      <c r="J296" s="517"/>
      <c r="K296" s="509"/>
      <c r="L296" s="517"/>
      <c r="M296" s="65">
        <v>12280547</v>
      </c>
      <c r="N296" s="66" t="s">
        <v>134</v>
      </c>
      <c r="O296" s="66" t="s">
        <v>31</v>
      </c>
      <c r="P296" s="66" t="str">
        <f>IF(AND('331-CT'!$E$7=TH!H296,OR(N296="331",O296="331")),"x","")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IF(AND('131-CT'!$H$9=TH!H296,OR(N296="131",O296="131")),"x","")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IF(OR(TH!N296=TH!$AB$7,O296=TH!$AB$7),"x","")</f>
        <v/>
      </c>
      <c r="AC296" s="66" t="str">
        <f t="shared" si="39"/>
        <v>2</v>
      </c>
      <c r="AD296" s="66" t="str">
        <f>IF(AND(MONTH(E296)='IN-NX'!$J$5,'IN-NX'!$D$7=D296,OR(LEFT(TH!N296,2)="15",LEFT(TH!O296,2)="15")),"x","")</f>
        <v/>
      </c>
      <c r="AE296" s="66" t="str">
        <f>IF(AND(OR(LEFT(TH!N296,2)="15",LEFT(TH!O296,2)="15"),'152-CT'!$J$8=TH!F296),"x","")</f>
        <v/>
      </c>
      <c r="AF296" s="66" t="str">
        <f>IF(AND(OR(LEFT(TH!N296,2)="15",LEFT(TH!O296,2)="15"),'THE KHO'!$E$7=TH!F296),"x","")</f>
        <v/>
      </c>
      <c r="AG296" s="66" t="str">
        <f>IF(AND(N296="1521",MONTH(C296)='BK NL'!$M$11),"x","")</f>
        <v/>
      </c>
    </row>
    <row r="297" spans="1:35" ht="15.75" hidden="1" customHeight="1">
      <c r="A297" s="397" t="str">
        <f>IF(B297&lt;&gt;"",IF(AND(B297&gt;=_TM1,B297&lt;=_TM2,OR(TH!N297="1111",TH!O297="1111")),TH!D297,""),"")</f>
        <v/>
      </c>
      <c r="B297" s="63">
        <f t="shared" si="40"/>
        <v>4</v>
      </c>
      <c r="C297" s="64">
        <f t="shared" si="38"/>
        <v>42482</v>
      </c>
      <c r="D297" s="64" t="s">
        <v>8</v>
      </c>
      <c r="E297" s="64">
        <v>42482</v>
      </c>
      <c r="F297" s="1051" t="s">
        <v>164</v>
      </c>
      <c r="G297" s="361" t="s">
        <v>808</v>
      </c>
      <c r="H297" s="7" t="s">
        <v>166</v>
      </c>
      <c r="I297" s="517"/>
      <c r="J297" s="517"/>
      <c r="K297" s="509"/>
      <c r="L297" s="517"/>
      <c r="M297" s="65">
        <v>60000000</v>
      </c>
      <c r="N297" s="66" t="s">
        <v>9</v>
      </c>
      <c r="O297" s="66" t="s">
        <v>31</v>
      </c>
      <c r="P297" s="66" t="str">
        <f>IF(AND('331-CT'!$E$7=TH!H297,OR(N297="331",O297="331")),"x","")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IF(AND('131-CT'!$H$9=TH!H297,OR(N297="131",O297="131")),"x","")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IF(OR(TH!N297=TH!$AB$7,O297=TH!$AB$7),"x","")</f>
        <v/>
      </c>
      <c r="AC297" s="66" t="str">
        <f t="shared" si="39"/>
        <v>2</v>
      </c>
      <c r="AD297" s="66" t="str">
        <f>IF(AND(MONTH(E297)='IN-NX'!$J$5,'IN-NX'!$D$7=D297,OR(LEFT(TH!N297,2)="15",LEFT(TH!O297,2)="15")),"x","")</f>
        <v/>
      </c>
      <c r="AE297" s="66" t="str">
        <f>IF(AND(OR(LEFT(TH!N297,2)="15",LEFT(TH!O297,2)="15"),'152-CT'!$J$8=TH!F297),"x","")</f>
        <v/>
      </c>
      <c r="AF297" s="66" t="str">
        <f>IF(AND(OR(LEFT(TH!N297,2)="15",LEFT(TH!O297,2)="15"),'THE KHO'!$E$7=TH!F297),"x","")</f>
        <v/>
      </c>
      <c r="AG297" s="66" t="str">
        <f>IF(AND(N297="1521",MONTH(C297)='BK NL'!$M$11),"x","")</f>
        <v/>
      </c>
    </row>
    <row r="298" spans="1:35" ht="15.75" hidden="1" customHeight="1">
      <c r="A298" s="397" t="str">
        <f>IF(B298&lt;&gt;"",IF(AND(B298&gt;=_TM1,B298&lt;=_TM2,OR(TH!N298="1111",TH!O298="1111")),TH!D298,""),"")</f>
        <v/>
      </c>
      <c r="B298" s="63">
        <f t="shared" si="40"/>
        <v>4</v>
      </c>
      <c r="C298" s="64">
        <f t="shared" si="38"/>
        <v>42482</v>
      </c>
      <c r="D298" s="64" t="s">
        <v>8</v>
      </c>
      <c r="E298" s="64">
        <v>42482</v>
      </c>
      <c r="F298" s="67" t="s">
        <v>22</v>
      </c>
      <c r="G298" s="361" t="s">
        <v>808</v>
      </c>
      <c r="H298" s="405"/>
      <c r="I298" s="517"/>
      <c r="J298" s="517"/>
      <c r="K298" s="509"/>
      <c r="L298" s="517"/>
      <c r="M298" s="65">
        <v>50000</v>
      </c>
      <c r="N298" s="66" t="s">
        <v>136</v>
      </c>
      <c r="O298" s="66" t="s">
        <v>31</v>
      </c>
      <c r="P298" s="66" t="str">
        <f>IF(AND('331-CT'!$E$7=TH!H298,OR(N298="331",O298="331")),"x","")</f>
        <v/>
      </c>
      <c r="Q298" s="66" t="str">
        <f>IF(AND($B298&gt;='111'!$N$11,$B298&lt;='111'!$O$11,OR($N298=$Q$7,$O298=$Q$7)),"x","")</f>
        <v/>
      </c>
      <c r="R298" s="66" t="str">
        <f>IF(AND($N298=$Q$7,$B298&lt;'111'!$N$11),"x","")</f>
        <v/>
      </c>
      <c r="S298" s="66" t="str">
        <f>IF(AND($O298=$Q$7,$B298&lt;'111'!$N$11),"x","")</f>
        <v/>
      </c>
      <c r="T298" s="66" t="str">
        <f>IF(AND($B298&gt;='112'!$M$9,$B298&lt;='112'!$N$9,OR($N298='112'!$I$6,$O298='112'!$I$6)),"x","")</f>
        <v>x</v>
      </c>
      <c r="U298" s="66" t="str">
        <f>IF(AND($N298='112'!$I$6,$B298&lt;'112'!$M$9),"x","")</f>
        <v/>
      </c>
      <c r="V298" s="66" t="str">
        <f>IF(AND($O298='112'!$I$6,$B298&lt;'112'!$M$9),"x","")</f>
        <v/>
      </c>
      <c r="W298" s="66" t="str">
        <f>IF(AND('131-CT'!$H$9=TH!H298,OR(N298="131",O298="131")),"x","")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IF(OR(TH!N298=TH!$AB$7,O298=TH!$AB$7),"x","")</f>
        <v/>
      </c>
      <c r="AC298" s="66" t="str">
        <f t="shared" si="39"/>
        <v>2</v>
      </c>
      <c r="AD298" s="66" t="str">
        <f>IF(AND(MONTH(E298)='IN-NX'!$J$5,'IN-NX'!$D$7=D298,OR(LEFT(TH!N298,2)="15",LEFT(TH!O298,2)="15")),"x","")</f>
        <v/>
      </c>
      <c r="AE298" s="66" t="str">
        <f>IF(AND(OR(LEFT(TH!N298,2)="15",LEFT(TH!O298,2)="15"),'152-CT'!$J$8=TH!F298),"x","")</f>
        <v/>
      </c>
      <c r="AF298" s="66" t="str">
        <f>IF(AND(OR(LEFT(TH!N298,2)="15",LEFT(TH!O298,2)="15"),'THE KHO'!$E$7=TH!F298),"x","")</f>
        <v/>
      </c>
      <c r="AG298" s="66" t="str">
        <f>IF(AND(N298="1521",MONTH(C298)='BK NL'!$M$11),"x","")</f>
        <v/>
      </c>
      <c r="AI298" s="386">
        <v>1</v>
      </c>
    </row>
    <row r="299" spans="1:35" ht="15.75" hidden="1" customHeight="1">
      <c r="A299" s="397" t="str">
        <f>IF(B299&lt;&gt;"",IF(AND(B299&gt;=_TM1,B299&lt;=_TM2,OR(TH!N299="1111",TH!O299="1111")),TH!D299,""),"")</f>
        <v/>
      </c>
      <c r="B299" s="63">
        <f t="shared" si="40"/>
        <v>4</v>
      </c>
      <c r="C299" s="64">
        <f t="shared" si="38"/>
        <v>42482</v>
      </c>
      <c r="D299" s="64" t="s">
        <v>8</v>
      </c>
      <c r="E299" s="64">
        <v>42482</v>
      </c>
      <c r="F299" s="67" t="s">
        <v>23</v>
      </c>
      <c r="G299" s="361" t="s">
        <v>808</v>
      </c>
      <c r="H299" s="405"/>
      <c r="I299" s="517"/>
      <c r="J299" s="517"/>
      <c r="K299" s="509"/>
      <c r="L299" s="517"/>
      <c r="M299" s="100">
        <v>5000</v>
      </c>
      <c r="N299" s="66" t="s">
        <v>10</v>
      </c>
      <c r="O299" s="66" t="s">
        <v>31</v>
      </c>
      <c r="P299" s="66" t="str">
        <f>IF(AND('331-CT'!$E$7=TH!H299,OR(N299="331",O299="331")),"x","")</f>
        <v/>
      </c>
      <c r="Q299" s="66" t="str">
        <f>IF(AND($B299&gt;='111'!$N$11,$B299&lt;='111'!$O$11,OR($N299=$Q$7,$O299=$Q$7)),"x","")</f>
        <v/>
      </c>
      <c r="R299" s="66" t="str">
        <f>IF(AND($N299=$Q$7,$B299&lt;'111'!$N$11),"x","")</f>
        <v/>
      </c>
      <c r="S299" s="66" t="str">
        <f>IF(AND($O299=$Q$7,$B299&lt;'111'!$N$11),"x","")</f>
        <v/>
      </c>
      <c r="T299" s="66" t="str">
        <f>IF(AND($B299&gt;='112'!$M$9,$B299&lt;='112'!$N$9,OR($N299='112'!$I$6,$O299='112'!$I$6)),"x","")</f>
        <v>x</v>
      </c>
      <c r="U299" s="66" t="str">
        <f>IF(AND($N299='112'!$I$6,$B299&lt;'112'!$M$9),"x","")</f>
        <v/>
      </c>
      <c r="V299" s="66" t="str">
        <f>IF(AND($O299='112'!$I$6,$B299&lt;'112'!$M$9),"x","")</f>
        <v/>
      </c>
      <c r="W299" s="66" t="str">
        <f>IF(AND('131-CT'!$H$9=TH!H299,OR(N299="131",O299="131")),"x","")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IF(OR(TH!N299=TH!$AB$7,O299=TH!$AB$7),"x","")</f>
        <v/>
      </c>
      <c r="AC299" s="66" t="str">
        <f t="shared" si="39"/>
        <v>2</v>
      </c>
      <c r="AD299" s="66" t="str">
        <f>IF(AND(MONTH(E299)='IN-NX'!$J$5,'IN-NX'!$D$7=D299,OR(LEFT(TH!N299,2)="15",LEFT(TH!O299,2)="15")),"x","")</f>
        <v/>
      </c>
      <c r="AE299" s="66" t="str">
        <f>IF(AND(OR(LEFT(TH!N299,2)="15",LEFT(TH!O299,2)="15"),'152-CT'!$J$8=TH!F299),"x","")</f>
        <v/>
      </c>
      <c r="AF299" s="66" t="str">
        <f>IF(AND(OR(LEFT(TH!N299,2)="15",LEFT(TH!O299,2)="15"),'THE KHO'!$E$7=TH!F299),"x","")</f>
        <v/>
      </c>
      <c r="AG299" s="66" t="str">
        <f>IF(AND(N299="1521",MONTH(C299)='BK NL'!$M$11),"x","")</f>
        <v/>
      </c>
      <c r="AI299" s="386">
        <v>1</v>
      </c>
    </row>
    <row r="300" spans="1:35" ht="15.75" hidden="1" customHeight="1">
      <c r="A300" s="397" t="str">
        <f>IF(B300&lt;&gt;"",IF(AND(B300&gt;=_TM1,B300&lt;=_TM2,OR(TH!N300="1111",TH!O300="1111")),TH!D300,""),"")</f>
        <v/>
      </c>
      <c r="B300" s="63">
        <f t="shared" si="40"/>
        <v>4</v>
      </c>
      <c r="C300" s="64">
        <f t="shared" si="38"/>
        <v>42483</v>
      </c>
      <c r="D300" s="64" t="s">
        <v>82</v>
      </c>
      <c r="E300" s="64">
        <v>42483</v>
      </c>
      <c r="F300" s="67" t="s">
        <v>408</v>
      </c>
      <c r="G300" s="375" t="s">
        <v>905</v>
      </c>
      <c r="H300" s="404" t="s">
        <v>330</v>
      </c>
      <c r="I300" s="515"/>
      <c r="J300" s="515"/>
      <c r="K300" s="507"/>
      <c r="L300" s="515"/>
      <c r="M300" s="65">
        <v>618000</v>
      </c>
      <c r="N300" s="66" t="s">
        <v>243</v>
      </c>
      <c r="O300" s="66" t="s">
        <v>98</v>
      </c>
      <c r="P300" s="66" t="str">
        <f>IF(AND('331-CT'!$E$7=TH!H300,OR(N300="331",O300="331")),"x","")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IF(AND('131-CT'!$H$9=TH!H300,OR(N300="131",O300="131")),"x","")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IF(OR(TH!N300=TH!$AB$7,O300=TH!$AB$7),"x","")</f>
        <v/>
      </c>
      <c r="AC300" s="66" t="str">
        <f t="shared" si="39"/>
        <v>2</v>
      </c>
      <c r="AD300" s="66" t="str">
        <f>IF(AND(MONTH(E300)='IN-NX'!$J$5,'IN-NX'!$D$7=D300,OR(LEFT(TH!N300,2)="15",LEFT(TH!O300,2)="15")),"x","")</f>
        <v/>
      </c>
      <c r="AE300" s="66" t="str">
        <f>IF(AND(OR(LEFT(TH!N300,2)="15",LEFT(TH!O300,2)="15"),'152-CT'!$J$8=TH!F300),"x","")</f>
        <v/>
      </c>
      <c r="AF300" s="66" t="str">
        <f>IF(AND(OR(LEFT(TH!N300,2)="15",LEFT(TH!O300,2)="15"),'THE KHO'!$E$7=TH!F300),"x","")</f>
        <v/>
      </c>
      <c r="AG300" s="66" t="str">
        <f>IF(AND(N300="1521",MONTH(C300)='BK NL'!$M$11),"x","")</f>
        <v/>
      </c>
    </row>
    <row r="301" spans="1:35" ht="15.75" hidden="1" customHeight="1">
      <c r="A301" s="397" t="str">
        <f>IF(B301&lt;&gt;"",IF(AND(B301&gt;=_TM1,B301&lt;=_TM2,OR(TH!N301="1111",TH!O301="1111")),TH!D301,""),"")</f>
        <v/>
      </c>
      <c r="B301" s="63">
        <f t="shared" si="40"/>
        <v>4</v>
      </c>
      <c r="C301" s="64">
        <f t="shared" si="38"/>
        <v>42485</v>
      </c>
      <c r="D301" s="64" t="s">
        <v>188</v>
      </c>
      <c r="E301" s="64">
        <v>42485</v>
      </c>
      <c r="F301" s="67" t="s">
        <v>914</v>
      </c>
      <c r="G301" s="375" t="s">
        <v>916</v>
      </c>
      <c r="H301" s="74" t="s">
        <v>88</v>
      </c>
      <c r="I301" s="514"/>
      <c r="J301" s="514"/>
      <c r="K301" s="506"/>
      <c r="L301" s="514"/>
      <c r="M301" s="65">
        <v>10818800</v>
      </c>
      <c r="N301" s="66" t="s">
        <v>136</v>
      </c>
      <c r="O301" s="66" t="s">
        <v>98</v>
      </c>
      <c r="P301" s="66" t="str">
        <f>IF(AND('331-CT'!$E$7=TH!H301,OR(N301="331",O301="331")),"x","")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IF(AND('131-CT'!$H$9=TH!H301,OR(N301="131",O301="131")),"x","")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IF(OR(TH!N301=TH!$AB$7,O301=TH!$AB$7),"x","")</f>
        <v/>
      </c>
      <c r="AC301" s="66" t="str">
        <f t="shared" si="39"/>
        <v>2</v>
      </c>
      <c r="AD301" s="66" t="str">
        <f>IF(AND(MONTH(E301)='IN-NX'!$J$5,'IN-NX'!$D$7=D301,OR(LEFT(TH!N301,2)="15",LEFT(TH!O301,2)="15")),"x","")</f>
        <v/>
      </c>
      <c r="AE301" s="66" t="str">
        <f>IF(AND(OR(LEFT(TH!N301,2)="15",LEFT(TH!O301,2)="15"),'152-CT'!$J$8=TH!F301),"x","")</f>
        <v/>
      </c>
      <c r="AF301" s="66" t="str">
        <f>IF(AND(OR(LEFT(TH!N301,2)="15",LEFT(TH!O301,2)="15"),'THE KHO'!$E$7=TH!F301),"x","")</f>
        <v/>
      </c>
      <c r="AG301" s="66" t="str">
        <f>IF(AND(N301="1521",MONTH(C301)='BK NL'!$M$11),"x","")</f>
        <v/>
      </c>
      <c r="AI301" s="386">
        <v>1</v>
      </c>
    </row>
    <row r="302" spans="1:35" ht="15.75" hidden="1" customHeight="1">
      <c r="A302" s="397" t="str">
        <f>IF(B302&lt;&gt;"",IF(AND(B302&gt;=_TM1,B302&lt;=_TM2,OR(TH!N302="1111",TH!O302="1111")),TH!D302,""),"")</f>
        <v/>
      </c>
      <c r="B302" s="63">
        <f t="shared" si="40"/>
        <v>4</v>
      </c>
      <c r="C302" s="64">
        <f t="shared" si="38"/>
        <v>42485</v>
      </c>
      <c r="D302" s="64" t="s">
        <v>188</v>
      </c>
      <c r="E302" s="64">
        <v>42485</v>
      </c>
      <c r="F302" s="67" t="s">
        <v>915</v>
      </c>
      <c r="G302" s="375" t="s">
        <v>916</v>
      </c>
      <c r="H302" s="74" t="s">
        <v>88</v>
      </c>
      <c r="I302" s="514"/>
      <c r="J302" s="514"/>
      <c r="K302" s="506"/>
      <c r="L302" s="514"/>
      <c r="M302" s="100">
        <v>540940</v>
      </c>
      <c r="N302" s="68" t="s">
        <v>10</v>
      </c>
      <c r="O302" s="66" t="s">
        <v>98</v>
      </c>
      <c r="P302" s="66" t="str">
        <f>IF(AND('331-CT'!$E$7=TH!H302,OR(N302="331",O302="331")),"x","")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IF(AND('131-CT'!$H$9=TH!H302,OR(N302="131",O302="131")),"x","")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IF(OR(TH!N302=TH!$AB$7,O302=TH!$AB$7),"x","")</f>
        <v/>
      </c>
      <c r="AC302" s="66" t="str">
        <f t="shared" si="39"/>
        <v>2</v>
      </c>
      <c r="AD302" s="66" t="str">
        <f>IF(AND(MONTH(E302)='IN-NX'!$J$5,'IN-NX'!$D$7=D302,OR(LEFT(TH!N302,2)="15",LEFT(TH!O302,2)="15")),"x","")</f>
        <v/>
      </c>
      <c r="AE302" s="66" t="str">
        <f>IF(AND(OR(LEFT(TH!N302,2)="15",LEFT(TH!O302,2)="15"),'152-CT'!$J$8=TH!F302),"x","")</f>
        <v/>
      </c>
      <c r="AF302" s="66" t="str">
        <f>IF(AND(OR(LEFT(TH!N302,2)="15",LEFT(TH!O302,2)="15"),'THE KHO'!$E$7=TH!F302),"x","")</f>
        <v/>
      </c>
      <c r="AG302" s="66" t="str">
        <f>IF(AND(N302="1521",MONTH(C302)='BK NL'!$M$11),"x","")</f>
        <v/>
      </c>
      <c r="AI302" s="386">
        <v>1</v>
      </c>
    </row>
    <row r="303" spans="1:35" ht="15.75" hidden="1" customHeight="1">
      <c r="A303" s="397" t="str">
        <f>IF(B303&lt;&gt;"",IF(AND(B303&gt;=_TM1,B303&lt;=_TM2,OR(TH!N303="1111",TH!O303="1111")),TH!D303,""),"")</f>
        <v/>
      </c>
      <c r="B303" s="63">
        <f t="shared" si="40"/>
        <v>4</v>
      </c>
      <c r="C303" s="64">
        <f t="shared" si="38"/>
        <v>42486</v>
      </c>
      <c r="D303" s="64" t="s">
        <v>189</v>
      </c>
      <c r="E303" s="64">
        <v>42486</v>
      </c>
      <c r="F303" s="67" t="s">
        <v>186</v>
      </c>
      <c r="G303" s="375" t="s">
        <v>906</v>
      </c>
      <c r="H303" s="74" t="s">
        <v>907</v>
      </c>
      <c r="I303" s="514"/>
      <c r="J303" s="514"/>
      <c r="K303" s="506"/>
      <c r="L303" s="514"/>
      <c r="M303" s="65">
        <v>2180000</v>
      </c>
      <c r="N303" s="66" t="s">
        <v>243</v>
      </c>
      <c r="O303" s="66" t="s">
        <v>98</v>
      </c>
      <c r="P303" s="66" t="str">
        <f>IF(AND('331-CT'!$E$7=TH!H303,OR(N303="331",O303="331")),"x","")</f>
        <v/>
      </c>
      <c r="Q303" s="66" t="str">
        <f>IF(AND($B303&gt;='111'!$N$11,$B303&lt;='111'!$O$11,OR($N303=$Q$7,$O303=$Q$7)),"x","")</f>
        <v>x</v>
      </c>
      <c r="R303" s="66" t="str">
        <f>IF(AND($N303=$Q$7,$B303&lt;'111'!$N$11),"x","")</f>
        <v/>
      </c>
      <c r="S303" s="66" t="str">
        <f>IF(AND($O303=$Q$7,$B303&lt;'111'!$N$11),"x","")</f>
        <v/>
      </c>
      <c r="T303" s="66" t="str">
        <f>IF(AND($B303&gt;='112'!$M$9,$B303&lt;='112'!$N$9,OR($N303='112'!$I$6,$O303='112'!$I$6)),"x","")</f>
        <v/>
      </c>
      <c r="U303" s="66" t="str">
        <f>IF(AND($N303='112'!$I$6,$B303&lt;'112'!$M$9),"x","")</f>
        <v/>
      </c>
      <c r="V303" s="66" t="str">
        <f>IF(AND($O303='112'!$I$6,$B303&lt;'112'!$M$9),"x","")</f>
        <v/>
      </c>
      <c r="W303" s="66" t="str">
        <f>IF(AND('131-CT'!$H$9=TH!H303,OR(N303="131",O303="131")),"x","")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IF(OR(TH!N303=TH!$AB$7,O303=TH!$AB$7),"x","")</f>
        <v/>
      </c>
      <c r="AC303" s="66" t="str">
        <f t="shared" si="39"/>
        <v>2</v>
      </c>
      <c r="AD303" s="66" t="str">
        <f>IF(AND(MONTH(E303)='IN-NX'!$J$5,'IN-NX'!$D$7=D303,OR(LEFT(TH!N303,2)="15",LEFT(TH!O303,2)="15")),"x","")</f>
        <v/>
      </c>
      <c r="AE303" s="66" t="str">
        <f>IF(AND(OR(LEFT(TH!N303,2)="15",LEFT(TH!O303,2)="15"),'152-CT'!$J$8=TH!F303),"x","")</f>
        <v/>
      </c>
      <c r="AF303" s="66" t="str">
        <f>IF(AND(OR(LEFT(TH!N303,2)="15",LEFT(TH!O303,2)="15"),'THE KHO'!$E$7=TH!F303),"x","")</f>
        <v/>
      </c>
      <c r="AG303" s="66" t="str">
        <f>IF(AND(N303="1521",MONTH(C303)='BK NL'!$M$11),"x","")</f>
        <v/>
      </c>
    </row>
    <row r="304" spans="1:35" ht="15.75" hidden="1" customHeight="1">
      <c r="A304" s="397" t="str">
        <f>IF(B304&lt;&gt;"",IF(AND(B304&gt;=_TM1,B304&lt;=_TM2,OR(TH!N304="1111",TH!O304="1111")),TH!D304,""),"")</f>
        <v/>
      </c>
      <c r="B304" s="63">
        <f t="shared" si="40"/>
        <v>4</v>
      </c>
      <c r="C304" s="64">
        <v>42486</v>
      </c>
      <c r="D304" s="64" t="s">
        <v>45</v>
      </c>
      <c r="E304" s="64">
        <v>42486</v>
      </c>
      <c r="F304" s="67" t="s">
        <v>945</v>
      </c>
      <c r="G304" s="375" t="s">
        <v>951</v>
      </c>
      <c r="H304" s="74" t="s">
        <v>222</v>
      </c>
      <c r="I304" s="514"/>
      <c r="J304" s="514"/>
      <c r="K304" s="506"/>
      <c r="L304" s="514"/>
      <c r="M304" s="65">
        <v>37564400</v>
      </c>
      <c r="N304" s="66" t="s">
        <v>136</v>
      </c>
      <c r="O304" s="66" t="s">
        <v>9</v>
      </c>
      <c r="P304" s="66" t="str">
        <f>IF(AND('331-CT'!$E$7=TH!H304,OR(N304="331",O304="331")),"x","")</f>
        <v/>
      </c>
      <c r="Q304" s="66" t="str">
        <f>IF(AND($B304&gt;='111'!$N$11,$B304&lt;='111'!$O$11,OR($N304=$Q$7,$O304=$Q$7)),"x","")</f>
        <v/>
      </c>
      <c r="R304" s="66" t="str">
        <f>IF(AND($N304=$Q$7,$B304&lt;'111'!$N$11),"x","")</f>
        <v/>
      </c>
      <c r="S304" s="66" t="str">
        <f>IF(AND($O304=$Q$7,$B304&lt;'111'!$N$11),"x","")</f>
        <v/>
      </c>
      <c r="T304" s="66" t="str">
        <f>IF(AND($B304&gt;='112'!$M$9,$B304&lt;='112'!$N$9,OR($N304='112'!$I$6,$O304='112'!$I$6)),"x","")</f>
        <v/>
      </c>
      <c r="U304" s="66" t="str">
        <f>IF(AND($N304='112'!$I$6,$B304&lt;'112'!$M$9),"x","")</f>
        <v/>
      </c>
      <c r="V304" s="66" t="str">
        <f>IF(AND($O304='112'!$I$6,$B304&lt;'112'!$M$9),"x","")</f>
        <v/>
      </c>
      <c r="W304" s="66" t="str">
        <f>IF(AND('131-CT'!$H$9=TH!H304,OR(N304="131",O304="131")),"x","")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IF(OR(TH!N304=TH!$AB$7,O304=TH!$AB$7),"x","")</f>
        <v/>
      </c>
      <c r="AC304" s="66" t="str">
        <f t="shared" si="39"/>
        <v>2</v>
      </c>
      <c r="AD304" s="66" t="str">
        <f>IF(AND(MONTH(E304)='IN-NX'!$J$5,'IN-NX'!$D$7=D304,OR(LEFT(TH!N304,2)="15",LEFT(TH!O304,2)="15")),"x","")</f>
        <v/>
      </c>
      <c r="AE304" s="66" t="str">
        <f>IF(AND(OR(LEFT(TH!N304,2)="15",LEFT(TH!O304,2)="15"),'152-CT'!$J$8=TH!F304),"x","")</f>
        <v/>
      </c>
      <c r="AF304" s="66" t="str">
        <f>IF(AND(OR(LEFT(TH!N304,2)="15",LEFT(TH!O304,2)="15"),'THE KHO'!$E$7=TH!F304),"x","")</f>
        <v/>
      </c>
      <c r="AG304" s="66" t="str">
        <f>IF(AND(N304="1521",MONTH(C304)='BK NL'!$M$11),"x","")</f>
        <v/>
      </c>
      <c r="AI304" s="386">
        <v>1</v>
      </c>
    </row>
    <row r="305" spans="1:35" ht="15.75" hidden="1" customHeight="1">
      <c r="A305" s="397" t="str">
        <f>IF(B305&lt;&gt;"",IF(AND(B305&gt;=_TM1,B305&lt;=_TM2,OR(TH!N305="1111",TH!O305="1111")),TH!D305,""),"")</f>
        <v/>
      </c>
      <c r="B305" s="63">
        <f t="shared" si="40"/>
        <v>4</v>
      </c>
      <c r="C305" s="64">
        <v>42486</v>
      </c>
      <c r="D305" s="64" t="s">
        <v>45</v>
      </c>
      <c r="E305" s="64">
        <v>42486</v>
      </c>
      <c r="F305" s="67" t="s">
        <v>946</v>
      </c>
      <c r="G305" s="375" t="s">
        <v>951</v>
      </c>
      <c r="H305" s="74" t="s">
        <v>222</v>
      </c>
      <c r="I305" s="514"/>
      <c r="J305" s="514"/>
      <c r="K305" s="506"/>
      <c r="L305" s="514"/>
      <c r="M305" s="100">
        <v>3756440</v>
      </c>
      <c r="N305" s="66" t="s">
        <v>10</v>
      </c>
      <c r="O305" s="66" t="s">
        <v>9</v>
      </c>
      <c r="P305" s="66" t="str">
        <f>IF(AND('331-CT'!$E$7=TH!H305,OR(N305="331",O305="331")),"x","")</f>
        <v/>
      </c>
      <c r="Q305" s="66" t="str">
        <f>IF(AND($B305&gt;='111'!$N$11,$B305&lt;='111'!$O$11,OR($N305=$Q$7,$O305=$Q$7)),"x","")</f>
        <v/>
      </c>
      <c r="R305" s="66" t="str">
        <f>IF(AND($N305=$Q$7,$B305&lt;'111'!$N$11),"x","")</f>
        <v/>
      </c>
      <c r="S305" s="66" t="str">
        <f>IF(AND($O305=$Q$7,$B305&lt;'111'!$N$11),"x","")</f>
        <v/>
      </c>
      <c r="T305" s="66" t="str">
        <f>IF(AND($B305&gt;='112'!$M$9,$B305&lt;='112'!$N$9,OR($N305='112'!$I$6,$O305='112'!$I$6)),"x","")</f>
        <v/>
      </c>
      <c r="U305" s="66" t="str">
        <f>IF(AND($N305='112'!$I$6,$B305&lt;'112'!$M$9),"x","")</f>
        <v/>
      </c>
      <c r="V305" s="66" t="str">
        <f>IF(AND($O305='112'!$I$6,$B305&lt;'112'!$M$9),"x","")</f>
        <v/>
      </c>
      <c r="W305" s="66" t="str">
        <f>IF(AND('131-CT'!$H$9=TH!H305,OR(N305="131",O305="131")),"x","")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IF(OR(TH!N305=TH!$AB$7,O305=TH!$AB$7),"x","")</f>
        <v/>
      </c>
      <c r="AC305" s="66" t="str">
        <f t="shared" si="39"/>
        <v>2</v>
      </c>
      <c r="AD305" s="66" t="str">
        <f>IF(AND(MONTH(E305)='IN-NX'!$J$5,'IN-NX'!$D$7=D305,OR(LEFT(TH!N305,2)="15",LEFT(TH!O305,2)="15")),"x","")</f>
        <v/>
      </c>
      <c r="AE305" s="66" t="str">
        <f>IF(AND(OR(LEFT(TH!N305,2)="15",LEFT(TH!O305,2)="15"),'152-CT'!$J$8=TH!F305),"x","")</f>
        <v/>
      </c>
      <c r="AF305" s="66" t="str">
        <f>IF(AND(OR(LEFT(TH!N305,2)="15",LEFT(TH!O305,2)="15"),'THE KHO'!$E$7=TH!F305),"x","")</f>
        <v/>
      </c>
      <c r="AG305" s="66" t="str">
        <f>IF(AND(N305="1521",MONTH(C305)='BK NL'!$M$11),"x","")</f>
        <v/>
      </c>
      <c r="AI305" s="386">
        <v>1</v>
      </c>
    </row>
    <row r="306" spans="1:35" ht="15.75" hidden="1" customHeight="1">
      <c r="A306" s="397" t="str">
        <f>IF(B306&lt;&gt;"",IF(AND(B306&gt;=_TM1,B306&lt;=_TM2,OR(TH!N306="1111",TH!O306="1111")),TH!D306,""),"")</f>
        <v/>
      </c>
      <c r="B306" s="63">
        <f t="shared" si="40"/>
        <v>4</v>
      </c>
      <c r="C306" s="64">
        <f t="shared" ref="C306:C320" si="41">E306</f>
        <v>42487</v>
      </c>
      <c r="D306" s="64" t="s">
        <v>190</v>
      </c>
      <c r="E306" s="64">
        <v>42487</v>
      </c>
      <c r="F306" s="67" t="s">
        <v>186</v>
      </c>
      <c r="G306" s="375" t="s">
        <v>908</v>
      </c>
      <c r="H306" s="74" t="s">
        <v>851</v>
      </c>
      <c r="I306" s="514"/>
      <c r="J306" s="514"/>
      <c r="K306" s="506"/>
      <c r="L306" s="514"/>
      <c r="M306" s="65">
        <v>1500000</v>
      </c>
      <c r="N306" s="66" t="s">
        <v>243</v>
      </c>
      <c r="O306" s="66" t="s">
        <v>98</v>
      </c>
      <c r="P306" s="66" t="str">
        <f>IF(AND('331-CT'!$E$7=TH!H306,OR(N306="331",O306="331")),"x","")</f>
        <v/>
      </c>
      <c r="Q306" s="66" t="str">
        <f>IF(AND($B306&gt;='111'!$N$11,$B306&lt;='111'!$O$11,OR($N306=$Q$7,$O306=$Q$7)),"x","")</f>
        <v>x</v>
      </c>
      <c r="R306" s="66" t="str">
        <f>IF(AND($N306=$Q$7,$B306&lt;'111'!$N$11),"x","")</f>
        <v/>
      </c>
      <c r="S306" s="66" t="str">
        <f>IF(AND($O306=$Q$7,$B306&lt;'111'!$N$11),"x","")</f>
        <v/>
      </c>
      <c r="T306" s="66" t="str">
        <f>IF(AND($B306&gt;='112'!$M$9,$B306&lt;='112'!$N$9,OR($N306='112'!$I$6,$O306='112'!$I$6)),"x","")</f>
        <v/>
      </c>
      <c r="U306" s="66" t="str">
        <f>IF(AND($N306='112'!$I$6,$B306&lt;'112'!$M$9),"x","")</f>
        <v/>
      </c>
      <c r="V306" s="66" t="str">
        <f>IF(AND($O306='112'!$I$6,$B306&lt;'112'!$M$9),"x","")</f>
        <v/>
      </c>
      <c r="W306" s="66" t="str">
        <f>IF(AND('131-CT'!$H$9=TH!H306,OR(N306="131",O306="131")),"x","")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IF(OR(TH!N306=TH!$AB$7,O306=TH!$AB$7),"x","")</f>
        <v/>
      </c>
      <c r="AC306" s="66" t="str">
        <f t="shared" si="39"/>
        <v>2</v>
      </c>
      <c r="AD306" s="66" t="str">
        <f>IF(AND(MONTH(E306)='IN-NX'!$J$5,'IN-NX'!$D$7=D306,OR(LEFT(TH!N306,2)="15",LEFT(TH!O306,2)="15")),"x","")</f>
        <v/>
      </c>
      <c r="AE306" s="66" t="str">
        <f>IF(AND(OR(LEFT(TH!N306,2)="15",LEFT(TH!O306,2)="15"),'152-CT'!$J$8=TH!F306),"x","")</f>
        <v/>
      </c>
      <c r="AF306" s="66" t="str">
        <f>IF(AND(OR(LEFT(TH!N306,2)="15",LEFT(TH!O306,2)="15"),'THE KHO'!$E$7=TH!F306),"x","")</f>
        <v/>
      </c>
      <c r="AG306" s="66" t="str">
        <f>IF(AND(N306="1521",MONTH(C306)='BK NL'!$M$11),"x","")</f>
        <v/>
      </c>
    </row>
    <row r="307" spans="1:35" ht="15.75" hidden="1" customHeight="1">
      <c r="A307" s="397" t="str">
        <f>IF(B307&lt;&gt;"",IF(AND(B307&gt;=_TM1,B307&lt;=_TM2,OR(TH!N307="1111",TH!O307="1111")),TH!D307,""),"")</f>
        <v/>
      </c>
      <c r="B307" s="63">
        <f t="shared" si="40"/>
        <v>4</v>
      </c>
      <c r="C307" s="64">
        <f t="shared" si="41"/>
        <v>42487</v>
      </c>
      <c r="D307" s="64" t="s">
        <v>191</v>
      </c>
      <c r="E307" s="64">
        <v>42487</v>
      </c>
      <c r="F307" s="67" t="s">
        <v>419</v>
      </c>
      <c r="G307" s="361" t="s">
        <v>808</v>
      </c>
      <c r="H307" s="405" t="s">
        <v>835</v>
      </c>
      <c r="I307" s="517"/>
      <c r="J307" s="517"/>
      <c r="K307" s="509"/>
      <c r="L307" s="517"/>
      <c r="M307" s="65">
        <v>47000000</v>
      </c>
      <c r="N307" s="66" t="s">
        <v>31</v>
      </c>
      <c r="O307" s="66" t="s">
        <v>98</v>
      </c>
      <c r="P307" s="66" t="str">
        <f>IF(AND('331-CT'!$E$7=TH!H307,OR(N307="331",O307="331")),"x","")</f>
        <v/>
      </c>
      <c r="Q307" s="66" t="str">
        <f>IF(AND($B307&gt;='111'!$N$11,$B307&lt;='111'!$O$11,OR($N307=$Q$7,$O307=$Q$7)),"x","")</f>
        <v>x</v>
      </c>
      <c r="R307" s="66" t="str">
        <f>IF(AND($N307=$Q$7,$B307&lt;'111'!$N$11),"x","")</f>
        <v/>
      </c>
      <c r="S307" s="66" t="str">
        <f>IF(AND($O307=$Q$7,$B307&lt;'111'!$N$11),"x","")</f>
        <v/>
      </c>
      <c r="T307" s="66" t="str">
        <f>IF(AND($B307&gt;='112'!$M$9,$B307&lt;='112'!$N$9,OR($N307='112'!$I$6,$O307='112'!$I$6)),"x","")</f>
        <v>x</v>
      </c>
      <c r="U307" s="66" t="str">
        <f>IF(AND($N307='112'!$I$6,$B307&lt;'112'!$M$9),"x","")</f>
        <v/>
      </c>
      <c r="V307" s="66" t="str">
        <f>IF(AND($O307='112'!$I$6,$B307&lt;'112'!$M$9),"x","")</f>
        <v/>
      </c>
      <c r="W307" s="66" t="str">
        <f>IF(AND('131-CT'!$H$9=TH!H307,OR(N307="131",O307="131")),"x","")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IF(OR(TH!N307=TH!$AB$7,O307=TH!$AB$7),"x","")</f>
        <v/>
      </c>
      <c r="AC307" s="66" t="str">
        <f t="shared" si="39"/>
        <v>2</v>
      </c>
      <c r="AD307" s="66" t="str">
        <f>IF(AND(MONTH(E307)='IN-NX'!$J$5,'IN-NX'!$D$7=D307,OR(LEFT(TH!N307,2)="15",LEFT(TH!O307,2)="15")),"x","")</f>
        <v/>
      </c>
      <c r="AE307" s="66" t="str">
        <f>IF(AND(OR(LEFT(TH!N307,2)="15",LEFT(TH!O307,2)="15"),'152-CT'!$J$8=TH!F307),"x","")</f>
        <v/>
      </c>
      <c r="AF307" s="66" t="str">
        <f>IF(AND(OR(LEFT(TH!N307,2)="15",LEFT(TH!O307,2)="15"),'THE KHO'!$E$7=TH!F307),"x","")</f>
        <v/>
      </c>
      <c r="AG307" s="66" t="str">
        <f>IF(AND(N307="1521",MONTH(C307)='BK NL'!$M$11),"x","")</f>
        <v/>
      </c>
    </row>
    <row r="308" spans="1:35" ht="15.75" hidden="1" customHeight="1">
      <c r="A308" s="397" t="str">
        <f>IF(B308&lt;&gt;"",IF(AND(B308&gt;=_TM1,B308&lt;=_TM2,OR(TH!N308="1111",TH!O308="1111")),TH!D308,""),"")</f>
        <v/>
      </c>
      <c r="B308" s="63">
        <f t="shared" ref="B308:B339" si="42">IF(C308&lt;&gt;"",MONTH(C308),"")</f>
        <v>4</v>
      </c>
      <c r="C308" s="64">
        <f t="shared" si="41"/>
        <v>42487</v>
      </c>
      <c r="D308" s="64" t="s">
        <v>8</v>
      </c>
      <c r="E308" s="64">
        <v>42487</v>
      </c>
      <c r="F308" s="67" t="s">
        <v>967</v>
      </c>
      <c r="G308" s="375" t="s">
        <v>808</v>
      </c>
      <c r="H308" s="74" t="s">
        <v>222</v>
      </c>
      <c r="I308" s="514"/>
      <c r="J308" s="514"/>
      <c r="K308" s="506"/>
      <c r="L308" s="514"/>
      <c r="M308" s="65">
        <v>46697530</v>
      </c>
      <c r="N308" s="66" t="s">
        <v>9</v>
      </c>
      <c r="O308" s="66" t="s">
        <v>31</v>
      </c>
      <c r="P308" s="66" t="str">
        <f>IF(AND('331-CT'!$E$7=TH!H308,OR(N308="331",O308="331")),"x","")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IF(AND('131-CT'!$H$9=TH!H308,OR(N308="131",O308="131")),"x","")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IF(OR(TH!N308=TH!$AB$7,O308=TH!$AB$7),"x","")</f>
        <v/>
      </c>
      <c r="AC308" s="66" t="str">
        <f t="shared" si="39"/>
        <v>2</v>
      </c>
      <c r="AD308" s="66" t="str">
        <f>IF(AND(MONTH(E308)='IN-NX'!$J$5,'IN-NX'!$D$7=D308,OR(LEFT(TH!N308,2)="15",LEFT(TH!O308,2)="15")),"x","")</f>
        <v/>
      </c>
      <c r="AE308" s="66" t="str">
        <f>IF(AND(OR(LEFT(TH!N308,2)="15",LEFT(TH!O308,2)="15"),'152-CT'!$J$8=TH!F308),"x","")</f>
        <v/>
      </c>
      <c r="AF308" s="66" t="str">
        <f>IF(AND(OR(LEFT(TH!N308,2)="15",LEFT(TH!O308,2)="15"),'THE KHO'!$E$7=TH!F308),"x","")</f>
        <v/>
      </c>
      <c r="AG308" s="66" t="str">
        <f>IF(AND(N308="1521",MONTH(C308)='BK NL'!$M$11),"x","")</f>
        <v/>
      </c>
    </row>
    <row r="309" spans="1:35" ht="15.75" hidden="1" customHeight="1">
      <c r="A309" s="397" t="str">
        <f>IF(B309&lt;&gt;"",IF(AND(B309&gt;=_TM1,B309&lt;=_TM2,OR(TH!N309="1111",TH!O309="1111")),TH!D309,""),"")</f>
        <v/>
      </c>
      <c r="B309" s="63">
        <f t="shared" si="42"/>
        <v>4</v>
      </c>
      <c r="C309" s="64">
        <f t="shared" si="41"/>
        <v>42487</v>
      </c>
      <c r="D309" s="64" t="s">
        <v>8</v>
      </c>
      <c r="E309" s="64">
        <v>42487</v>
      </c>
      <c r="F309" s="67" t="s">
        <v>22</v>
      </c>
      <c r="G309" s="375" t="s">
        <v>808</v>
      </c>
      <c r="H309" s="404"/>
      <c r="I309" s="515"/>
      <c r="J309" s="515"/>
      <c r="K309" s="507"/>
      <c r="L309" s="515"/>
      <c r="M309" s="65">
        <v>45000</v>
      </c>
      <c r="N309" s="66" t="s">
        <v>136</v>
      </c>
      <c r="O309" s="66" t="s">
        <v>31</v>
      </c>
      <c r="P309" s="66" t="str">
        <f>IF(AND('331-CT'!$E$7=TH!H309,OR(N309="331",O309="331")),"x","")</f>
        <v/>
      </c>
      <c r="Q309" s="66" t="str">
        <f>IF(AND($B309&gt;='111'!$N$11,$B309&lt;='111'!$O$11,OR($N309=$Q$7,$O309=$Q$7)),"x","")</f>
        <v/>
      </c>
      <c r="R309" s="66" t="str">
        <f>IF(AND($N309=$Q$7,$B309&lt;'111'!$N$11),"x","")</f>
        <v/>
      </c>
      <c r="S309" s="66" t="str">
        <f>IF(AND($O309=$Q$7,$B309&lt;'111'!$N$11),"x","")</f>
        <v/>
      </c>
      <c r="T309" s="66" t="str">
        <f>IF(AND($B309&gt;='112'!$M$9,$B309&lt;='112'!$N$9,OR($N309='112'!$I$6,$O309='112'!$I$6)),"x","")</f>
        <v>x</v>
      </c>
      <c r="U309" s="66" t="str">
        <f>IF(AND($N309='112'!$I$6,$B309&lt;'112'!$M$9),"x","")</f>
        <v/>
      </c>
      <c r="V309" s="66" t="str">
        <f>IF(AND($O309='112'!$I$6,$B309&lt;'112'!$M$9),"x","")</f>
        <v/>
      </c>
      <c r="W309" s="66" t="str">
        <f>IF(AND('131-CT'!$H$9=TH!H309,OR(N309="131",O309="131")),"x","")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IF(OR(TH!N309=TH!$AB$7,O309=TH!$AB$7),"x","")</f>
        <v/>
      </c>
      <c r="AC309" s="66" t="str">
        <f t="shared" si="39"/>
        <v>2</v>
      </c>
      <c r="AD309" s="66" t="str">
        <f>IF(AND(MONTH(E309)='IN-NX'!$J$5,'IN-NX'!$D$7=D309,OR(LEFT(TH!N309,2)="15",LEFT(TH!O309,2)="15")),"x","")</f>
        <v/>
      </c>
      <c r="AE309" s="66" t="str">
        <f>IF(AND(OR(LEFT(TH!N309,2)="15",LEFT(TH!O309,2)="15"),'152-CT'!$J$8=TH!F309),"x","")</f>
        <v/>
      </c>
      <c r="AF309" s="66" t="str">
        <f>IF(AND(OR(LEFT(TH!N309,2)="15",LEFT(TH!O309,2)="15"),'THE KHO'!$E$7=TH!F309),"x","")</f>
        <v/>
      </c>
      <c r="AG309" s="66" t="str">
        <f>IF(AND(N309="1521",MONTH(C309)='BK NL'!$M$11),"x","")</f>
        <v/>
      </c>
      <c r="AI309" s="386">
        <v>1</v>
      </c>
    </row>
    <row r="310" spans="1:35" ht="15.75" hidden="1" customHeight="1">
      <c r="A310" s="397" t="str">
        <f>IF(B310&lt;&gt;"",IF(AND(B310&gt;=_TM1,B310&lt;=_TM2,OR(TH!N310="1111",TH!O310="1111")),TH!D310,""),"")</f>
        <v/>
      </c>
      <c r="B310" s="63">
        <f t="shared" si="42"/>
        <v>4</v>
      </c>
      <c r="C310" s="64">
        <f t="shared" si="41"/>
        <v>42487</v>
      </c>
      <c r="D310" s="64" t="s">
        <v>8</v>
      </c>
      <c r="E310" s="64">
        <v>42487</v>
      </c>
      <c r="F310" s="67" t="s">
        <v>23</v>
      </c>
      <c r="G310" s="375" t="s">
        <v>808</v>
      </c>
      <c r="H310" s="74"/>
      <c r="I310" s="514"/>
      <c r="J310" s="514"/>
      <c r="K310" s="506"/>
      <c r="L310" s="514"/>
      <c r="M310" s="100">
        <v>4500</v>
      </c>
      <c r="N310" s="66" t="s">
        <v>10</v>
      </c>
      <c r="O310" s="66" t="s">
        <v>31</v>
      </c>
      <c r="P310" s="66" t="str">
        <f>IF(AND('331-CT'!$E$7=TH!H310,OR(N310="331",O310="331")),"x","")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IF(AND('131-CT'!$H$9=TH!H310,OR(N310="131",O310="131")),"x","")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IF(OR(TH!N310=TH!$AB$7,O310=TH!$AB$7),"x","")</f>
        <v/>
      </c>
      <c r="AC310" s="66" t="str">
        <f t="shared" si="39"/>
        <v>2</v>
      </c>
      <c r="AD310" s="66" t="str">
        <f>IF(AND(MONTH(E310)='IN-NX'!$J$5,'IN-NX'!$D$7=D310,OR(LEFT(TH!N310,2)="15",LEFT(TH!O310,2)="15")),"x","")</f>
        <v/>
      </c>
      <c r="AE310" s="66" t="str">
        <f>IF(AND(OR(LEFT(TH!N310,2)="15",LEFT(TH!O310,2)="15"),'152-CT'!$J$8=TH!F310),"x","")</f>
        <v/>
      </c>
      <c r="AF310" s="66" t="str">
        <f>IF(AND(OR(LEFT(TH!N310,2)="15",LEFT(TH!O310,2)="15"),'THE KHO'!$E$7=TH!F310),"x","")</f>
        <v/>
      </c>
      <c r="AG310" s="66" t="str">
        <f>IF(AND(N310="1521",MONTH(C310)='BK NL'!$M$11),"x","")</f>
        <v/>
      </c>
      <c r="AI310" s="386">
        <v>1</v>
      </c>
    </row>
    <row r="311" spans="1:35" ht="15.75" hidden="1" customHeight="1">
      <c r="A311" s="397" t="str">
        <f>IF(B311&lt;&gt;"",IF(AND(B311&gt;=_TM1,B311&lt;=_TM2,OR(TH!N311="1111",TH!O311="1111")),TH!D311,""),"")</f>
        <v/>
      </c>
      <c r="B311" s="63">
        <f t="shared" si="42"/>
        <v>5</v>
      </c>
      <c r="C311" s="64">
        <f t="shared" si="41"/>
        <v>42491</v>
      </c>
      <c r="D311" s="64" t="s">
        <v>11</v>
      </c>
      <c r="E311" s="64">
        <v>42491</v>
      </c>
      <c r="F311" s="67" t="s">
        <v>798</v>
      </c>
      <c r="G311" s="375" t="s">
        <v>808</v>
      </c>
      <c r="H311" s="67" t="s">
        <v>183</v>
      </c>
      <c r="I311" s="514"/>
      <c r="J311" s="514"/>
      <c r="K311" s="506"/>
      <c r="L311" s="514"/>
      <c r="M311" s="65">
        <v>1000000000</v>
      </c>
      <c r="N311" s="66" t="s">
        <v>98</v>
      </c>
      <c r="O311" s="66" t="s">
        <v>24</v>
      </c>
      <c r="P311" s="66" t="str">
        <f>IF(AND('331-CT'!$E$7=TH!H311,OR(N311="331",O311="331")),"x","")</f>
        <v/>
      </c>
      <c r="Q311" s="66" t="str">
        <f>IF(AND($B311&gt;='111'!$N$11,$B311&lt;='111'!$O$11,OR($N311=$Q$7,$O311=$Q$7)),"x","")</f>
        <v>x</v>
      </c>
      <c r="R311" s="66" t="str">
        <f>IF(AND($N311=$Q$7,$B311&lt;'111'!$N$11),"x","")</f>
        <v/>
      </c>
      <c r="S311" s="66" t="str">
        <f>IF(AND($O311=$Q$7,$B311&lt;'111'!$N$11),"x","")</f>
        <v/>
      </c>
      <c r="T311" s="66" t="str">
        <f>IF(AND($B311&gt;='112'!$M$9,$B311&lt;='112'!$N$9,OR($N311='112'!$I$6,$O311='112'!$I$6)),"x","")</f>
        <v/>
      </c>
      <c r="U311" s="66" t="str">
        <f>IF(AND($N311='112'!$I$6,$B311&lt;'112'!$M$9),"x","")</f>
        <v/>
      </c>
      <c r="V311" s="66" t="str">
        <f>IF(AND($O311='112'!$I$6,$B311&lt;'112'!$M$9),"x","")</f>
        <v/>
      </c>
      <c r="W311" s="66" t="str">
        <f>IF(AND('131-CT'!$H$9=TH!H311,OR(N311="131",O311="131")),"x","")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IF(OR(TH!N311=TH!$AB$7,O311=TH!$AB$7),"x","")</f>
        <v/>
      </c>
      <c r="AC311" s="66" t="str">
        <f t="shared" si="39"/>
        <v>2</v>
      </c>
      <c r="AD311" s="66" t="str">
        <f>IF(AND(MONTH(E311)='IN-NX'!$J$5,'IN-NX'!$D$7=D311,OR(LEFT(TH!N311,2)="15",LEFT(TH!O311,2)="15")),"x","")</f>
        <v/>
      </c>
      <c r="AE311" s="66" t="str">
        <f>IF(AND(OR(LEFT(TH!N311,2)="15",LEFT(TH!O311,2)="15"),'152-CT'!$J$8=TH!F311),"x","")</f>
        <v/>
      </c>
      <c r="AF311" s="66" t="str">
        <f>IF(AND(OR(LEFT(TH!N311,2)="15",LEFT(TH!O311,2)="15"),'THE KHO'!$E$7=TH!F311),"x","")</f>
        <v/>
      </c>
      <c r="AG311" s="66" t="str">
        <f>IF(AND(N311="1521",MONTH(C311)='BK NL'!$M$11),"x","")</f>
        <v/>
      </c>
    </row>
    <row r="312" spans="1:35" ht="15.75" hidden="1" customHeight="1">
      <c r="A312" s="397" t="str">
        <f>IF(B312&lt;&gt;"",IF(AND(B312&gt;=_TM1,B312&lt;=_TM2,OR(TH!N312="1111",TH!O312="1111")),TH!D312,""),"")</f>
        <v/>
      </c>
      <c r="B312" s="63">
        <f t="shared" si="42"/>
        <v>5</v>
      </c>
      <c r="C312" s="64">
        <f t="shared" si="41"/>
        <v>42494</v>
      </c>
      <c r="D312" s="64" t="s">
        <v>12</v>
      </c>
      <c r="E312" s="64">
        <v>42494</v>
      </c>
      <c r="F312" s="67" t="s">
        <v>798</v>
      </c>
      <c r="G312" s="361" t="s">
        <v>808</v>
      </c>
      <c r="H312" s="74" t="s">
        <v>439</v>
      </c>
      <c r="I312" s="514"/>
      <c r="J312" s="514"/>
      <c r="K312" s="506"/>
      <c r="L312" s="514"/>
      <c r="M312" s="65">
        <v>95000000</v>
      </c>
      <c r="N312" s="66" t="s">
        <v>31</v>
      </c>
      <c r="O312" s="66" t="s">
        <v>107</v>
      </c>
      <c r="P312" s="66" t="str">
        <f>IF(AND('331-CT'!$E$7=TH!H312,OR(N312="331",O312="331")),"x","")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IF(AND('131-CT'!$H$9=TH!H312,OR(N312="131",O312="131")),"x","")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IF(OR(TH!N312=TH!$AB$7,O312=TH!$AB$7),"x","")</f>
        <v>x</v>
      </c>
      <c r="AC312" s="66" t="str">
        <f t="shared" si="39"/>
        <v>2</v>
      </c>
      <c r="AD312" s="66" t="str">
        <f>IF(AND(MONTH(E312)='IN-NX'!$J$5,'IN-NX'!$D$7=D312,OR(LEFT(TH!N312,2)="15",LEFT(TH!O312,2)="15")),"x","")</f>
        <v/>
      </c>
      <c r="AE312" s="66" t="str">
        <f>IF(AND(OR(LEFT(TH!N312,2)="15",LEFT(TH!O312,2)="15"),'152-CT'!$J$8=TH!F312),"x","")</f>
        <v/>
      </c>
      <c r="AF312" s="66" t="str">
        <f>IF(AND(OR(LEFT(TH!N312,2)="15",LEFT(TH!O312,2)="15"),'THE KHO'!$E$7=TH!F312),"x","")</f>
        <v/>
      </c>
      <c r="AG312" s="66" t="str">
        <f>IF(AND(N312="1521",MONTH(C312)='BK NL'!$M$11),"x","")</f>
        <v/>
      </c>
    </row>
    <row r="313" spans="1:35" s="406" customFormat="1" ht="15.75" hidden="1" customHeight="1">
      <c r="A313" s="397" t="str">
        <f>IF(B313&lt;&gt;"",IF(AND(B313&gt;=_TM1,B313&lt;=_TM2,OR(TH!N313="1111",TH!O313="1111")),TH!D313,""),"")</f>
        <v/>
      </c>
      <c r="B313" s="63">
        <f t="shared" si="42"/>
        <v>5</v>
      </c>
      <c r="C313" s="64">
        <f t="shared" si="41"/>
        <v>42494</v>
      </c>
      <c r="D313" s="64" t="s">
        <v>192</v>
      </c>
      <c r="E313" s="64">
        <v>42494</v>
      </c>
      <c r="F313" s="67" t="s">
        <v>447</v>
      </c>
      <c r="G313" s="361" t="s">
        <v>808</v>
      </c>
      <c r="H313" s="74" t="s">
        <v>439</v>
      </c>
      <c r="I313" s="514"/>
      <c r="J313" s="514"/>
      <c r="K313" s="506"/>
      <c r="L313" s="514"/>
      <c r="M313" s="65">
        <v>95000000</v>
      </c>
      <c r="N313" s="66" t="s">
        <v>107</v>
      </c>
      <c r="O313" s="66" t="s">
        <v>98</v>
      </c>
      <c r="P313" s="66" t="str">
        <f>IF(AND('331-CT'!$E$7=TH!H313,OR(N313="331",O313="331")),"x","")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IF(AND('131-CT'!$H$9=TH!H313,OR(N313="131",O313="131")),"x","")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IF(OR(TH!N313=TH!$AB$7,O313=TH!$AB$7),"x","")</f>
        <v>x</v>
      </c>
      <c r="AC313" s="66" t="str">
        <f t="shared" si="39"/>
        <v>2</v>
      </c>
      <c r="AD313" s="66" t="str">
        <f>IF(AND(MONTH(E313)='IN-NX'!$J$5,'IN-NX'!$D$7=D313,OR(LEFT(TH!N313,2)="15",LEFT(TH!O313,2)="15")),"x","")</f>
        <v/>
      </c>
      <c r="AE313" s="66" t="str">
        <f>IF(AND(OR(LEFT(TH!N313,2)="15",LEFT(TH!O313,2)="15"),'152-CT'!$J$8=TH!F313),"x","")</f>
        <v/>
      </c>
      <c r="AF313" s="66" t="str">
        <f>IF(AND(OR(LEFT(TH!N313,2)="15",LEFT(TH!O313,2)="15"),'THE KHO'!$E$7=TH!F313),"x","")</f>
        <v/>
      </c>
      <c r="AG313" s="66" t="str">
        <f>IF(AND(N313="1521",MONTH(C313)='BK NL'!$M$11),"x","")</f>
        <v/>
      </c>
      <c r="AH313" s="386"/>
      <c r="AI313" s="386"/>
    </row>
    <row r="314" spans="1:35" ht="15.75" hidden="1" customHeight="1">
      <c r="A314" s="397" t="str">
        <f>IF(B314&lt;&gt;"",IF(AND(B314&gt;=_TM1,B314&lt;=_TM2,OR(TH!N314="1111",TH!O314="1111")),TH!D314,""),"")</f>
        <v/>
      </c>
      <c r="B314" s="63">
        <f t="shared" si="42"/>
        <v>5</v>
      </c>
      <c r="C314" s="64">
        <f t="shared" si="41"/>
        <v>42494</v>
      </c>
      <c r="D314" s="64" t="s">
        <v>8</v>
      </c>
      <c r="E314" s="64">
        <v>42494</v>
      </c>
      <c r="F314" s="67" t="s">
        <v>968</v>
      </c>
      <c r="G314" s="375" t="s">
        <v>808</v>
      </c>
      <c r="H314" s="74" t="s">
        <v>222</v>
      </c>
      <c r="I314" s="514"/>
      <c r="J314" s="514"/>
      <c r="K314" s="506"/>
      <c r="L314" s="514"/>
      <c r="M314" s="65">
        <v>92467100</v>
      </c>
      <c r="N314" s="66" t="s">
        <v>9</v>
      </c>
      <c r="O314" s="66" t="s">
        <v>31</v>
      </c>
      <c r="P314" s="66" t="str">
        <f>IF(AND('331-CT'!$E$7=TH!H314,OR(N314="331",O314="331")),"x","")</f>
        <v/>
      </c>
      <c r="Q314" s="66" t="str">
        <f>IF(AND($B314&gt;='111'!$N$11,$B314&lt;='111'!$O$11,OR($N314=$Q$7,$O314=$Q$7)),"x","")</f>
        <v/>
      </c>
      <c r="R314" s="66" t="str">
        <f>IF(AND($N314=$Q$7,$B314&lt;'111'!$N$11),"x","")</f>
        <v/>
      </c>
      <c r="S314" s="66" t="str">
        <f>IF(AND($O314=$Q$7,$B314&lt;'111'!$N$11),"x","")</f>
        <v/>
      </c>
      <c r="T314" s="66" t="str">
        <f>IF(AND($B314&gt;='112'!$M$9,$B314&lt;='112'!$N$9,OR($N314='112'!$I$6,$O314='112'!$I$6)),"x","")</f>
        <v>x</v>
      </c>
      <c r="U314" s="66" t="str">
        <f>IF(AND($N314='112'!$I$6,$B314&lt;'112'!$M$9),"x","")</f>
        <v/>
      </c>
      <c r="V314" s="66" t="str">
        <f>IF(AND($O314='112'!$I$6,$B314&lt;'112'!$M$9),"x","")</f>
        <v/>
      </c>
      <c r="W314" s="66" t="str">
        <f>IF(AND('131-CT'!$H$9=TH!H314,OR(N314="131",O314="131")),"x","")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IF(OR(TH!N314=TH!$AB$7,O314=TH!$AB$7),"x","")</f>
        <v/>
      </c>
      <c r="AC314" s="66" t="str">
        <f t="shared" si="39"/>
        <v>2</v>
      </c>
      <c r="AD314" s="66" t="str">
        <f>IF(AND(MONTH(E314)='IN-NX'!$J$5,'IN-NX'!$D$7=D314,OR(LEFT(TH!N314,2)="15",LEFT(TH!O314,2)="15")),"x","")</f>
        <v/>
      </c>
      <c r="AE314" s="66" t="str">
        <f>IF(AND(OR(LEFT(TH!N314,2)="15",LEFT(TH!O314,2)="15"),'152-CT'!$J$8=TH!F314),"x","")</f>
        <v/>
      </c>
      <c r="AF314" s="66" t="str">
        <f>IF(AND(OR(LEFT(TH!N314,2)="15",LEFT(TH!O314,2)="15"),'THE KHO'!$E$7=TH!F314),"x","")</f>
        <v/>
      </c>
      <c r="AG314" s="66" t="str">
        <f>IF(AND(N314="1521",MONTH(C314)='BK NL'!$M$11),"x","")</f>
        <v/>
      </c>
    </row>
    <row r="315" spans="1:35" ht="15.75" hidden="1" customHeight="1">
      <c r="A315" s="397" t="str">
        <f>IF(B315&lt;&gt;"",IF(AND(B315&gt;=_TM1,B315&lt;=_TM2,OR(TH!N315="1111",TH!O315="1111")),TH!D315,""),"")</f>
        <v/>
      </c>
      <c r="B315" s="63">
        <f t="shared" si="42"/>
        <v>5</v>
      </c>
      <c r="C315" s="64">
        <f t="shared" si="41"/>
        <v>42494</v>
      </c>
      <c r="D315" s="64" t="s">
        <v>8</v>
      </c>
      <c r="E315" s="64">
        <v>42494</v>
      </c>
      <c r="F315" s="67" t="s">
        <v>22</v>
      </c>
      <c r="G315" s="375" t="s">
        <v>808</v>
      </c>
      <c r="H315" s="404"/>
      <c r="I315" s="515"/>
      <c r="J315" s="515"/>
      <c r="K315" s="507"/>
      <c r="L315" s="515"/>
      <c r="M315" s="65">
        <v>46234</v>
      </c>
      <c r="N315" s="66" t="s">
        <v>136</v>
      </c>
      <c r="O315" s="66" t="s">
        <v>31</v>
      </c>
      <c r="P315" s="66" t="str">
        <f>IF(AND('331-CT'!$E$7=TH!H315,OR(N315="331",O315="331")),"x","")</f>
        <v/>
      </c>
      <c r="Q315" s="66" t="str">
        <f>IF(AND($B315&gt;='111'!$N$11,$B315&lt;='111'!$O$11,OR($N315=$Q$7,$O315=$Q$7)),"x","")</f>
        <v/>
      </c>
      <c r="R315" s="66" t="str">
        <f>IF(AND($N315=$Q$7,$B315&lt;'111'!$N$11),"x","")</f>
        <v/>
      </c>
      <c r="S315" s="66" t="str">
        <f>IF(AND($O315=$Q$7,$B315&lt;'111'!$N$11),"x","")</f>
        <v/>
      </c>
      <c r="T315" s="66" t="str">
        <f>IF(AND($B315&gt;='112'!$M$9,$B315&lt;='112'!$N$9,OR($N315='112'!$I$6,$O315='112'!$I$6)),"x","")</f>
        <v>x</v>
      </c>
      <c r="U315" s="66" t="str">
        <f>IF(AND($N315='112'!$I$6,$B315&lt;'112'!$M$9),"x","")</f>
        <v/>
      </c>
      <c r="V315" s="66" t="str">
        <f>IF(AND($O315='112'!$I$6,$B315&lt;'112'!$M$9),"x","")</f>
        <v/>
      </c>
      <c r="W315" s="66" t="str">
        <f>IF(AND('131-CT'!$H$9=TH!H315,OR(N315="131",O315="131")),"x","")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IF(OR(TH!N315=TH!$AB$7,O315=TH!$AB$7),"x","")</f>
        <v/>
      </c>
      <c r="AC315" s="66" t="str">
        <f t="shared" si="39"/>
        <v>2</v>
      </c>
      <c r="AD315" s="66" t="str">
        <f>IF(AND(MONTH(E315)='IN-NX'!$J$5,'IN-NX'!$D$7=D315,OR(LEFT(TH!N315,2)="15",LEFT(TH!O315,2)="15")),"x","")</f>
        <v/>
      </c>
      <c r="AE315" s="66" t="str">
        <f>IF(AND(OR(LEFT(TH!N315,2)="15",LEFT(TH!O315,2)="15"),'152-CT'!$J$8=TH!F315),"x","")</f>
        <v/>
      </c>
      <c r="AF315" s="66" t="str">
        <f>IF(AND(OR(LEFT(TH!N315,2)="15",LEFT(TH!O315,2)="15"),'THE KHO'!$E$7=TH!F315),"x","")</f>
        <v/>
      </c>
      <c r="AG315" s="66" t="str">
        <f>IF(AND(N315="1521",MONTH(C315)='BK NL'!$M$11),"x","")</f>
        <v/>
      </c>
      <c r="AI315" s="386">
        <v>1</v>
      </c>
    </row>
    <row r="316" spans="1:35" ht="15.75" hidden="1" customHeight="1">
      <c r="A316" s="397" t="str">
        <f>IF(B316&lt;&gt;"",IF(AND(B316&gt;=_TM1,B316&lt;=_TM2,OR(TH!N316="1111",TH!O316="1111")),TH!D316,""),"")</f>
        <v/>
      </c>
      <c r="B316" s="63">
        <f t="shared" si="42"/>
        <v>5</v>
      </c>
      <c r="C316" s="64">
        <f t="shared" si="41"/>
        <v>42494</v>
      </c>
      <c r="D316" s="64" t="s">
        <v>8</v>
      </c>
      <c r="E316" s="64">
        <v>42494</v>
      </c>
      <c r="F316" s="67" t="s">
        <v>23</v>
      </c>
      <c r="G316" s="375" t="s">
        <v>808</v>
      </c>
      <c r="H316" s="74"/>
      <c r="I316" s="514"/>
      <c r="J316" s="514"/>
      <c r="K316" s="506"/>
      <c r="L316" s="514"/>
      <c r="M316" s="100">
        <v>4623</v>
      </c>
      <c r="N316" s="66" t="s">
        <v>10</v>
      </c>
      <c r="O316" s="66" t="s">
        <v>31</v>
      </c>
      <c r="P316" s="66" t="str">
        <f>IF(AND('331-CT'!$E$7=TH!H316,OR(N316="331",O316="331")),"x","")</f>
        <v/>
      </c>
      <c r="Q316" s="66" t="str">
        <f>IF(AND($B316&gt;='111'!$N$11,$B316&lt;='111'!$O$11,OR($N316=$Q$7,$O316=$Q$7)),"x","")</f>
        <v/>
      </c>
      <c r="R316" s="66" t="str">
        <f>IF(AND($N316=$Q$7,$B316&lt;'111'!$N$11),"x","")</f>
        <v/>
      </c>
      <c r="S316" s="66" t="str">
        <f>IF(AND($O316=$Q$7,$B316&lt;'111'!$N$11),"x","")</f>
        <v/>
      </c>
      <c r="T316" s="66" t="str">
        <f>IF(AND($B316&gt;='112'!$M$9,$B316&lt;='112'!$N$9,OR($N316='112'!$I$6,$O316='112'!$I$6)),"x","")</f>
        <v>x</v>
      </c>
      <c r="U316" s="66" t="str">
        <f>IF(AND($N316='112'!$I$6,$B316&lt;'112'!$M$9),"x","")</f>
        <v/>
      </c>
      <c r="V316" s="66" t="str">
        <f>IF(AND($O316='112'!$I$6,$B316&lt;'112'!$M$9),"x","")</f>
        <v/>
      </c>
      <c r="W316" s="66" t="str">
        <f>IF(AND('131-CT'!$H$9=TH!H316,OR(N316="131",O316="131")),"x","")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IF(OR(TH!N316=TH!$AB$7,O316=TH!$AB$7),"x","")</f>
        <v/>
      </c>
      <c r="AC316" s="66" t="str">
        <f t="shared" si="39"/>
        <v>2</v>
      </c>
      <c r="AD316" s="66" t="str">
        <f>IF(AND(MONTH(E316)='IN-NX'!$J$5,'IN-NX'!$D$7=D316,OR(LEFT(TH!N316,2)="15",LEFT(TH!O316,2)="15")),"x","")</f>
        <v/>
      </c>
      <c r="AE316" s="66" t="str">
        <f>IF(AND(OR(LEFT(TH!N316,2)="15",LEFT(TH!O316,2)="15"),'152-CT'!$J$8=TH!F316),"x","")</f>
        <v/>
      </c>
      <c r="AF316" s="66" t="str">
        <f>IF(AND(OR(LEFT(TH!N316,2)="15",LEFT(TH!O316,2)="15"),'THE KHO'!$E$7=TH!F316),"x","")</f>
        <v/>
      </c>
      <c r="AG316" s="66" t="str">
        <f>IF(AND(N316="1521",MONTH(C316)='BK NL'!$M$11),"x","")</f>
        <v/>
      </c>
      <c r="AI316" s="386">
        <v>1</v>
      </c>
    </row>
    <row r="317" spans="1:35" ht="15.75" hidden="1" customHeight="1">
      <c r="A317" s="397" t="str">
        <f>IF(B317&lt;&gt;"",IF(AND(B317&gt;=_TM1,B317&lt;=_TM2,OR(TH!N317="1111",TH!O317="1111")),TH!D317,""),"")</f>
        <v/>
      </c>
      <c r="B317" s="63">
        <f t="shared" si="42"/>
        <v>5</v>
      </c>
      <c r="C317" s="64">
        <f t="shared" si="41"/>
        <v>42500</v>
      </c>
      <c r="D317" s="64" t="s">
        <v>193</v>
      </c>
      <c r="E317" s="64">
        <v>42500</v>
      </c>
      <c r="F317" s="67" t="s">
        <v>991</v>
      </c>
      <c r="G317" s="375" t="s">
        <v>920</v>
      </c>
      <c r="H317" s="74" t="s">
        <v>323</v>
      </c>
      <c r="I317" s="515"/>
      <c r="J317" s="515"/>
      <c r="K317" s="507"/>
      <c r="L317" s="515"/>
      <c r="M317" s="65">
        <v>7272727</v>
      </c>
      <c r="N317" s="66" t="s">
        <v>136</v>
      </c>
      <c r="O317" s="66" t="s">
        <v>98</v>
      </c>
      <c r="P317" s="66" t="str">
        <f>IF(AND('331-CT'!$E$7=TH!H317,OR(N317="331",O317="331")),"x","")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IF(AND('131-CT'!$H$9=TH!H317,OR(N317="131",O317="131")),"x","")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IF(OR(TH!N317=TH!$AB$7,O317=TH!$AB$7),"x","")</f>
        <v/>
      </c>
      <c r="AC317" s="66" t="str">
        <f t="shared" si="39"/>
        <v>2</v>
      </c>
      <c r="AD317" s="66" t="str">
        <f>IF(AND(MONTH(E317)='IN-NX'!$J$5,'IN-NX'!$D$7=D317,OR(LEFT(TH!N317,2)="15",LEFT(TH!O317,2)="15")),"x","")</f>
        <v/>
      </c>
      <c r="AE317" s="66" t="str">
        <f>IF(AND(OR(LEFT(TH!N317,2)="15",LEFT(TH!O317,2)="15"),'152-CT'!$J$8=TH!F317),"x","")</f>
        <v/>
      </c>
      <c r="AF317" s="66" t="str">
        <f>IF(AND(OR(LEFT(TH!N317,2)="15",LEFT(TH!O317,2)="15"),'THE KHO'!$E$7=TH!F317),"x","")</f>
        <v/>
      </c>
      <c r="AG317" s="66" t="str">
        <f>IF(AND(N317="1521",MONTH(C317)='BK NL'!$M$11),"x","")</f>
        <v/>
      </c>
      <c r="AI317" s="406">
        <v>1</v>
      </c>
    </row>
    <row r="318" spans="1:35" ht="15.75" hidden="1" customHeight="1">
      <c r="A318" s="397" t="str">
        <f>IF(B318&lt;&gt;"",IF(AND(B318&gt;=_TM1,B318&lt;=_TM2,OR(TH!N318="1111",TH!O318="1111")),TH!D318,""),"")</f>
        <v/>
      </c>
      <c r="B318" s="63">
        <f t="shared" si="42"/>
        <v>5</v>
      </c>
      <c r="C318" s="64">
        <f t="shared" si="41"/>
        <v>42500</v>
      </c>
      <c r="D318" s="64" t="s">
        <v>193</v>
      </c>
      <c r="E318" s="64">
        <v>42500</v>
      </c>
      <c r="F318" s="67" t="s">
        <v>992</v>
      </c>
      <c r="G318" s="375" t="s">
        <v>920</v>
      </c>
      <c r="H318" s="74" t="s">
        <v>323</v>
      </c>
      <c r="I318" s="515"/>
      <c r="J318" s="515"/>
      <c r="K318" s="507"/>
      <c r="L318" s="515"/>
      <c r="M318" s="100">
        <v>727273</v>
      </c>
      <c r="N318" s="66" t="s">
        <v>10</v>
      </c>
      <c r="O318" s="66" t="s">
        <v>98</v>
      </c>
      <c r="P318" s="66" t="str">
        <f>IF(AND('331-CT'!$E$7=TH!H318,OR(N318="331",O318="331")),"x","")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IF(AND('131-CT'!$H$9=TH!H318,OR(N318="131",O318="131")),"x","")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IF(OR(TH!N318=TH!$AB$7,O318=TH!$AB$7),"x","")</f>
        <v/>
      </c>
      <c r="AC318" s="66" t="str">
        <f t="shared" si="39"/>
        <v>2</v>
      </c>
      <c r="AD318" s="66" t="str">
        <f>IF(AND(MONTH(E318)='IN-NX'!$J$5,'IN-NX'!$D$7=D318,OR(LEFT(TH!N318,2)="15",LEFT(TH!O318,2)="15")),"x","")</f>
        <v/>
      </c>
      <c r="AE318" s="66" t="str">
        <f>IF(AND(OR(LEFT(TH!N318,2)="15",LEFT(TH!O318,2)="15"),'152-CT'!$J$8=TH!F318),"x","")</f>
        <v/>
      </c>
      <c r="AF318" s="66" t="str">
        <f>IF(AND(OR(LEFT(TH!N318,2)="15",LEFT(TH!O318,2)="15"),'THE KHO'!$E$7=TH!F318),"x","")</f>
        <v/>
      </c>
      <c r="AG318" s="66" t="str">
        <f>IF(AND(N318="1521",MONTH(C318)='BK NL'!$M$11),"x","")</f>
        <v/>
      </c>
      <c r="AI318" s="386">
        <v>1</v>
      </c>
    </row>
    <row r="319" spans="1:35" ht="15.75" hidden="1" customHeight="1">
      <c r="A319" s="397" t="str">
        <f>IF(B319&lt;&gt;"",IF(AND(B319&gt;=_TM1,B319&lt;=_TM2,OR(TH!N319="1111",TH!O319="1111")),TH!D319,""),"")</f>
        <v/>
      </c>
      <c r="B319" s="63">
        <f t="shared" si="42"/>
        <v>5</v>
      </c>
      <c r="C319" s="64">
        <f t="shared" si="41"/>
        <v>42500</v>
      </c>
      <c r="D319" s="64" t="s">
        <v>194</v>
      </c>
      <c r="E319" s="64">
        <v>42500</v>
      </c>
      <c r="F319" s="70" t="s">
        <v>935</v>
      </c>
      <c r="G319" s="375" t="s">
        <v>937</v>
      </c>
      <c r="H319" s="74" t="s">
        <v>938</v>
      </c>
      <c r="I319" s="514"/>
      <c r="J319" s="514"/>
      <c r="K319" s="506"/>
      <c r="L319" s="514"/>
      <c r="M319" s="65">
        <v>1479091</v>
      </c>
      <c r="N319" s="66" t="s">
        <v>136</v>
      </c>
      <c r="O319" s="66" t="s">
        <v>98</v>
      </c>
      <c r="P319" s="66" t="str">
        <f>IF(AND('331-CT'!$E$7=TH!H319,OR(N319="331",O319="331")),"x","")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IF(AND('131-CT'!$H$9=TH!H319,OR(N319="131",O319="131")),"x","")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IF(OR(TH!N319=TH!$AB$7,O319=TH!$AB$7),"x","")</f>
        <v/>
      </c>
      <c r="AC319" s="66" t="str">
        <f t="shared" si="39"/>
        <v>2</v>
      </c>
      <c r="AD319" s="66" t="str">
        <f>IF(AND(MONTH(E319)='IN-NX'!$J$5,'IN-NX'!$D$7=D319,OR(LEFT(TH!N319,2)="15",LEFT(TH!O319,2)="15")),"x","")</f>
        <v/>
      </c>
      <c r="AE319" s="66" t="str">
        <f>IF(AND(OR(LEFT(TH!N319,2)="15",LEFT(TH!O319,2)="15"),'152-CT'!$J$8=TH!F319),"x","")</f>
        <v/>
      </c>
      <c r="AF319" s="66" t="str">
        <f>IF(AND(OR(LEFT(TH!N319,2)="15",LEFT(TH!O319,2)="15"),'THE KHO'!$E$7=TH!F319),"x","")</f>
        <v/>
      </c>
      <c r="AG319" s="66" t="str">
        <f>IF(AND(N319="1521",MONTH(C319)='BK NL'!$M$11),"x","")</f>
        <v/>
      </c>
      <c r="AI319" s="386">
        <v>1</v>
      </c>
    </row>
    <row r="320" spans="1:35" ht="15.75" hidden="1" customHeight="1">
      <c r="A320" s="397" t="str">
        <f>IF(B320&lt;&gt;"",IF(AND(B320&gt;=_TM1,B320&lt;=_TM2,OR(TH!N320="1111",TH!O320="1111")),TH!D320,""),"")</f>
        <v/>
      </c>
      <c r="B320" s="63">
        <f t="shared" si="42"/>
        <v>5</v>
      </c>
      <c r="C320" s="64">
        <f t="shared" si="41"/>
        <v>42500</v>
      </c>
      <c r="D320" s="64" t="s">
        <v>194</v>
      </c>
      <c r="E320" s="64">
        <v>42500</v>
      </c>
      <c r="F320" s="70" t="s">
        <v>936</v>
      </c>
      <c r="G320" s="375" t="s">
        <v>937</v>
      </c>
      <c r="H320" s="74" t="s">
        <v>938</v>
      </c>
      <c r="I320" s="514"/>
      <c r="J320" s="514"/>
      <c r="K320" s="506"/>
      <c r="L320" s="514"/>
      <c r="M320" s="100">
        <v>147909</v>
      </c>
      <c r="N320" s="66" t="s">
        <v>10</v>
      </c>
      <c r="O320" s="66" t="s">
        <v>98</v>
      </c>
      <c r="P320" s="66" t="str">
        <f>IF(AND('331-CT'!$E$7=TH!H320,OR(N320="331",O320="331")),"x","")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IF(AND('131-CT'!$H$9=TH!H320,OR(N320="131",O320="131")),"x","")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IF(OR(TH!N320=TH!$AB$7,O320=TH!$AB$7),"x","")</f>
        <v/>
      </c>
      <c r="AC320" s="66" t="str">
        <f t="shared" si="39"/>
        <v>2</v>
      </c>
      <c r="AD320" s="66" t="str">
        <f>IF(AND(MONTH(E320)='IN-NX'!$J$5,'IN-NX'!$D$7=D320,OR(LEFT(TH!N320,2)="15",LEFT(TH!O320,2)="15")),"x","")</f>
        <v/>
      </c>
      <c r="AE320" s="66" t="str">
        <f>IF(AND(OR(LEFT(TH!N320,2)="15",LEFT(TH!O320,2)="15"),'152-CT'!$J$8=TH!F320),"x","")</f>
        <v/>
      </c>
      <c r="AF320" s="66" t="str">
        <f>IF(AND(OR(LEFT(TH!N320,2)="15",LEFT(TH!O320,2)="15"),'THE KHO'!$E$7=TH!F320),"x","")</f>
        <v/>
      </c>
      <c r="AG320" s="66" t="str">
        <f>IF(AND(N320="1521",MONTH(C320)='BK NL'!$M$11),"x","")</f>
        <v/>
      </c>
      <c r="AI320" s="386">
        <v>1</v>
      </c>
    </row>
    <row r="321" spans="1:35" ht="15.75" hidden="1" customHeight="1">
      <c r="A321" s="397" t="str">
        <f>IF(B321&lt;&gt;"",IF(AND(B321&gt;=_TM1,B321&lt;=_TM2,OR(TH!N321="1111",TH!O321="1111")),TH!D321,""),"")</f>
        <v/>
      </c>
      <c r="B321" s="63">
        <f t="shared" si="42"/>
        <v>5</v>
      </c>
      <c r="C321" s="64">
        <v>42501</v>
      </c>
      <c r="D321" s="64" t="s">
        <v>45</v>
      </c>
      <c r="E321" s="64">
        <v>42501</v>
      </c>
      <c r="F321" s="67" t="s">
        <v>947</v>
      </c>
      <c r="G321" s="375" t="s">
        <v>953</v>
      </c>
      <c r="H321" s="74" t="s">
        <v>222</v>
      </c>
      <c r="I321" s="517"/>
      <c r="J321" s="517"/>
      <c r="K321" s="509"/>
      <c r="L321" s="517"/>
      <c r="M321" s="65">
        <v>27604000</v>
      </c>
      <c r="N321" s="66" t="s">
        <v>136</v>
      </c>
      <c r="O321" s="66" t="s">
        <v>9</v>
      </c>
      <c r="P321" s="66" t="str">
        <f>IF(AND('331-CT'!$E$7=TH!H321,OR(N321="331",O321="331")),"x","")</f>
        <v/>
      </c>
      <c r="Q321" s="66" t="str">
        <f>IF(AND($B321&gt;='111'!$N$11,$B321&lt;='111'!$O$11,OR($N321=$Q$7,$O321=$Q$7)),"x","")</f>
        <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IF(AND('131-CT'!$H$9=TH!H321,OR(N321="131",O321="131")),"x","")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IF(OR(TH!N321=TH!$AB$7,O321=TH!$AB$7),"x","")</f>
        <v/>
      </c>
      <c r="AC321" s="66" t="str">
        <f t="shared" si="39"/>
        <v>2</v>
      </c>
      <c r="AD321" s="66" t="str">
        <f>IF(AND(MONTH(E321)='IN-NX'!$J$5,'IN-NX'!$D$7=D321,OR(LEFT(TH!N321,2)="15",LEFT(TH!O321,2)="15")),"x","")</f>
        <v/>
      </c>
      <c r="AE321" s="66" t="str">
        <f>IF(AND(OR(LEFT(TH!N321,2)="15",LEFT(TH!O321,2)="15"),'152-CT'!$J$8=TH!F321),"x","")</f>
        <v/>
      </c>
      <c r="AF321" s="66" t="str">
        <f>IF(AND(OR(LEFT(TH!N321,2)="15",LEFT(TH!O321,2)="15"),'THE KHO'!$E$7=TH!F321),"x","")</f>
        <v/>
      </c>
      <c r="AG321" s="66" t="str">
        <f>IF(AND(N321="1521",MONTH(C321)='BK NL'!$M$11),"x","")</f>
        <v/>
      </c>
      <c r="AI321" s="386">
        <v>1</v>
      </c>
    </row>
    <row r="322" spans="1:35" ht="15.75" hidden="1" customHeight="1">
      <c r="A322" s="397" t="str">
        <f>IF(B322&lt;&gt;"",IF(AND(B322&gt;=_TM1,B322&lt;=_TM2,OR(TH!N322="1111",TH!O322="1111")),TH!D322,""),"")</f>
        <v/>
      </c>
      <c r="B322" s="63">
        <f t="shared" si="42"/>
        <v>5</v>
      </c>
      <c r="C322" s="64">
        <v>42501</v>
      </c>
      <c r="D322" s="64" t="s">
        <v>45</v>
      </c>
      <c r="E322" s="64">
        <v>42501</v>
      </c>
      <c r="F322" s="67" t="s">
        <v>948</v>
      </c>
      <c r="G322" s="375" t="s">
        <v>953</v>
      </c>
      <c r="H322" s="74" t="s">
        <v>222</v>
      </c>
      <c r="I322" s="514"/>
      <c r="J322" s="514"/>
      <c r="K322" s="506"/>
      <c r="L322" s="514"/>
      <c r="M322" s="100">
        <v>2760400</v>
      </c>
      <c r="N322" s="66" t="s">
        <v>10</v>
      </c>
      <c r="O322" s="66" t="s">
        <v>9</v>
      </c>
      <c r="P322" s="66" t="str">
        <f>IF(AND('331-CT'!$E$7=TH!H322,OR(N322="331",O322="331")),"x","")</f>
        <v/>
      </c>
      <c r="Q322" s="66" t="str">
        <f>IF(AND($B322&gt;='111'!$N$11,$B322&lt;='111'!$O$11,OR($N322=$Q$7,$O322=$Q$7)),"x","")</f>
        <v/>
      </c>
      <c r="R322" s="66" t="str">
        <f>IF(AND($N322=$Q$7,$B322&lt;'111'!$N$11),"x","")</f>
        <v/>
      </c>
      <c r="S322" s="66" t="str">
        <f>IF(AND($O322=$Q$7,$B322&lt;'111'!$N$11),"x","")</f>
        <v/>
      </c>
      <c r="T322" s="66" t="str">
        <f>IF(AND($B322&gt;='112'!$M$9,$B322&lt;='112'!$N$9,OR($N322='112'!$I$6,$O322='112'!$I$6)),"x","")</f>
        <v/>
      </c>
      <c r="U322" s="66" t="str">
        <f>IF(AND($N322='112'!$I$6,$B322&lt;'112'!$M$9),"x","")</f>
        <v/>
      </c>
      <c r="V322" s="66" t="str">
        <f>IF(AND($O322='112'!$I$6,$B322&lt;'112'!$M$9),"x","")</f>
        <v/>
      </c>
      <c r="W322" s="66" t="str">
        <f>IF(AND('131-CT'!$H$9=TH!H322,OR(N322="131",O322="131")),"x","")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IF(OR(TH!N322=TH!$AB$7,O322=TH!$AB$7),"x","")</f>
        <v/>
      </c>
      <c r="AC322" s="66" t="str">
        <f t="shared" si="39"/>
        <v>2</v>
      </c>
      <c r="AD322" s="66" t="str">
        <f>IF(AND(MONTH(E322)='IN-NX'!$J$5,'IN-NX'!$D$7=D322,OR(LEFT(TH!N322,2)="15",LEFT(TH!O322,2)="15")),"x","")</f>
        <v/>
      </c>
      <c r="AE322" s="66" t="str">
        <f>IF(AND(OR(LEFT(TH!N322,2)="15",LEFT(TH!O322,2)="15"),'152-CT'!$J$8=TH!F322),"x","")</f>
        <v/>
      </c>
      <c r="AF322" s="66" t="str">
        <f>IF(AND(OR(LEFT(TH!N322,2)="15",LEFT(TH!O322,2)="15"),'THE KHO'!$E$7=TH!F322),"x","")</f>
        <v/>
      </c>
      <c r="AG322" s="66" t="str">
        <f>IF(AND(N322="1521",MONTH(C322)='BK NL'!$M$11),"x","")</f>
        <v/>
      </c>
      <c r="AI322" s="386">
        <v>1</v>
      </c>
    </row>
    <row r="323" spans="1:35" ht="15.75" hidden="1" customHeight="1">
      <c r="A323" s="397" t="str">
        <f>IF(B323&lt;&gt;"",IF(AND(B323&gt;=_TM1,B323&lt;=_TM2,OR(TH!N323="1111",TH!O323="1111")),TH!D323,""),"")</f>
        <v/>
      </c>
      <c r="B323" s="63">
        <f t="shared" si="42"/>
        <v>5</v>
      </c>
      <c r="C323" s="64">
        <f t="shared" ref="C323:C351" si="43">E323</f>
        <v>42503</v>
      </c>
      <c r="D323" s="64" t="s">
        <v>195</v>
      </c>
      <c r="E323" s="64">
        <v>42503</v>
      </c>
      <c r="F323" s="67" t="s">
        <v>408</v>
      </c>
      <c r="G323" s="375" t="s">
        <v>917</v>
      </c>
      <c r="H323" s="74" t="s">
        <v>426</v>
      </c>
      <c r="I323" s="514"/>
      <c r="J323" s="514"/>
      <c r="K323" s="506"/>
      <c r="L323" s="514"/>
      <c r="M323" s="65">
        <v>1700000</v>
      </c>
      <c r="N323" s="66" t="s">
        <v>243</v>
      </c>
      <c r="O323" s="66" t="s">
        <v>98</v>
      </c>
      <c r="P323" s="66" t="str">
        <f>IF(AND('331-CT'!$E$7=TH!H323,OR(N323="331",O323="331")),"x","")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IF(AND('131-CT'!$H$9=TH!H323,OR(N323="131",O323="131")),"x","")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IF(OR(TH!N323=TH!$AB$7,O323=TH!$AB$7),"x","")</f>
        <v/>
      </c>
      <c r="AC323" s="66" t="str">
        <f t="shared" si="39"/>
        <v>2</v>
      </c>
      <c r="AD323" s="66" t="str">
        <f>IF(AND(MONTH(E323)='IN-NX'!$J$5,'IN-NX'!$D$7=D323,OR(LEFT(TH!N323,2)="15",LEFT(TH!O323,2)="15")),"x","")</f>
        <v/>
      </c>
      <c r="AE323" s="66" t="str">
        <f>IF(AND(OR(LEFT(TH!N323,2)="15",LEFT(TH!O323,2)="15"),'152-CT'!$J$8=TH!F323),"x","")</f>
        <v/>
      </c>
      <c r="AF323" s="66" t="str">
        <f>IF(AND(OR(LEFT(TH!N323,2)="15",LEFT(TH!O323,2)="15"),'THE KHO'!$E$7=TH!F323),"x","")</f>
        <v/>
      </c>
      <c r="AG323" s="66" t="str">
        <f>IF(AND(N323="1521",MONTH(C323)='BK NL'!$M$11),"x","")</f>
        <v/>
      </c>
    </row>
    <row r="324" spans="1:35" ht="15.75" hidden="1" customHeight="1">
      <c r="A324" s="397" t="str">
        <f>IF(B324&lt;&gt;"",IF(AND(B324&gt;=_TM1,B324&lt;=_TM2,OR(TH!N324="1111",TH!O324="1111")),TH!D324,""),"")</f>
        <v/>
      </c>
      <c r="B324" s="63">
        <f t="shared" si="42"/>
        <v>5</v>
      </c>
      <c r="C324" s="64">
        <f t="shared" si="43"/>
        <v>42507</v>
      </c>
      <c r="D324" s="64" t="s">
        <v>196</v>
      </c>
      <c r="E324" s="64">
        <v>42507</v>
      </c>
      <c r="F324" s="67" t="s">
        <v>911</v>
      </c>
      <c r="G324" s="375" t="s">
        <v>913</v>
      </c>
      <c r="H324" s="74" t="s">
        <v>162</v>
      </c>
      <c r="I324" s="515"/>
      <c r="J324" s="515"/>
      <c r="K324" s="507"/>
      <c r="L324" s="515"/>
      <c r="M324" s="65">
        <f>89195+122119+210000+60000</f>
        <v>481314</v>
      </c>
      <c r="N324" s="66" t="s">
        <v>136</v>
      </c>
      <c r="O324" s="66" t="s">
        <v>98</v>
      </c>
      <c r="P324" s="66" t="str">
        <f>IF(AND('331-CT'!$E$7=TH!H324,OR(N324="331",O324="331")),"x","")</f>
        <v/>
      </c>
      <c r="Q324" s="66" t="str">
        <f>IF(AND($B324&gt;='111'!$N$11,$B324&lt;='111'!$O$11,OR($N324=$Q$7,$O324=$Q$7)),"x","")</f>
        <v>x</v>
      </c>
      <c r="R324" s="66" t="str">
        <f>IF(AND($N324=$Q$7,$B324&lt;'111'!$N$11),"x","")</f>
        <v/>
      </c>
      <c r="S324" s="66" t="str">
        <f>IF(AND($O324=$Q$7,$B324&lt;'111'!$N$11),"x","")</f>
        <v/>
      </c>
      <c r="T324" s="66" t="str">
        <f>IF(AND($B324&gt;='112'!$M$9,$B324&lt;='112'!$N$9,OR($N324='112'!$I$6,$O324='112'!$I$6)),"x","")</f>
        <v/>
      </c>
      <c r="U324" s="66" t="str">
        <f>IF(AND($N324='112'!$I$6,$B324&lt;'112'!$M$9),"x","")</f>
        <v/>
      </c>
      <c r="V324" s="66" t="str">
        <f>IF(AND($O324='112'!$I$6,$B324&lt;'112'!$M$9),"x","")</f>
        <v/>
      </c>
      <c r="W324" s="66" t="str">
        <f>IF(AND('131-CT'!$H$9=TH!H324,OR(N324="131",O324="131")),"x","")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IF(OR(TH!N324=TH!$AB$7,O324=TH!$AB$7),"x","")</f>
        <v/>
      </c>
      <c r="AC324" s="66" t="str">
        <f t="shared" si="39"/>
        <v>2</v>
      </c>
      <c r="AD324" s="66" t="str">
        <f>IF(AND(MONTH(E324)='IN-NX'!$J$5,'IN-NX'!$D$7=D324,OR(LEFT(TH!N324,2)="15",LEFT(TH!O324,2)="15")),"x","")</f>
        <v/>
      </c>
      <c r="AE324" s="66" t="str">
        <f>IF(AND(OR(LEFT(TH!N324,2)="15",LEFT(TH!O324,2)="15"),'152-CT'!$J$8=TH!F324),"x","")</f>
        <v/>
      </c>
      <c r="AF324" s="66" t="str">
        <f>IF(AND(OR(LEFT(TH!N324,2)="15",LEFT(TH!O324,2)="15"),'THE KHO'!$E$7=TH!F324),"x","")</f>
        <v/>
      </c>
      <c r="AG324" s="66" t="str">
        <f>IF(AND(N324="1521",MONTH(C324)='BK NL'!$M$11),"x","")</f>
        <v/>
      </c>
      <c r="AI324" s="386">
        <v>1</v>
      </c>
    </row>
    <row r="325" spans="1:35" s="410" customFormat="1" ht="15.75" hidden="1" customHeight="1">
      <c r="A325" s="397" t="str">
        <f>IF(B325&lt;&gt;"",IF(AND(B325&gt;=_TM1,B325&lt;=_TM2,OR(TH!N325="1111",TH!O325="1111")),TH!D325,""),"")</f>
        <v/>
      </c>
      <c r="B325" s="63">
        <f t="shared" si="42"/>
        <v>5</v>
      </c>
      <c r="C325" s="64">
        <f t="shared" si="43"/>
        <v>42507</v>
      </c>
      <c r="D325" s="64" t="s">
        <v>196</v>
      </c>
      <c r="E325" s="64">
        <v>42507</v>
      </c>
      <c r="F325" s="67" t="s">
        <v>912</v>
      </c>
      <c r="G325" s="375" t="s">
        <v>913</v>
      </c>
      <c r="H325" s="74" t="s">
        <v>162</v>
      </c>
      <c r="I325" s="514"/>
      <c r="J325" s="514"/>
      <c r="K325" s="506"/>
      <c r="L325" s="514"/>
      <c r="M325" s="100">
        <f>8920+12211+21000+6000</f>
        <v>48131</v>
      </c>
      <c r="N325" s="66" t="s">
        <v>10</v>
      </c>
      <c r="O325" s="66" t="s">
        <v>98</v>
      </c>
      <c r="P325" s="66" t="str">
        <f>IF(AND('331-CT'!$E$7=TH!H325,OR(N325="331",O325="331")),"x","")</f>
        <v/>
      </c>
      <c r="Q325" s="66" t="str">
        <f>IF(AND($B325&gt;='111'!$N$11,$B325&lt;='111'!$O$11,OR($N325=$Q$7,$O325=$Q$7)),"x","")</f>
        <v>x</v>
      </c>
      <c r="R325" s="66" t="str">
        <f>IF(AND($N325=$Q$7,$B325&lt;'111'!$N$11),"x","")</f>
        <v/>
      </c>
      <c r="S325" s="66" t="str">
        <f>IF(AND($O325=$Q$7,$B325&lt;'111'!$N$11),"x","")</f>
        <v/>
      </c>
      <c r="T325" s="66" t="str">
        <f>IF(AND($B325&gt;='112'!$M$9,$B325&lt;='112'!$N$9,OR($N325='112'!$I$6,$O325='112'!$I$6)),"x","")</f>
        <v/>
      </c>
      <c r="U325" s="66" t="str">
        <f>IF(AND($N325='112'!$I$6,$B325&lt;'112'!$M$9),"x","")</f>
        <v/>
      </c>
      <c r="V325" s="66" t="str">
        <f>IF(AND($O325='112'!$I$6,$B325&lt;'112'!$M$9),"x","")</f>
        <v/>
      </c>
      <c r="W325" s="66" t="str">
        <f>IF(AND('131-CT'!$H$9=TH!H325,OR(N325="131",O325="131")),"x","")</f>
        <v/>
      </c>
      <c r="X325" s="66" t="str">
        <f>IF(AND($B325&gt;='1331'!$I$9,$B325&lt;='1331'!$J$9,OR($N325=$X$7,$O325=$X$7)),"x","")</f>
        <v/>
      </c>
      <c r="Y325" s="66" t="str">
        <f>IF(AND($N325=$X$7,$B325&lt;'1331'!$I$9),"x","")</f>
        <v/>
      </c>
      <c r="Z325" s="66" t="str">
        <f>IF(AND($O325=$X$7,$B325&lt;'1331'!$I$9),"x","")</f>
        <v/>
      </c>
      <c r="AA325" s="66" t="str">
        <f>IF(AND('341-CT'!$H$9=H325,OR(LEFT(N325,3)=$AA$7,LEFT(O325,3)=$AA$7)),"x","")</f>
        <v/>
      </c>
      <c r="AB325" s="66" t="str">
        <f>IF(OR(TH!N325=TH!$AB$7,O325=TH!$AB$7),"x","")</f>
        <v/>
      </c>
      <c r="AC325" s="66" t="str">
        <f t="shared" si="39"/>
        <v>2</v>
      </c>
      <c r="AD325" s="66" t="str">
        <f>IF(AND(MONTH(E325)='IN-NX'!$J$5,'IN-NX'!$D$7=D325,OR(LEFT(TH!N325,2)="15",LEFT(TH!O325,2)="15")),"x","")</f>
        <v/>
      </c>
      <c r="AE325" s="66" t="str">
        <f>IF(AND(OR(LEFT(TH!N325,2)="15",LEFT(TH!O325,2)="15"),'152-CT'!$J$8=TH!F325),"x","")</f>
        <v/>
      </c>
      <c r="AF325" s="66" t="str">
        <f>IF(AND(OR(LEFT(TH!N325,2)="15",LEFT(TH!O325,2)="15"),'THE KHO'!$E$7=TH!F325),"x","")</f>
        <v/>
      </c>
      <c r="AG325" s="66" t="str">
        <f>IF(AND(N325="1521",MONTH(C325)='BK NL'!$M$11),"x","")</f>
        <v/>
      </c>
      <c r="AH325" s="386"/>
      <c r="AI325" s="386">
        <v>1</v>
      </c>
    </row>
    <row r="326" spans="1:35" ht="15.75" hidden="1" customHeight="1">
      <c r="A326" s="397" t="str">
        <f>IF(B326&lt;&gt;"",IF(AND(B326&gt;=_TM1,B326&lt;=_TM2,OR(TH!N326="1111",TH!O326="1111")),TH!D326,""),"")</f>
        <v/>
      </c>
      <c r="B326" s="63">
        <f t="shared" si="42"/>
        <v>5</v>
      </c>
      <c r="C326" s="64">
        <f t="shared" si="43"/>
        <v>42507</v>
      </c>
      <c r="D326" s="64" t="s">
        <v>197</v>
      </c>
      <c r="E326" s="64">
        <v>42507</v>
      </c>
      <c r="F326" s="67" t="s">
        <v>408</v>
      </c>
      <c r="G326" s="375" t="s">
        <v>918</v>
      </c>
      <c r="H326" s="74" t="s">
        <v>426</v>
      </c>
      <c r="I326" s="514"/>
      <c r="J326" s="514"/>
      <c r="K326" s="506"/>
      <c r="L326" s="514"/>
      <c r="M326" s="65">
        <v>3800000</v>
      </c>
      <c r="N326" s="66" t="s">
        <v>243</v>
      </c>
      <c r="O326" s="66" t="s">
        <v>98</v>
      </c>
      <c r="P326" s="66" t="str">
        <f>IF(AND('331-CT'!$E$7=TH!H326,OR(N326="331",O326="331")),"x","")</f>
        <v/>
      </c>
      <c r="Q326" s="66" t="str">
        <f>IF(AND($B326&gt;='111'!$N$11,$B326&lt;='111'!$O$11,OR($N326=$Q$7,$O326=$Q$7)),"x","")</f>
        <v>x</v>
      </c>
      <c r="R326" s="66" t="str">
        <f>IF(AND($N326=$Q$7,$B326&lt;'111'!$N$11),"x","")</f>
        <v/>
      </c>
      <c r="S326" s="66" t="str">
        <f>IF(AND($O326=$Q$7,$B326&lt;'111'!$N$11),"x","")</f>
        <v/>
      </c>
      <c r="T326" s="66" t="str">
        <f>IF(AND($B326&gt;='112'!$M$9,$B326&lt;='112'!$N$9,OR($N326='112'!$I$6,$O326='112'!$I$6)),"x","")</f>
        <v/>
      </c>
      <c r="U326" s="66" t="str">
        <f>IF(AND($N326='112'!$I$6,$B326&lt;'112'!$M$9),"x","")</f>
        <v/>
      </c>
      <c r="V326" s="66" t="str">
        <f>IF(AND($O326='112'!$I$6,$B326&lt;'112'!$M$9),"x","")</f>
        <v/>
      </c>
      <c r="W326" s="66" t="str">
        <f>IF(AND('131-CT'!$H$9=TH!H326,OR(N326="131",O326="131")),"x","")</f>
        <v/>
      </c>
      <c r="X326" s="66" t="str">
        <f>IF(AND($B326&gt;='1331'!$I$9,$B326&lt;='1331'!$J$9,OR($N326=$X$7,$O326=$X$7)),"x","")</f>
        <v/>
      </c>
      <c r="Y326" s="66" t="str">
        <f>IF(AND($N326=$X$7,$B326&lt;'1331'!$I$9),"x","")</f>
        <v/>
      </c>
      <c r="Z326" s="66" t="str">
        <f>IF(AND($O326=$X$7,$B326&lt;'1331'!$I$9),"x","")</f>
        <v/>
      </c>
      <c r="AA326" s="66" t="str">
        <f>IF(AND('341-CT'!$H$9=H326,OR(LEFT(N326,3)=$AA$7,LEFT(O326,3)=$AA$7)),"x","")</f>
        <v/>
      </c>
      <c r="AB326" s="66" t="str">
        <f>IF(OR(TH!N326=TH!$AB$7,O326=TH!$AB$7),"x","")</f>
        <v/>
      </c>
      <c r="AC326" s="66" t="str">
        <f t="shared" si="39"/>
        <v>2</v>
      </c>
      <c r="AD326" s="66" t="str">
        <f>IF(AND(MONTH(E326)='IN-NX'!$J$5,'IN-NX'!$D$7=D326,OR(LEFT(TH!N326,2)="15",LEFT(TH!O326,2)="15")),"x","")</f>
        <v/>
      </c>
      <c r="AE326" s="66" t="str">
        <f>IF(AND(OR(LEFT(TH!N326,2)="15",LEFT(TH!O326,2)="15"),'152-CT'!$J$8=TH!F326),"x","")</f>
        <v/>
      </c>
      <c r="AF326" s="66" t="str">
        <f>IF(AND(OR(LEFT(TH!N326,2)="15",LEFT(TH!O326,2)="15"),'THE KHO'!$E$7=TH!F326),"x","")</f>
        <v/>
      </c>
      <c r="AG326" s="66" t="str">
        <f>IF(AND(N326="1521",MONTH(C326)='BK NL'!$M$11),"x","")</f>
        <v/>
      </c>
    </row>
    <row r="327" spans="1:35" ht="15.75" hidden="1" customHeight="1">
      <c r="A327" s="397" t="str">
        <f>IF(B327&lt;&gt;"",IF(AND(B327&gt;=_TM1,B327&lt;=_TM2,OR(TH!N327="1111",TH!O327="1111")),TH!D327,""),"")</f>
        <v/>
      </c>
      <c r="B327" s="63">
        <f t="shared" si="42"/>
        <v>5</v>
      </c>
      <c r="C327" s="64">
        <f t="shared" si="43"/>
        <v>42509</v>
      </c>
      <c r="D327" s="64" t="s">
        <v>198</v>
      </c>
      <c r="E327" s="64">
        <v>42509</v>
      </c>
      <c r="F327" s="67" t="s">
        <v>186</v>
      </c>
      <c r="G327" s="375" t="s">
        <v>919</v>
      </c>
      <c r="H327" s="74" t="s">
        <v>327</v>
      </c>
      <c r="I327" s="514"/>
      <c r="J327" s="514"/>
      <c r="K327" s="506"/>
      <c r="L327" s="514"/>
      <c r="M327" s="65">
        <v>1145000</v>
      </c>
      <c r="N327" s="66" t="s">
        <v>243</v>
      </c>
      <c r="O327" s="66" t="s">
        <v>98</v>
      </c>
      <c r="P327" s="66" t="str">
        <f>IF(AND('331-CT'!$E$7=TH!H327,OR(N327="331",O327="331")),"x","")</f>
        <v/>
      </c>
      <c r="Q327" s="66" t="str">
        <f>IF(AND($B327&gt;='111'!$N$11,$B327&lt;='111'!$O$11,OR($N327=$Q$7,$O327=$Q$7)),"x","")</f>
        <v>x</v>
      </c>
      <c r="R327" s="66" t="str">
        <f>IF(AND($N327=$Q$7,$B327&lt;'111'!$N$11),"x","")</f>
        <v/>
      </c>
      <c r="S327" s="66" t="str">
        <f>IF(AND($O327=$Q$7,$B327&lt;'111'!$N$11),"x","")</f>
        <v/>
      </c>
      <c r="T327" s="66" t="str">
        <f>IF(AND($B327&gt;='112'!$M$9,$B327&lt;='112'!$N$9,OR($N327='112'!$I$6,$O327='112'!$I$6)),"x","")</f>
        <v/>
      </c>
      <c r="U327" s="66" t="str">
        <f>IF(AND($N327='112'!$I$6,$B327&lt;'112'!$M$9),"x","")</f>
        <v/>
      </c>
      <c r="V327" s="66" t="str">
        <f>IF(AND($O327='112'!$I$6,$B327&lt;'112'!$M$9),"x","")</f>
        <v/>
      </c>
      <c r="W327" s="66" t="str">
        <f>IF(AND('131-CT'!$H$9=TH!H327,OR(N327="131",O327="131")),"x","")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IF(OR(TH!N327=TH!$AB$7,O327=TH!$AB$7),"x","")</f>
        <v/>
      </c>
      <c r="AC327" s="66" t="str">
        <f t="shared" si="39"/>
        <v>2</v>
      </c>
      <c r="AD327" s="66" t="str">
        <f>IF(AND(MONTH(E327)='IN-NX'!$J$5,'IN-NX'!$D$7=D327,OR(LEFT(TH!N327,2)="15",LEFT(TH!O327,2)="15")),"x","")</f>
        <v/>
      </c>
      <c r="AE327" s="66" t="str">
        <f>IF(AND(OR(LEFT(TH!N327,2)="15",LEFT(TH!O327,2)="15"),'152-CT'!$J$8=TH!F327),"x","")</f>
        <v/>
      </c>
      <c r="AF327" s="66" t="str">
        <f>IF(AND(OR(LEFT(TH!N327,2)="15",LEFT(TH!O327,2)="15"),'THE KHO'!$E$7=TH!F327),"x","")</f>
        <v/>
      </c>
      <c r="AG327" s="66" t="str">
        <f>IF(AND(N327="1521",MONTH(C327)='BK NL'!$M$11),"x","")</f>
        <v/>
      </c>
    </row>
    <row r="328" spans="1:35" ht="15.75" hidden="1" customHeight="1">
      <c r="A328" s="397" t="str">
        <f>IF(B328&lt;&gt;"",IF(AND(B328&gt;=_TM1,B328&lt;=_TM2,OR(TH!N328="1111",TH!O328="1111")),TH!D328,""),"")</f>
        <v/>
      </c>
      <c r="B328" s="63">
        <f t="shared" si="42"/>
        <v>5</v>
      </c>
      <c r="C328" s="64">
        <f t="shared" si="43"/>
        <v>42509</v>
      </c>
      <c r="D328" s="64" t="s">
        <v>12</v>
      </c>
      <c r="E328" s="64">
        <v>42509</v>
      </c>
      <c r="F328" s="67" t="s">
        <v>798</v>
      </c>
      <c r="G328" s="361" t="s">
        <v>808</v>
      </c>
      <c r="H328" s="74" t="s">
        <v>439</v>
      </c>
      <c r="I328" s="514"/>
      <c r="J328" s="514"/>
      <c r="K328" s="506"/>
      <c r="L328" s="514"/>
      <c r="M328" s="65">
        <v>14000000</v>
      </c>
      <c r="N328" s="66" t="s">
        <v>31</v>
      </c>
      <c r="O328" s="66" t="s">
        <v>107</v>
      </c>
      <c r="P328" s="66" t="str">
        <f>IF(AND('331-CT'!$E$7=TH!H328,OR(N328="331",O328="331")),"x","")</f>
        <v/>
      </c>
      <c r="Q328" s="66" t="str">
        <f>IF(AND($B328&gt;='111'!$N$11,$B328&lt;='111'!$O$11,OR($N328=$Q$7,$O328=$Q$7)),"x","")</f>
        <v/>
      </c>
      <c r="R328" s="66" t="str">
        <f>IF(AND($N328=$Q$7,$B328&lt;'111'!$N$11),"x","")</f>
        <v/>
      </c>
      <c r="S328" s="66" t="str">
        <f>IF(AND($O328=$Q$7,$B328&lt;'111'!$N$11),"x","")</f>
        <v/>
      </c>
      <c r="T328" s="66" t="str">
        <f>IF(AND($B328&gt;='112'!$M$9,$B328&lt;='112'!$N$9,OR($N328='112'!$I$6,$O328='112'!$I$6)),"x","")</f>
        <v>x</v>
      </c>
      <c r="U328" s="66" t="str">
        <f>IF(AND($N328='112'!$I$6,$B328&lt;'112'!$M$9),"x","")</f>
        <v/>
      </c>
      <c r="V328" s="66" t="str">
        <f>IF(AND($O328='112'!$I$6,$B328&lt;'112'!$M$9),"x","")</f>
        <v/>
      </c>
      <c r="W328" s="66" t="str">
        <f>IF(AND('131-CT'!$H$9=TH!H328,OR(N328="131",O328="131")),"x","")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IF(OR(TH!N328=TH!$AB$7,O328=TH!$AB$7),"x","")</f>
        <v>x</v>
      </c>
      <c r="AC328" s="66" t="str">
        <f t="shared" si="39"/>
        <v>2</v>
      </c>
      <c r="AD328" s="66" t="str">
        <f>IF(AND(MONTH(E328)='IN-NX'!$J$5,'IN-NX'!$D$7=D328,OR(LEFT(TH!N328,2)="15",LEFT(TH!O328,2)="15")),"x","")</f>
        <v/>
      </c>
      <c r="AE328" s="66" t="str">
        <f>IF(AND(OR(LEFT(TH!N328,2)="15",LEFT(TH!O328,2)="15"),'152-CT'!$J$8=TH!F328),"x","")</f>
        <v/>
      </c>
      <c r="AF328" s="66" t="str">
        <f>IF(AND(OR(LEFT(TH!N328,2)="15",LEFT(TH!O328,2)="15"),'THE KHO'!$E$7=TH!F328),"x","")</f>
        <v/>
      </c>
      <c r="AG328" s="66" t="str">
        <f>IF(AND(N328="1521",MONTH(C328)='BK NL'!$M$11),"x","")</f>
        <v/>
      </c>
    </row>
    <row r="329" spans="1:35" ht="15.75" hidden="1" customHeight="1">
      <c r="A329" s="397" t="str">
        <f>IF(B329&lt;&gt;"",IF(AND(B329&gt;=_TM1,B329&lt;=_TM2,OR(TH!N329="1111",TH!O329="1111")),TH!D329,""),"")</f>
        <v/>
      </c>
      <c r="B329" s="63">
        <f t="shared" si="42"/>
        <v>5</v>
      </c>
      <c r="C329" s="64">
        <f t="shared" si="43"/>
        <v>42509</v>
      </c>
      <c r="D329" s="64" t="s">
        <v>199</v>
      </c>
      <c r="E329" s="64">
        <v>42509</v>
      </c>
      <c r="F329" s="67" t="s">
        <v>447</v>
      </c>
      <c r="G329" s="361" t="s">
        <v>808</v>
      </c>
      <c r="H329" s="74" t="s">
        <v>439</v>
      </c>
      <c r="I329" s="514"/>
      <c r="J329" s="514"/>
      <c r="K329" s="506"/>
      <c r="L329" s="514"/>
      <c r="M329" s="65">
        <v>14000000</v>
      </c>
      <c r="N329" s="66" t="s">
        <v>107</v>
      </c>
      <c r="O329" s="66" t="s">
        <v>98</v>
      </c>
      <c r="P329" s="66" t="str">
        <f>IF(AND('331-CT'!$E$7=TH!H329,OR(N329="331",O329="331")),"x","")</f>
        <v/>
      </c>
      <c r="Q329" s="66" t="str">
        <f>IF(AND($B329&gt;='111'!$N$11,$B329&lt;='111'!$O$11,OR($N329=$Q$7,$O329=$Q$7)),"x","")</f>
        <v>x</v>
      </c>
      <c r="R329" s="66" t="str">
        <f>IF(AND($N329=$Q$7,$B329&lt;'111'!$N$11),"x","")</f>
        <v/>
      </c>
      <c r="S329" s="66" t="str">
        <f>IF(AND($O329=$Q$7,$B329&lt;'111'!$N$11),"x","")</f>
        <v/>
      </c>
      <c r="T329" s="66" t="str">
        <f>IF(AND($B329&gt;='112'!$M$9,$B329&lt;='112'!$N$9,OR($N329='112'!$I$6,$O329='112'!$I$6)),"x","")</f>
        <v/>
      </c>
      <c r="U329" s="66" t="str">
        <f>IF(AND($N329='112'!$I$6,$B329&lt;'112'!$M$9),"x","")</f>
        <v/>
      </c>
      <c r="V329" s="66" t="str">
        <f>IF(AND($O329='112'!$I$6,$B329&lt;'112'!$M$9),"x","")</f>
        <v/>
      </c>
      <c r="W329" s="66" t="str">
        <f>IF(AND('131-CT'!$H$9=TH!H329,OR(N329="131",O329="131")),"x","")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IF(OR(TH!N329=TH!$AB$7,O329=TH!$AB$7),"x","")</f>
        <v>x</v>
      </c>
      <c r="AC329" s="66" t="str">
        <f t="shared" si="39"/>
        <v>2</v>
      </c>
      <c r="AD329" s="66" t="str">
        <f>IF(AND(MONTH(E329)='IN-NX'!$J$5,'IN-NX'!$D$7=D329,OR(LEFT(TH!N329,2)="15",LEFT(TH!O329,2)="15")),"x","")</f>
        <v/>
      </c>
      <c r="AE329" s="66" t="str">
        <f>IF(AND(OR(LEFT(TH!N329,2)="15",LEFT(TH!O329,2)="15"),'152-CT'!$J$8=TH!F329),"x","")</f>
        <v/>
      </c>
      <c r="AF329" s="66" t="str">
        <f>IF(AND(OR(LEFT(TH!N329,2)="15",LEFT(TH!O329,2)="15"),'THE KHO'!$E$7=TH!F329),"x","")</f>
        <v/>
      </c>
      <c r="AG329" s="66" t="str">
        <f>IF(AND(N329="1521",MONTH(C329)='BK NL'!$M$11),"x","")</f>
        <v/>
      </c>
    </row>
    <row r="330" spans="1:35" ht="15.75" hidden="1" customHeight="1">
      <c r="A330" s="397" t="str">
        <f>IF(B330&lt;&gt;"",IF(AND(B330&gt;=_TM1,B330&lt;=_TM2,OR(TH!N330="1111",TH!O330="1111")),TH!D330,""),"")</f>
        <v/>
      </c>
      <c r="B330" s="63">
        <f t="shared" si="42"/>
        <v>5</v>
      </c>
      <c r="C330" s="64">
        <f t="shared" si="43"/>
        <v>42509</v>
      </c>
      <c r="D330" s="64" t="s">
        <v>8</v>
      </c>
      <c r="E330" s="64">
        <v>42509</v>
      </c>
      <c r="F330" s="67" t="s">
        <v>414</v>
      </c>
      <c r="G330" s="361" t="s">
        <v>808</v>
      </c>
      <c r="H330" s="74" t="s">
        <v>333</v>
      </c>
      <c r="I330" s="517"/>
      <c r="J330" s="517"/>
      <c r="K330" s="509"/>
      <c r="L330" s="517"/>
      <c r="M330" s="65">
        <v>6557460</v>
      </c>
      <c r="N330" s="66" t="s">
        <v>134</v>
      </c>
      <c r="O330" s="66" t="s">
        <v>31</v>
      </c>
      <c r="P330" s="66" t="str">
        <f>IF(AND('331-CT'!$E$7=TH!H330,OR(N330="331",O330="331")),"x","")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IF(AND('131-CT'!$H$9=TH!H330,OR(N330="131",O330="131")),"x","")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IF(OR(TH!N330=TH!$AB$7,O330=TH!$AB$7),"x","")</f>
        <v/>
      </c>
      <c r="AC330" s="66" t="str">
        <f t="shared" si="39"/>
        <v>2</v>
      </c>
      <c r="AD330" s="66" t="str">
        <f>IF(AND(MONTH(E330)='IN-NX'!$J$5,'IN-NX'!$D$7=D330,OR(LEFT(TH!N330,2)="15",LEFT(TH!O330,2)="15")),"x","")</f>
        <v/>
      </c>
      <c r="AE330" s="66" t="str">
        <f>IF(AND(OR(LEFT(TH!N330,2)="15",LEFT(TH!O330,2)="15"),'152-CT'!$J$8=TH!F330),"x","")</f>
        <v/>
      </c>
      <c r="AF330" s="66" t="str">
        <f>IF(AND(OR(LEFT(TH!N330,2)="15",LEFT(TH!O330,2)="15"),'THE KHO'!$E$7=TH!F330),"x","")</f>
        <v/>
      </c>
      <c r="AG330" s="66" t="str">
        <f>IF(AND(N330="1521",MONTH(C330)='BK NL'!$M$11),"x","")</f>
        <v/>
      </c>
    </row>
    <row r="331" spans="1:35" ht="15.75" hidden="1" customHeight="1">
      <c r="A331" s="397" t="str">
        <f>IF(B331&lt;&gt;"",IF(AND(B331&gt;=_TM1,B331&lt;=_TM2,OR(TH!N331="1111",TH!O331="1111")),TH!D331,""),"")</f>
        <v/>
      </c>
      <c r="B331" s="63">
        <f t="shared" si="42"/>
        <v>5</v>
      </c>
      <c r="C331" s="64">
        <f t="shared" si="43"/>
        <v>42510</v>
      </c>
      <c r="D331" s="64" t="s">
        <v>200</v>
      </c>
      <c r="E331" s="64">
        <v>42510</v>
      </c>
      <c r="F331" s="67" t="s">
        <v>927</v>
      </c>
      <c r="G331" s="375" t="s">
        <v>929</v>
      </c>
      <c r="H331" s="74" t="s">
        <v>930</v>
      </c>
      <c r="I331" s="514"/>
      <c r="J331" s="514"/>
      <c r="K331" s="506"/>
      <c r="L331" s="514"/>
      <c r="M331" s="65">
        <v>8409091</v>
      </c>
      <c r="N331" s="66" t="s">
        <v>136</v>
      </c>
      <c r="O331" s="66" t="s">
        <v>98</v>
      </c>
      <c r="P331" s="66" t="str">
        <f>IF(AND('331-CT'!$E$7=TH!H331,OR(N331="331",O331="331")),"x","")</f>
        <v/>
      </c>
      <c r="Q331" s="66" t="str">
        <f>IF(AND($B331&gt;='111'!$N$11,$B331&lt;='111'!$O$11,OR($N331=$Q$7,$O331=$Q$7)),"x","")</f>
        <v>x</v>
      </c>
      <c r="R331" s="66" t="str">
        <f>IF(AND($N331=$Q$7,$B331&lt;'111'!$N$11),"x","")</f>
        <v/>
      </c>
      <c r="S331" s="66" t="str">
        <f>IF(AND($O331=$Q$7,$B331&lt;'111'!$N$11),"x","")</f>
        <v/>
      </c>
      <c r="T331" s="66" t="str">
        <f>IF(AND($B331&gt;='112'!$M$9,$B331&lt;='112'!$N$9,OR($N331='112'!$I$6,$O331='112'!$I$6)),"x","")</f>
        <v/>
      </c>
      <c r="U331" s="66" t="str">
        <f>IF(AND($N331='112'!$I$6,$B331&lt;'112'!$M$9),"x","")</f>
        <v/>
      </c>
      <c r="V331" s="66" t="str">
        <f>IF(AND($O331='112'!$I$6,$B331&lt;'112'!$M$9),"x","")</f>
        <v/>
      </c>
      <c r="W331" s="66" t="str">
        <f>IF(AND('131-CT'!$H$9=TH!H331,OR(N331="131",O331="131")),"x","")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IF(OR(TH!N331=TH!$AB$7,O331=TH!$AB$7),"x","")</f>
        <v/>
      </c>
      <c r="AC331" s="66" t="str">
        <f t="shared" si="39"/>
        <v>2</v>
      </c>
      <c r="AD331" s="66" t="str">
        <f>IF(AND(MONTH(E331)='IN-NX'!$J$5,'IN-NX'!$D$7=D331,OR(LEFT(TH!N331,2)="15",LEFT(TH!O331,2)="15")),"x","")</f>
        <v/>
      </c>
      <c r="AE331" s="66" t="str">
        <f>IF(AND(OR(LEFT(TH!N331,2)="15",LEFT(TH!O331,2)="15"),'152-CT'!$J$8=TH!F331),"x","")</f>
        <v/>
      </c>
      <c r="AF331" s="66" t="str">
        <f>IF(AND(OR(LEFT(TH!N331,2)="15",LEFT(TH!O331,2)="15"),'THE KHO'!$E$7=TH!F331),"x","")</f>
        <v/>
      </c>
      <c r="AG331" s="66" t="str">
        <f>IF(AND(N331="1521",MONTH(C331)='BK NL'!$M$11),"x","")</f>
        <v/>
      </c>
      <c r="AH331" s="409"/>
      <c r="AI331" s="410">
        <v>1</v>
      </c>
    </row>
    <row r="332" spans="1:35" ht="15.75" hidden="1" customHeight="1">
      <c r="A332" s="397" t="str">
        <f>IF(B332&lt;&gt;"",IF(AND(B332&gt;=_TM1,B332&lt;=_TM2,OR(TH!N332="1111",TH!O332="1111")),TH!D332,""),"")</f>
        <v/>
      </c>
      <c r="B332" s="96">
        <f t="shared" si="42"/>
        <v>5</v>
      </c>
      <c r="C332" s="97">
        <f t="shared" si="43"/>
        <v>42510</v>
      </c>
      <c r="D332" s="97" t="s">
        <v>200</v>
      </c>
      <c r="E332" s="97">
        <v>42510</v>
      </c>
      <c r="F332" s="98" t="s">
        <v>928</v>
      </c>
      <c r="G332" s="1049" t="s">
        <v>929</v>
      </c>
      <c r="H332" s="99" t="s">
        <v>930</v>
      </c>
      <c r="I332" s="519"/>
      <c r="J332" s="519"/>
      <c r="K332" s="511"/>
      <c r="L332" s="519"/>
      <c r="M332" s="100">
        <v>840909</v>
      </c>
      <c r="N332" s="87" t="s">
        <v>10</v>
      </c>
      <c r="O332" s="66" t="s">
        <v>98</v>
      </c>
      <c r="P332" s="66" t="str">
        <f>IF(AND('331-CT'!$E$7=TH!H332,OR(N332="331",O332="331")),"x","")</f>
        <v/>
      </c>
      <c r="Q332" s="66" t="str">
        <f>IF(AND($B332&gt;='111'!$N$11,$B332&lt;='111'!$O$11,OR($N332=$Q$7,$O332=$Q$7)),"x","")</f>
        <v>x</v>
      </c>
      <c r="R332" s="66" t="str">
        <f>IF(AND($N332=$Q$7,$B332&lt;'111'!$N$11),"x","")</f>
        <v/>
      </c>
      <c r="S332" s="66" t="str">
        <f>IF(AND($O332=$Q$7,$B332&lt;'111'!$N$11),"x","")</f>
        <v/>
      </c>
      <c r="T332" s="66" t="str">
        <f>IF(AND($B332&gt;='112'!$M$9,$B332&lt;='112'!$N$9,OR($N332='112'!$I$6,$O332='112'!$I$6)),"x","")</f>
        <v/>
      </c>
      <c r="U332" s="66" t="str">
        <f>IF(AND($N332='112'!$I$6,$B332&lt;'112'!$M$9),"x","")</f>
        <v/>
      </c>
      <c r="V332" s="66" t="str">
        <f>IF(AND($O332='112'!$I$6,$B332&lt;'112'!$M$9),"x","")</f>
        <v/>
      </c>
      <c r="W332" s="66" t="str">
        <f>IF(AND('131-CT'!$H$9=TH!H332,OR(N332="131",O332="131")),"x","")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IF(OR(TH!N332=TH!$AB$7,O332=TH!$AB$7),"x","")</f>
        <v/>
      </c>
      <c r="AC332" s="66" t="str">
        <f t="shared" si="39"/>
        <v>2</v>
      </c>
      <c r="AD332" s="66" t="str">
        <f>IF(AND(MONTH(E332)='IN-NX'!$J$5,'IN-NX'!$D$7=D332,OR(LEFT(TH!N332,2)="15",LEFT(TH!O332,2)="15")),"x","")</f>
        <v/>
      </c>
      <c r="AE332" s="66" t="str">
        <f>IF(AND(OR(LEFT(TH!N332,2)="15",LEFT(TH!O332,2)="15"),'152-CT'!$J$8=TH!F332),"x","")</f>
        <v/>
      </c>
      <c r="AF332" s="66" t="str">
        <f>IF(AND(OR(LEFT(TH!N332,2)="15",LEFT(TH!O332,2)="15"),'THE KHO'!$E$7=TH!F332),"x","")</f>
        <v/>
      </c>
      <c r="AG332" s="66" t="str">
        <f>IF(AND(N332="1521",MONTH(C332)='BK NL'!$M$11),"x","")</f>
        <v/>
      </c>
      <c r="AH332" s="409"/>
      <c r="AI332" s="386">
        <v>1</v>
      </c>
    </row>
    <row r="333" spans="1:35" ht="15.75" hidden="1" customHeight="1">
      <c r="A333" s="397" t="str">
        <f>IF(B333&lt;&gt;"",IF(AND(B333&gt;=_TM1,B333&lt;=_TM2,OR(TH!N333="1111",TH!O333="1111")),TH!D333,""),"")</f>
        <v/>
      </c>
      <c r="B333" s="63">
        <f t="shared" si="42"/>
        <v>5</v>
      </c>
      <c r="C333" s="64">
        <f t="shared" si="43"/>
        <v>42515</v>
      </c>
      <c r="D333" s="64" t="s">
        <v>12</v>
      </c>
      <c r="E333" s="64">
        <v>42515</v>
      </c>
      <c r="F333" s="67" t="s">
        <v>798</v>
      </c>
      <c r="G333" s="361" t="s">
        <v>808</v>
      </c>
      <c r="H333" s="74" t="s">
        <v>439</v>
      </c>
      <c r="I333" s="514"/>
      <c r="J333" s="514"/>
      <c r="K333" s="506"/>
      <c r="L333" s="514"/>
      <c r="M333" s="65">
        <v>85000000</v>
      </c>
      <c r="N333" s="66" t="s">
        <v>31</v>
      </c>
      <c r="O333" s="66" t="s">
        <v>107</v>
      </c>
      <c r="P333" s="66" t="str">
        <f>IF(AND('331-CT'!$E$7=TH!H333,OR(N333="331",O333="331")),"x","")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IF(AND('131-CT'!$H$9=TH!H333,OR(N333="131",O333="131")),"x","")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IF(OR(TH!N333=TH!$AB$7,O333=TH!$AB$7),"x","")</f>
        <v>x</v>
      </c>
      <c r="AC333" s="66" t="str">
        <f t="shared" si="39"/>
        <v>2</v>
      </c>
      <c r="AD333" s="66" t="str">
        <f>IF(AND(MONTH(E333)='IN-NX'!$J$5,'IN-NX'!$D$7=D333,OR(LEFT(TH!N333,2)="15",LEFT(TH!O333,2)="15")),"x","")</f>
        <v/>
      </c>
      <c r="AE333" s="66" t="str">
        <f>IF(AND(OR(LEFT(TH!N333,2)="15",LEFT(TH!O333,2)="15"),'152-CT'!$J$8=TH!F333),"x","")</f>
        <v/>
      </c>
      <c r="AF333" s="66" t="str">
        <f>IF(AND(OR(LEFT(TH!N333,2)="15",LEFT(TH!O333,2)="15"),'THE KHO'!$E$7=TH!F333),"x","")</f>
        <v/>
      </c>
      <c r="AG333" s="66" t="str">
        <f>IF(AND(N333="1521",MONTH(C333)='BK NL'!$M$11),"x","")</f>
        <v/>
      </c>
    </row>
    <row r="334" spans="1:35" ht="15.75" hidden="1" customHeight="1">
      <c r="A334" s="397" t="str">
        <f>IF(B334&lt;&gt;"",IF(AND(B334&gt;=_TM1,B334&lt;=_TM2,OR(TH!N334="1111",TH!O334="1111")),TH!D334,""),"")</f>
        <v/>
      </c>
      <c r="B334" s="63">
        <f t="shared" si="42"/>
        <v>5</v>
      </c>
      <c r="C334" s="64">
        <f t="shared" si="43"/>
        <v>42515</v>
      </c>
      <c r="D334" s="64" t="s">
        <v>757</v>
      </c>
      <c r="E334" s="64">
        <v>42515</v>
      </c>
      <c r="F334" s="67" t="s">
        <v>447</v>
      </c>
      <c r="G334" s="361" t="s">
        <v>808</v>
      </c>
      <c r="H334" s="74" t="s">
        <v>439</v>
      </c>
      <c r="I334" s="514"/>
      <c r="J334" s="514"/>
      <c r="K334" s="506"/>
      <c r="L334" s="514"/>
      <c r="M334" s="65">
        <v>85000000</v>
      </c>
      <c r="N334" s="66" t="s">
        <v>107</v>
      </c>
      <c r="O334" s="66" t="s">
        <v>98</v>
      </c>
      <c r="P334" s="66" t="str">
        <f>IF(AND('331-CT'!$E$7=TH!H334,OR(N334="331",O334="331")),"x","")</f>
        <v/>
      </c>
      <c r="Q334" s="66" t="str">
        <f>IF(AND($B334&gt;='111'!$N$11,$B334&lt;='111'!$O$11,OR($N334=$Q$7,$O334=$Q$7)),"x","")</f>
        <v>x</v>
      </c>
      <c r="R334" s="66" t="str">
        <f>IF(AND($N334=$Q$7,$B334&lt;'111'!$N$11),"x","")</f>
        <v/>
      </c>
      <c r="S334" s="66" t="str">
        <f>IF(AND($O334=$Q$7,$B334&lt;'111'!$N$11),"x","")</f>
        <v/>
      </c>
      <c r="T334" s="66" t="str">
        <f>IF(AND($B334&gt;='112'!$M$9,$B334&lt;='112'!$N$9,OR($N334='112'!$I$6,$O334='112'!$I$6)),"x","")</f>
        <v/>
      </c>
      <c r="U334" s="66" t="str">
        <f>IF(AND($N334='112'!$I$6,$B334&lt;'112'!$M$9),"x","")</f>
        <v/>
      </c>
      <c r="V334" s="66" t="str">
        <f>IF(AND($O334='112'!$I$6,$B334&lt;'112'!$M$9),"x","")</f>
        <v/>
      </c>
      <c r="W334" s="66" t="str">
        <f>IF(AND('131-CT'!$H$9=TH!H334,OR(N334="131",O334="131")),"x","")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IF(OR(TH!N334=TH!$AB$7,O334=TH!$AB$7),"x","")</f>
        <v>x</v>
      </c>
      <c r="AC334" s="66" t="str">
        <f t="shared" si="39"/>
        <v>2</v>
      </c>
      <c r="AD334" s="66" t="str">
        <f>IF(AND(MONTH(E334)='IN-NX'!$J$5,'IN-NX'!$D$7=D334,OR(LEFT(TH!N334,2)="15",LEFT(TH!O334,2)="15")),"x","")</f>
        <v/>
      </c>
      <c r="AE334" s="66" t="str">
        <f>IF(AND(OR(LEFT(TH!N334,2)="15",LEFT(TH!O334,2)="15"),'152-CT'!$J$8=TH!F334),"x","")</f>
        <v/>
      </c>
      <c r="AF334" s="66" t="str">
        <f>IF(AND(OR(LEFT(TH!N334,2)="15",LEFT(TH!O334,2)="15"),'THE KHO'!$E$7=TH!F334),"x","")</f>
        <v/>
      </c>
      <c r="AG334" s="66" t="str">
        <f>IF(AND(N334="1521",MONTH(C334)='BK NL'!$M$11),"x","")</f>
        <v/>
      </c>
    </row>
    <row r="335" spans="1:35" ht="15.75" hidden="1" customHeight="1">
      <c r="A335" s="397" t="str">
        <f>IF(B335&lt;&gt;"",IF(AND(B335&gt;=_TM1,B335&lt;=_TM2,OR(TH!N335="1111",TH!O335="1111")),TH!D335,""),"")</f>
        <v/>
      </c>
      <c r="B335" s="63">
        <f t="shared" si="42"/>
        <v>5</v>
      </c>
      <c r="C335" s="64">
        <f t="shared" si="43"/>
        <v>42515</v>
      </c>
      <c r="D335" s="64" t="s">
        <v>758</v>
      </c>
      <c r="E335" s="64">
        <v>42515</v>
      </c>
      <c r="F335" s="67" t="s">
        <v>419</v>
      </c>
      <c r="G335" s="361" t="s">
        <v>808</v>
      </c>
      <c r="H335" s="405" t="s">
        <v>835</v>
      </c>
      <c r="I335" s="517"/>
      <c r="J335" s="517"/>
      <c r="K335" s="509"/>
      <c r="L335" s="517"/>
      <c r="M335" s="65">
        <v>40000000</v>
      </c>
      <c r="N335" s="66" t="s">
        <v>31</v>
      </c>
      <c r="O335" s="66" t="s">
        <v>98</v>
      </c>
      <c r="P335" s="66" t="str">
        <f>IF(AND('331-CT'!$E$7=TH!H335,OR(N335="331",O335="331")),"x","")</f>
        <v/>
      </c>
      <c r="Q335" s="66" t="str">
        <f>IF(AND($B335&gt;='111'!$N$11,$B335&lt;='111'!$O$11,OR($N335=$Q$7,$O335=$Q$7)),"x","")</f>
        <v>x</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IF(AND('131-CT'!$H$9=TH!H335,OR(N335="131",O335="131")),"x","")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IF(OR(TH!N335=TH!$AB$7,O335=TH!$AB$7),"x","")</f>
        <v/>
      </c>
      <c r="AC335" s="66" t="str">
        <f t="shared" si="39"/>
        <v>2</v>
      </c>
      <c r="AD335" s="66" t="str">
        <f>IF(AND(MONTH(E335)='IN-NX'!$J$5,'IN-NX'!$D$7=D335,OR(LEFT(TH!N335,2)="15",LEFT(TH!O335,2)="15")),"x","")</f>
        <v/>
      </c>
      <c r="AE335" s="66" t="str">
        <f>IF(AND(OR(LEFT(TH!N335,2)="15",LEFT(TH!O335,2)="15"),'152-CT'!$J$8=TH!F335),"x","")</f>
        <v/>
      </c>
      <c r="AF335" s="66" t="str">
        <f>IF(AND(OR(LEFT(TH!N335,2)="15",LEFT(TH!O335,2)="15"),'THE KHO'!$E$7=TH!F335),"x","")</f>
        <v/>
      </c>
      <c r="AG335" s="66" t="str">
        <f>IF(AND(N335="1521",MONTH(C335)='BK NL'!$M$11),"x","")</f>
        <v/>
      </c>
    </row>
    <row r="336" spans="1:35" ht="15.75" hidden="1" customHeight="1">
      <c r="A336" s="397" t="str">
        <f>IF(B336&lt;&gt;"",IF(AND(B336&gt;=_TM1,B336&lt;=_TM2,OR(TH!N336="1111",TH!O336="1111")),TH!D336,""),"")</f>
        <v/>
      </c>
      <c r="B336" s="63">
        <f t="shared" si="42"/>
        <v>5</v>
      </c>
      <c r="C336" s="64">
        <f t="shared" si="43"/>
        <v>42515</v>
      </c>
      <c r="D336" s="64" t="s">
        <v>8</v>
      </c>
      <c r="E336" s="64">
        <v>42515</v>
      </c>
      <c r="F336" s="67" t="s">
        <v>414</v>
      </c>
      <c r="G336" s="361" t="s">
        <v>808</v>
      </c>
      <c r="H336" s="74" t="s">
        <v>167</v>
      </c>
      <c r="I336" s="517"/>
      <c r="J336" s="517"/>
      <c r="K336" s="509"/>
      <c r="L336" s="517"/>
      <c r="M336" s="65">
        <v>7935469</v>
      </c>
      <c r="N336" s="66" t="s">
        <v>134</v>
      </c>
      <c r="O336" s="66" t="s">
        <v>31</v>
      </c>
      <c r="P336" s="66" t="str">
        <f>IF(AND('331-CT'!$E$7=TH!H336,OR(N336="331",O336="331")),"x","")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IF(AND('131-CT'!$H$9=TH!H336,OR(N336="131",O336="131")),"x","")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IF(OR(TH!N336=TH!$AB$7,O336=TH!$AB$7),"x","")</f>
        <v/>
      </c>
      <c r="AC336" s="66" t="str">
        <f t="shared" si="39"/>
        <v>2</v>
      </c>
      <c r="AD336" s="66" t="str">
        <f>IF(AND(MONTH(E336)='IN-NX'!$J$5,'IN-NX'!$D$7=D336,OR(LEFT(TH!N336,2)="15",LEFT(TH!O336,2)="15")),"x","")</f>
        <v/>
      </c>
      <c r="AE336" s="66" t="str">
        <f>IF(AND(OR(LEFT(TH!N336,2)="15",LEFT(TH!O336,2)="15"),'152-CT'!$J$8=TH!F336),"x","")</f>
        <v/>
      </c>
      <c r="AF336" s="66" t="str">
        <f>IF(AND(OR(LEFT(TH!N336,2)="15",LEFT(TH!O336,2)="15"),'THE KHO'!$E$7=TH!F336),"x","")</f>
        <v/>
      </c>
      <c r="AG336" s="66" t="str">
        <f>IF(AND(N336="1521",MONTH(C336)='BK NL'!$M$11),"x","")</f>
        <v/>
      </c>
    </row>
    <row r="337" spans="1:35" ht="15.75" hidden="1" customHeight="1">
      <c r="A337" s="397" t="str">
        <f>IF(B337&lt;&gt;"",IF(AND(B337&gt;=_TM1,B337&lt;=_TM2,OR(TH!N337="1111",TH!O337="1111")),TH!D337,""),"")</f>
        <v/>
      </c>
      <c r="B337" s="63">
        <f t="shared" si="42"/>
        <v>5</v>
      </c>
      <c r="C337" s="64">
        <f t="shared" si="43"/>
        <v>42515</v>
      </c>
      <c r="D337" s="64" t="s">
        <v>8</v>
      </c>
      <c r="E337" s="64">
        <v>42515</v>
      </c>
      <c r="F337" s="67" t="s">
        <v>414</v>
      </c>
      <c r="G337" s="361" t="s">
        <v>808</v>
      </c>
      <c r="H337" s="74" t="s">
        <v>168</v>
      </c>
      <c r="I337" s="517"/>
      <c r="J337" s="517"/>
      <c r="K337" s="509"/>
      <c r="L337" s="517"/>
      <c r="M337" s="65">
        <v>15870937</v>
      </c>
      <c r="N337" s="66" t="s">
        <v>134</v>
      </c>
      <c r="O337" s="66" t="s">
        <v>31</v>
      </c>
      <c r="P337" s="66" t="str">
        <f>IF(AND('331-CT'!$E$7=TH!H337,OR(N337="331",O337="331")),"x","")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IF(AND('131-CT'!$H$9=TH!H337,OR(N337="131",O337="131")),"x","")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IF(OR(TH!N337=TH!$AB$7,O337=TH!$AB$7),"x","")</f>
        <v/>
      </c>
      <c r="AC337" s="66" t="str">
        <f t="shared" si="39"/>
        <v>2</v>
      </c>
      <c r="AD337" s="66" t="str">
        <f>IF(AND(MONTH(E337)='IN-NX'!$J$5,'IN-NX'!$D$7=D337,OR(LEFT(TH!N337,2)="15",LEFT(TH!O337,2)="15")),"x","")</f>
        <v/>
      </c>
      <c r="AE337" s="66" t="str">
        <f>IF(AND(OR(LEFT(TH!N337,2)="15",LEFT(TH!O337,2)="15"),'152-CT'!$J$8=TH!F337),"x","")</f>
        <v/>
      </c>
      <c r="AF337" s="66" t="str">
        <f>IF(AND(OR(LEFT(TH!N337,2)="15",LEFT(TH!O337,2)="15"),'THE KHO'!$E$7=TH!F337),"x","")</f>
        <v/>
      </c>
      <c r="AG337" s="66" t="str">
        <f>IF(AND(N337="1521",MONTH(C337)='BK NL'!$M$11),"x","")</f>
        <v/>
      </c>
    </row>
    <row r="338" spans="1:35" s="406" customFormat="1" ht="15.75" hidden="1" customHeight="1">
      <c r="A338" s="397" t="str">
        <f>IF(B338&lt;&gt;"",IF(AND(B338&gt;=_TM1,B338&lt;=_TM2,OR(TH!N338="1111",TH!O338="1111")),TH!D338,""),"")</f>
        <v/>
      </c>
      <c r="B338" s="63">
        <f t="shared" si="42"/>
        <v>5</v>
      </c>
      <c r="C338" s="64">
        <f t="shared" si="43"/>
        <v>42515</v>
      </c>
      <c r="D338" s="64" t="s">
        <v>8</v>
      </c>
      <c r="E338" s="64">
        <v>42515</v>
      </c>
      <c r="F338" s="67" t="s">
        <v>414</v>
      </c>
      <c r="G338" s="361" t="s">
        <v>808</v>
      </c>
      <c r="H338" s="75" t="s">
        <v>170</v>
      </c>
      <c r="I338" s="517"/>
      <c r="J338" s="517"/>
      <c r="K338" s="509"/>
      <c r="L338" s="517"/>
      <c r="M338" s="65">
        <v>12696750</v>
      </c>
      <c r="N338" s="66" t="s">
        <v>134</v>
      </c>
      <c r="O338" s="66" t="s">
        <v>31</v>
      </c>
      <c r="P338" s="66" t="str">
        <f>IF(AND('331-CT'!$E$7=TH!H338,OR(N338="331",O338="331")),"x","")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IF(AND('131-CT'!$H$9=TH!H338,OR(N338="131",O338="131")),"x","")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IF(OR(TH!N338=TH!$AB$7,O338=TH!$AB$7),"x","")</f>
        <v/>
      </c>
      <c r="AC338" s="66" t="str">
        <f t="shared" ref="AC338:AC401" si="44">IF(AND(1&lt;=$B338,$B338&lt;=3),"1",IF(AND(4&lt;=$B338,$B338&lt;=6),"2",IF(AND(7&lt;=$B338,$B338&lt;=9),"3",IF(AND(10&lt;=$B338,$B338&lt;=12),"4",""))))</f>
        <v>2</v>
      </c>
      <c r="AD338" s="66" t="str">
        <f>IF(AND(MONTH(E338)='IN-NX'!$J$5,'IN-NX'!$D$7=D338,OR(LEFT(TH!N338,2)="15",LEFT(TH!O338,2)="15")),"x","")</f>
        <v/>
      </c>
      <c r="AE338" s="66" t="str">
        <f>IF(AND(OR(LEFT(TH!N338,2)="15",LEFT(TH!O338,2)="15"),'152-CT'!$J$8=TH!F338),"x","")</f>
        <v/>
      </c>
      <c r="AF338" s="66" t="str">
        <f>IF(AND(OR(LEFT(TH!N338,2)="15",LEFT(TH!O338,2)="15"),'THE KHO'!$E$7=TH!F338),"x","")</f>
        <v/>
      </c>
      <c r="AG338" s="66" t="str">
        <f>IF(AND(N338="1521",MONTH(C338)='BK NL'!$M$11),"x","")</f>
        <v/>
      </c>
      <c r="AH338" s="386"/>
      <c r="AI338" s="386"/>
    </row>
    <row r="339" spans="1:35" ht="15.75" hidden="1" customHeight="1">
      <c r="A339" s="397" t="str">
        <f>IF(B339&lt;&gt;"",IF(AND(B339&gt;=_TM1,B339&lt;=_TM2,OR(TH!N339="1111",TH!O339="1111")),TH!D339,""),"")</f>
        <v/>
      </c>
      <c r="B339" s="63">
        <f t="shared" si="42"/>
        <v>5</v>
      </c>
      <c r="C339" s="64">
        <f t="shared" si="43"/>
        <v>42515</v>
      </c>
      <c r="D339" s="64" t="s">
        <v>8</v>
      </c>
      <c r="E339" s="64">
        <v>42515</v>
      </c>
      <c r="F339" s="67" t="s">
        <v>414</v>
      </c>
      <c r="G339" s="361" t="s">
        <v>808</v>
      </c>
      <c r="H339" s="74" t="s">
        <v>169</v>
      </c>
      <c r="I339" s="517"/>
      <c r="J339" s="517"/>
      <c r="K339" s="509"/>
      <c r="L339" s="517"/>
      <c r="M339" s="65">
        <v>11903203</v>
      </c>
      <c r="N339" s="66" t="s">
        <v>134</v>
      </c>
      <c r="O339" s="66" t="s">
        <v>31</v>
      </c>
      <c r="P339" s="66" t="str">
        <f>IF(AND('331-CT'!$E$7=TH!H339,OR(N339="331",O339="331")),"x","")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IF(AND('131-CT'!$H$9=TH!H339,OR(N339="131",O339="131")),"x","")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IF(OR(TH!N339=TH!$AB$7,O339=TH!$AB$7),"x","")</f>
        <v/>
      </c>
      <c r="AC339" s="66" t="str">
        <f t="shared" si="44"/>
        <v>2</v>
      </c>
      <c r="AD339" s="66" t="str">
        <f>IF(AND(MONTH(E339)='IN-NX'!$J$5,'IN-NX'!$D$7=D339,OR(LEFT(TH!N339,2)="15",LEFT(TH!O339,2)="15")),"x","")</f>
        <v/>
      </c>
      <c r="AE339" s="66" t="str">
        <f>IF(AND(OR(LEFT(TH!N339,2)="15",LEFT(TH!O339,2)="15"),'152-CT'!$J$8=TH!F339),"x","")</f>
        <v/>
      </c>
      <c r="AF339" s="66" t="str">
        <f>IF(AND(OR(LEFT(TH!N339,2)="15",LEFT(TH!O339,2)="15"),'THE KHO'!$E$7=TH!F339),"x","")</f>
        <v/>
      </c>
      <c r="AG339" s="66" t="str">
        <f>IF(AND(N339="1521",MONTH(C339)='BK NL'!$M$11),"x","")</f>
        <v/>
      </c>
    </row>
    <row r="340" spans="1:35" ht="15.75" hidden="1" customHeight="1">
      <c r="A340" s="397" t="str">
        <f>IF(B340&lt;&gt;"",IF(AND(B340&gt;=_TM1,B340&lt;=_TM2,OR(TH!N340="1111",TH!O340="1111")),TH!D340,""),"")</f>
        <v/>
      </c>
      <c r="B340" s="63">
        <f t="shared" ref="B340:B371" si="45">IF(C340&lt;&gt;"",MONTH(C340),"")</f>
        <v>5</v>
      </c>
      <c r="C340" s="64">
        <f t="shared" si="43"/>
        <v>42515</v>
      </c>
      <c r="D340" s="64" t="s">
        <v>8</v>
      </c>
      <c r="E340" s="64">
        <v>42515</v>
      </c>
      <c r="F340" s="67" t="s">
        <v>414</v>
      </c>
      <c r="G340" s="361" t="s">
        <v>808</v>
      </c>
      <c r="H340" s="74" t="s">
        <v>171</v>
      </c>
      <c r="I340" s="517"/>
      <c r="J340" s="517"/>
      <c r="K340" s="509"/>
      <c r="L340" s="517"/>
      <c r="M340" s="65">
        <v>7935469</v>
      </c>
      <c r="N340" s="66" t="s">
        <v>134</v>
      </c>
      <c r="O340" s="66" t="s">
        <v>31</v>
      </c>
      <c r="P340" s="66" t="str">
        <f>IF(AND('331-CT'!$E$7=TH!H340,OR(N340="331",O340="331")),"x","")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IF(AND('131-CT'!$H$9=TH!H340,OR(N340="131",O340="131")),"x","")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IF(OR(TH!N340=TH!$AB$7,O340=TH!$AB$7),"x","")</f>
        <v/>
      </c>
      <c r="AC340" s="66" t="str">
        <f t="shared" si="44"/>
        <v>2</v>
      </c>
      <c r="AD340" s="66" t="str">
        <f>IF(AND(MONTH(E340)='IN-NX'!$J$5,'IN-NX'!$D$7=D340,OR(LEFT(TH!N340,2)="15",LEFT(TH!O340,2)="15")),"x","")</f>
        <v/>
      </c>
      <c r="AE340" s="66" t="str">
        <f>IF(AND(OR(LEFT(TH!N340,2)="15",LEFT(TH!O340,2)="15"),'152-CT'!$J$8=TH!F340),"x","")</f>
        <v/>
      </c>
      <c r="AF340" s="66" t="str">
        <f>IF(AND(OR(LEFT(TH!N340,2)="15",LEFT(TH!O340,2)="15"),'THE KHO'!$E$7=TH!F340),"x","")</f>
        <v/>
      </c>
      <c r="AG340" s="66" t="str">
        <f>IF(AND(N340="1521",MONTH(C340)='BK NL'!$M$11),"x","")</f>
        <v/>
      </c>
    </row>
    <row r="341" spans="1:35" ht="15.75" hidden="1" customHeight="1">
      <c r="A341" s="397" t="str">
        <f>IF(B341&lt;&gt;"",IF(AND(B341&gt;=_TM1,B341&lt;=_TM2,OR(TH!N341="1111",TH!O341="1111")),TH!D341,""),"")</f>
        <v/>
      </c>
      <c r="B341" s="63">
        <f t="shared" si="45"/>
        <v>5</v>
      </c>
      <c r="C341" s="64">
        <f t="shared" si="43"/>
        <v>42515</v>
      </c>
      <c r="D341" s="64" t="s">
        <v>8</v>
      </c>
      <c r="E341" s="64">
        <v>42515</v>
      </c>
      <c r="F341" s="67" t="s">
        <v>414</v>
      </c>
      <c r="G341" s="361" t="s">
        <v>808</v>
      </c>
      <c r="H341" s="74" t="s">
        <v>172</v>
      </c>
      <c r="I341" s="517"/>
      <c r="J341" s="517"/>
      <c r="K341" s="509"/>
      <c r="L341" s="517"/>
      <c r="M341" s="65">
        <v>11903203</v>
      </c>
      <c r="N341" s="66" t="s">
        <v>134</v>
      </c>
      <c r="O341" s="66" t="s">
        <v>31</v>
      </c>
      <c r="P341" s="66" t="str">
        <f>IF(AND('331-CT'!$E$7=TH!H341,OR(N341="331",O341="331")),"x","")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IF(AND('131-CT'!$H$9=TH!H341,OR(N341="131",O341="131")),"x","")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IF(OR(TH!N341=TH!$AB$7,O341=TH!$AB$7),"x","")</f>
        <v/>
      </c>
      <c r="AC341" s="66" t="str">
        <f t="shared" si="44"/>
        <v>2</v>
      </c>
      <c r="AD341" s="66" t="str">
        <f>IF(AND(MONTH(E341)='IN-NX'!$J$5,'IN-NX'!$D$7=D341,OR(LEFT(TH!N341,2)="15",LEFT(TH!O341,2)="15")),"x","")</f>
        <v/>
      </c>
      <c r="AE341" s="66" t="str">
        <f>IF(AND(OR(LEFT(TH!N341,2)="15",LEFT(TH!O341,2)="15"),'152-CT'!$J$8=TH!F341),"x","")</f>
        <v/>
      </c>
      <c r="AF341" s="66" t="str">
        <f>IF(AND(OR(LEFT(TH!N341,2)="15",LEFT(TH!O341,2)="15"),'THE KHO'!$E$7=TH!F341),"x","")</f>
        <v/>
      </c>
      <c r="AG341" s="66" t="str">
        <f>IF(AND(N341="1521",MONTH(C341)='BK NL'!$M$11),"x","")</f>
        <v/>
      </c>
    </row>
    <row r="342" spans="1:35" ht="15.75" hidden="1" customHeight="1">
      <c r="A342" s="397" t="str">
        <f>IF(B342&lt;&gt;"",IF(AND(B342&gt;=_TM1,B342&lt;=_TM2,OR(TH!N342="1111",TH!O342="1111")),TH!D342,""),"")</f>
        <v/>
      </c>
      <c r="B342" s="63">
        <f t="shared" si="45"/>
        <v>5</v>
      </c>
      <c r="C342" s="64">
        <f t="shared" si="43"/>
        <v>42515</v>
      </c>
      <c r="D342" s="64" t="s">
        <v>8</v>
      </c>
      <c r="E342" s="64">
        <v>42515</v>
      </c>
      <c r="F342" s="67" t="s">
        <v>414</v>
      </c>
      <c r="G342" s="361" t="s">
        <v>808</v>
      </c>
      <c r="H342" s="74" t="s">
        <v>173</v>
      </c>
      <c r="I342" s="517"/>
      <c r="J342" s="517"/>
      <c r="K342" s="509"/>
      <c r="L342" s="517"/>
      <c r="M342" s="65">
        <v>15870937</v>
      </c>
      <c r="N342" s="66" t="s">
        <v>134</v>
      </c>
      <c r="O342" s="66" t="s">
        <v>31</v>
      </c>
      <c r="P342" s="66" t="str">
        <f>IF(AND('331-CT'!$E$7=TH!H342,OR(N342="331",O342="331")),"x","")</f>
        <v/>
      </c>
      <c r="Q342" s="66" t="str">
        <f>IF(AND($B342&gt;='111'!$N$11,$B342&lt;='111'!$O$11,OR($N342=$Q$7,$O342=$Q$7)),"x","")</f>
        <v/>
      </c>
      <c r="R342" s="66" t="str">
        <f>IF(AND($N342=$Q$7,$B342&lt;'111'!$N$11),"x","")</f>
        <v/>
      </c>
      <c r="S342" s="66" t="str">
        <f>IF(AND($O342=$Q$7,$B342&lt;'111'!$N$11),"x","")</f>
        <v/>
      </c>
      <c r="T342" s="66" t="str">
        <f>IF(AND($B342&gt;='112'!$M$9,$B342&lt;='112'!$N$9,OR($N342='112'!$I$6,$O342='112'!$I$6)),"x","")</f>
        <v>x</v>
      </c>
      <c r="U342" s="66" t="str">
        <f>IF(AND($N342='112'!$I$6,$B342&lt;'112'!$M$9),"x","")</f>
        <v/>
      </c>
      <c r="V342" s="66" t="str">
        <f>IF(AND($O342='112'!$I$6,$B342&lt;'112'!$M$9),"x","")</f>
        <v/>
      </c>
      <c r="W342" s="66" t="str">
        <f>IF(AND('131-CT'!$H$9=TH!H342,OR(N342="131",O342="131")),"x","")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IF(OR(TH!N342=TH!$AB$7,O342=TH!$AB$7),"x","")</f>
        <v/>
      </c>
      <c r="AC342" s="66" t="str">
        <f t="shared" si="44"/>
        <v>2</v>
      </c>
      <c r="AD342" s="66" t="str">
        <f>IF(AND(MONTH(E342)='IN-NX'!$J$5,'IN-NX'!$D$7=D342,OR(LEFT(TH!N342,2)="15",LEFT(TH!O342,2)="15")),"x","")</f>
        <v/>
      </c>
      <c r="AE342" s="66" t="str">
        <f>IF(AND(OR(LEFT(TH!N342,2)="15",LEFT(TH!O342,2)="15"),'152-CT'!$J$8=TH!F342),"x","")</f>
        <v/>
      </c>
      <c r="AF342" s="66" t="str">
        <f>IF(AND(OR(LEFT(TH!N342,2)="15",LEFT(TH!O342,2)="15"),'THE KHO'!$E$7=TH!F342),"x","")</f>
        <v/>
      </c>
      <c r="AG342" s="66" t="str">
        <f>IF(AND(N342="1521",MONTH(C342)='BK NL'!$M$11),"x","")</f>
        <v/>
      </c>
    </row>
    <row r="343" spans="1:35" ht="15.75" hidden="1" customHeight="1">
      <c r="A343" s="397" t="str">
        <f>IF(B343&lt;&gt;"",IF(AND(B343&gt;=_TM1,B343&lt;=_TM2,OR(TH!N343="1111",TH!O343="1111")),TH!D343,""),"")</f>
        <v/>
      </c>
      <c r="B343" s="63">
        <f t="shared" si="45"/>
        <v>5</v>
      </c>
      <c r="C343" s="64">
        <f t="shared" si="43"/>
        <v>42515</v>
      </c>
      <c r="D343" s="64" t="s">
        <v>8</v>
      </c>
      <c r="E343" s="64">
        <v>42515</v>
      </c>
      <c r="F343" s="67" t="s">
        <v>414</v>
      </c>
      <c r="G343" s="361" t="s">
        <v>808</v>
      </c>
      <c r="H343" s="74" t="s">
        <v>181</v>
      </c>
      <c r="I343" s="517"/>
      <c r="J343" s="517"/>
      <c r="K343" s="509"/>
      <c r="L343" s="517"/>
      <c r="M343" s="65">
        <v>7935469</v>
      </c>
      <c r="N343" s="66" t="s">
        <v>134</v>
      </c>
      <c r="O343" s="66" t="s">
        <v>31</v>
      </c>
      <c r="P343" s="66" t="str">
        <f>IF(AND('331-CT'!$E$7=TH!H343,OR(N343="331",O343="331")),"x","")</f>
        <v/>
      </c>
      <c r="Q343" s="66" t="str">
        <f>IF(AND($B343&gt;='111'!$N$11,$B343&lt;='111'!$O$11,OR($N343=$Q$7,$O343=$Q$7)),"x","")</f>
        <v/>
      </c>
      <c r="R343" s="66" t="str">
        <f>IF(AND($N343=$Q$7,$B343&lt;'111'!$N$11),"x","")</f>
        <v/>
      </c>
      <c r="S343" s="66" t="str">
        <f>IF(AND($O343=$Q$7,$B343&lt;'111'!$N$11),"x","")</f>
        <v/>
      </c>
      <c r="T343" s="66" t="str">
        <f>IF(AND($B343&gt;='112'!$M$9,$B343&lt;='112'!$N$9,OR($N343='112'!$I$6,$O343='112'!$I$6)),"x","")</f>
        <v>x</v>
      </c>
      <c r="U343" s="66" t="str">
        <f>IF(AND($N343='112'!$I$6,$B343&lt;'112'!$M$9),"x","")</f>
        <v/>
      </c>
      <c r="V343" s="66" t="str">
        <f>IF(AND($O343='112'!$I$6,$B343&lt;'112'!$M$9),"x","")</f>
        <v/>
      </c>
      <c r="W343" s="66" t="str">
        <f>IF(AND('131-CT'!$H$9=TH!H343,OR(N343="131",O343="131")),"x","")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IF(OR(TH!N343=TH!$AB$7,O343=TH!$AB$7),"x","")</f>
        <v/>
      </c>
      <c r="AC343" s="66" t="str">
        <f t="shared" si="44"/>
        <v>2</v>
      </c>
      <c r="AD343" s="66" t="str">
        <f>IF(AND(MONTH(E343)='IN-NX'!$J$5,'IN-NX'!$D$7=D343,OR(LEFT(TH!N343,2)="15",LEFT(TH!O343,2)="15")),"x","")</f>
        <v/>
      </c>
      <c r="AE343" s="66" t="str">
        <f>IF(AND(OR(LEFT(TH!N343,2)="15",LEFT(TH!O343,2)="15"),'152-CT'!$J$8=TH!F343),"x","")</f>
        <v/>
      </c>
      <c r="AF343" s="66" t="str">
        <f>IF(AND(OR(LEFT(TH!N343,2)="15",LEFT(TH!O343,2)="15"),'THE KHO'!$E$7=TH!F343),"x","")</f>
        <v/>
      </c>
      <c r="AG343" s="66" t="str">
        <f>IF(AND(N343="1521",MONTH(C343)='BK NL'!$M$11),"x","")</f>
        <v/>
      </c>
    </row>
    <row r="344" spans="1:35" ht="15.75" hidden="1" customHeight="1">
      <c r="A344" s="397" t="str">
        <f>IF(B344&lt;&gt;"",IF(AND(B344&gt;=_TM1,B344&lt;=_TM2,OR(TH!N344="1111",TH!O344="1111")),TH!D344,""),"")</f>
        <v/>
      </c>
      <c r="B344" s="63">
        <f t="shared" si="45"/>
        <v>5</v>
      </c>
      <c r="C344" s="64">
        <f t="shared" si="43"/>
        <v>42515</v>
      </c>
      <c r="D344" s="64" t="s">
        <v>8</v>
      </c>
      <c r="E344" s="64">
        <v>42515</v>
      </c>
      <c r="F344" s="67" t="s">
        <v>414</v>
      </c>
      <c r="G344" s="361" t="s">
        <v>808</v>
      </c>
      <c r="H344" s="74" t="s">
        <v>185</v>
      </c>
      <c r="I344" s="517"/>
      <c r="J344" s="517"/>
      <c r="K344" s="509"/>
      <c r="L344" s="517"/>
      <c r="M344" s="65">
        <v>7935470</v>
      </c>
      <c r="N344" s="66" t="s">
        <v>134</v>
      </c>
      <c r="O344" s="66" t="s">
        <v>31</v>
      </c>
      <c r="P344" s="66" t="str">
        <f>IF(AND('331-CT'!$E$7=TH!H344,OR(N344="331",O344="331")),"x","")</f>
        <v/>
      </c>
      <c r="Q344" s="66" t="str">
        <f>IF(AND($B344&gt;='111'!$N$11,$B344&lt;='111'!$O$11,OR($N344=$Q$7,$O344=$Q$7)),"x","")</f>
        <v/>
      </c>
      <c r="R344" s="66" t="str">
        <f>IF(AND($N344=$Q$7,$B344&lt;'111'!$N$11),"x","")</f>
        <v/>
      </c>
      <c r="S344" s="66" t="str">
        <f>IF(AND($O344=$Q$7,$B344&lt;'111'!$N$11),"x","")</f>
        <v/>
      </c>
      <c r="T344" s="66" t="str">
        <f>IF(AND($B344&gt;='112'!$M$9,$B344&lt;='112'!$N$9,OR($N344='112'!$I$6,$O344='112'!$I$6)),"x","")</f>
        <v>x</v>
      </c>
      <c r="U344" s="66" t="str">
        <f>IF(AND($N344='112'!$I$6,$B344&lt;'112'!$M$9),"x","")</f>
        <v/>
      </c>
      <c r="V344" s="66" t="str">
        <f>IF(AND($O344='112'!$I$6,$B344&lt;'112'!$M$9),"x","")</f>
        <v/>
      </c>
      <c r="W344" s="66" t="str">
        <f>IF(AND('131-CT'!$H$9=TH!H344,OR(N344="131",O344="131")),"x","")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IF(OR(TH!N344=TH!$AB$7,O344=TH!$AB$7),"x","")</f>
        <v/>
      </c>
      <c r="AC344" s="66" t="str">
        <f t="shared" si="44"/>
        <v>2</v>
      </c>
      <c r="AD344" s="66" t="str">
        <f>IF(AND(MONTH(E344)='IN-NX'!$J$5,'IN-NX'!$D$7=D344,OR(LEFT(TH!N344,2)="15",LEFT(TH!O344,2)="15")),"x","")</f>
        <v/>
      </c>
      <c r="AE344" s="66" t="str">
        <f>IF(AND(OR(LEFT(TH!N344,2)="15",LEFT(TH!O344,2)="15"),'152-CT'!$J$8=TH!F344),"x","")</f>
        <v/>
      </c>
      <c r="AF344" s="66" t="str">
        <f>IF(AND(OR(LEFT(TH!N344,2)="15",LEFT(TH!O344,2)="15"),'THE KHO'!$E$7=TH!F344),"x","")</f>
        <v/>
      </c>
      <c r="AG344" s="66" t="str">
        <f>IF(AND(N344="1521",MONTH(C344)='BK NL'!$M$11),"x","")</f>
        <v/>
      </c>
      <c r="AI344" s="406"/>
    </row>
    <row r="345" spans="1:35" ht="15.75" hidden="1" customHeight="1">
      <c r="A345" s="397" t="str">
        <f>IF(B345&lt;&gt;"",IF(AND(B345&gt;=_TM1,B345&lt;=_TM2,OR(TH!N345="1111",TH!O345="1111")),TH!D345,""),"")</f>
        <v/>
      </c>
      <c r="B345" s="63">
        <f t="shared" si="45"/>
        <v>5</v>
      </c>
      <c r="C345" s="64">
        <f t="shared" si="43"/>
        <v>42515</v>
      </c>
      <c r="D345" s="64" t="s">
        <v>8</v>
      </c>
      <c r="E345" s="64">
        <v>42515</v>
      </c>
      <c r="F345" s="1052" t="s">
        <v>414</v>
      </c>
      <c r="G345" s="361" t="s">
        <v>808</v>
      </c>
      <c r="H345" s="74" t="s">
        <v>174</v>
      </c>
      <c r="I345" s="517"/>
      <c r="J345" s="517"/>
      <c r="K345" s="509"/>
      <c r="L345" s="517"/>
      <c r="M345" s="65">
        <v>11109656</v>
      </c>
      <c r="N345" s="66" t="s">
        <v>134</v>
      </c>
      <c r="O345" s="66" t="s">
        <v>31</v>
      </c>
      <c r="P345" s="66" t="str">
        <f>IF(AND('331-CT'!$E$7=TH!H345,OR(N345="331",O345="331")),"x","")</f>
        <v/>
      </c>
      <c r="Q345" s="66" t="str">
        <f>IF(AND($B345&gt;='111'!$N$11,$B345&lt;='111'!$O$11,OR($N345=$Q$7,$O345=$Q$7)),"x","")</f>
        <v/>
      </c>
      <c r="R345" s="66" t="str">
        <f>IF(AND($N345=$Q$7,$B345&lt;'111'!$N$11),"x","")</f>
        <v/>
      </c>
      <c r="S345" s="66" t="str">
        <f>IF(AND($O345=$Q$7,$B345&lt;'111'!$N$11),"x","")</f>
        <v/>
      </c>
      <c r="T345" s="66" t="str">
        <f>IF(AND($B345&gt;='112'!$M$9,$B345&lt;='112'!$N$9,OR($N345='112'!$I$6,$O345='112'!$I$6)),"x","")</f>
        <v>x</v>
      </c>
      <c r="U345" s="66" t="str">
        <f>IF(AND($N345='112'!$I$6,$B345&lt;'112'!$M$9),"x","")</f>
        <v/>
      </c>
      <c r="V345" s="66" t="str">
        <f>IF(AND($O345='112'!$I$6,$B345&lt;'112'!$M$9),"x","")</f>
        <v/>
      </c>
      <c r="W345" s="66" t="str">
        <f>IF(AND('131-CT'!$H$9=TH!H345,OR(N345="131",O345="131")),"x","")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IF(OR(TH!N345=TH!$AB$7,O345=TH!$AB$7),"x","")</f>
        <v/>
      </c>
      <c r="AC345" s="66" t="str">
        <f t="shared" si="44"/>
        <v>2</v>
      </c>
      <c r="AD345" s="66" t="str">
        <f>IF(AND(MONTH(E345)='IN-NX'!$J$5,'IN-NX'!$D$7=D345,OR(LEFT(TH!N345,2)="15",LEFT(TH!O345,2)="15")),"x","")</f>
        <v/>
      </c>
      <c r="AE345" s="66" t="str">
        <f>IF(AND(OR(LEFT(TH!N345,2)="15",LEFT(TH!O345,2)="15"),'152-CT'!$J$8=TH!F345),"x","")</f>
        <v/>
      </c>
      <c r="AF345" s="66" t="str">
        <f>IF(AND(OR(LEFT(TH!N345,2)="15",LEFT(TH!O345,2)="15"),'THE KHO'!$E$7=TH!F345),"x","")</f>
        <v/>
      </c>
      <c r="AG345" s="66" t="str">
        <f>IF(AND(N345="1521",MONTH(C345)='BK NL'!$M$11),"x","")</f>
        <v/>
      </c>
    </row>
    <row r="346" spans="1:35" ht="15.75" hidden="1" customHeight="1">
      <c r="A346" s="397" t="str">
        <f>IF(B346&lt;&gt;"",IF(AND(B346&gt;=_TM1,B346&lt;=_TM2,OR(TH!N346="1111",TH!O346="1111")),TH!D346,""),"")</f>
        <v/>
      </c>
      <c r="B346" s="63">
        <f t="shared" si="45"/>
        <v>5</v>
      </c>
      <c r="C346" s="64">
        <f t="shared" si="43"/>
        <v>42515</v>
      </c>
      <c r="D346" s="64" t="s">
        <v>8</v>
      </c>
      <c r="E346" s="64">
        <v>42515</v>
      </c>
      <c r="F346" s="67" t="s">
        <v>414</v>
      </c>
      <c r="G346" s="361" t="s">
        <v>808</v>
      </c>
      <c r="H346" s="404" t="s">
        <v>175</v>
      </c>
      <c r="I346" s="517"/>
      <c r="J346" s="517"/>
      <c r="K346" s="509"/>
      <c r="L346" s="517"/>
      <c r="M346" s="65">
        <v>11903203</v>
      </c>
      <c r="N346" s="66" t="s">
        <v>134</v>
      </c>
      <c r="O346" s="66" t="s">
        <v>31</v>
      </c>
      <c r="P346" s="66" t="str">
        <f>IF(AND('331-CT'!$E$7=TH!H346,OR(N346="331",O346="331")),"x","")</f>
        <v/>
      </c>
      <c r="Q346" s="66" t="str">
        <f>IF(AND($B346&gt;='111'!$N$11,$B346&lt;='111'!$O$11,OR($N346=$Q$7,$O346=$Q$7)),"x","")</f>
        <v/>
      </c>
      <c r="R346" s="66" t="str">
        <f>IF(AND($N346=$Q$7,$B346&lt;'111'!$N$11),"x","")</f>
        <v/>
      </c>
      <c r="S346" s="66" t="str">
        <f>IF(AND($O346=$Q$7,$B346&lt;'111'!$N$11),"x","")</f>
        <v/>
      </c>
      <c r="T346" s="66" t="str">
        <f>IF(AND($B346&gt;='112'!$M$9,$B346&lt;='112'!$N$9,OR($N346='112'!$I$6,$O346='112'!$I$6)),"x","")</f>
        <v>x</v>
      </c>
      <c r="U346" s="66" t="str">
        <f>IF(AND($N346='112'!$I$6,$B346&lt;'112'!$M$9),"x","")</f>
        <v/>
      </c>
      <c r="V346" s="66" t="str">
        <f>IF(AND($O346='112'!$I$6,$B346&lt;'112'!$M$9),"x","")</f>
        <v/>
      </c>
      <c r="W346" s="66" t="str">
        <f>IF(AND('131-CT'!$H$9=TH!H346,OR(N346="131",O346="131")),"x","")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IF(OR(TH!N346=TH!$AB$7,O346=TH!$AB$7),"x","")</f>
        <v/>
      </c>
      <c r="AC346" s="66" t="str">
        <f t="shared" si="44"/>
        <v>2</v>
      </c>
      <c r="AD346" s="66" t="str">
        <f>IF(AND(MONTH(E346)='IN-NX'!$J$5,'IN-NX'!$D$7=D346,OR(LEFT(TH!N346,2)="15",LEFT(TH!O346,2)="15")),"x","")</f>
        <v/>
      </c>
      <c r="AE346" s="66" t="str">
        <f>IF(AND(OR(LEFT(TH!N346,2)="15",LEFT(TH!O346,2)="15"),'152-CT'!$J$8=TH!F346),"x","")</f>
        <v/>
      </c>
      <c r="AF346" s="66" t="str">
        <f>IF(AND(OR(LEFT(TH!N346,2)="15",LEFT(TH!O346,2)="15"),'THE KHO'!$E$7=TH!F346),"x","")</f>
        <v/>
      </c>
      <c r="AG346" s="66" t="str">
        <f>IF(AND(N346="1521",MONTH(C346)='BK NL'!$M$11),"x","")</f>
        <v/>
      </c>
    </row>
    <row r="347" spans="1:35" ht="15.75" hidden="1" customHeight="1">
      <c r="A347" s="397" t="str">
        <f>IF(B347&lt;&gt;"",IF(AND(B347&gt;=_TM1,B347&lt;=_TM2,OR(TH!N347="1111",TH!O347="1111")),TH!D347,""),"")</f>
        <v/>
      </c>
      <c r="B347" s="63">
        <f t="shared" si="45"/>
        <v>5</v>
      </c>
      <c r="C347" s="64">
        <f t="shared" si="43"/>
        <v>42515</v>
      </c>
      <c r="D347" s="64" t="s">
        <v>8</v>
      </c>
      <c r="E347" s="64">
        <v>42515</v>
      </c>
      <c r="F347" s="67" t="s">
        <v>414</v>
      </c>
      <c r="G347" s="361" t="s">
        <v>808</v>
      </c>
      <c r="H347" s="404" t="s">
        <v>180</v>
      </c>
      <c r="I347" s="517"/>
      <c r="J347" s="517"/>
      <c r="K347" s="509"/>
      <c r="L347" s="517"/>
      <c r="M347" s="65">
        <v>11903203</v>
      </c>
      <c r="N347" s="66" t="s">
        <v>134</v>
      </c>
      <c r="O347" s="66" t="s">
        <v>31</v>
      </c>
      <c r="P347" s="66" t="str">
        <f>IF(AND('331-CT'!$E$7=TH!H347,OR(N347="331",O347="331")),"x","")</f>
        <v/>
      </c>
      <c r="Q347" s="66" t="str">
        <f>IF(AND($B347&gt;='111'!$N$11,$B347&lt;='111'!$O$11,OR($N347=$Q$7,$O347=$Q$7)),"x","")</f>
        <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IF(AND('131-CT'!$H$9=TH!H347,OR(N347="131",O347="131")),"x","")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IF(OR(TH!N347=TH!$AB$7,O347=TH!$AB$7),"x","")</f>
        <v/>
      </c>
      <c r="AC347" s="66" t="str">
        <f t="shared" si="44"/>
        <v>2</v>
      </c>
      <c r="AD347" s="66" t="str">
        <f>IF(AND(MONTH(E347)='IN-NX'!$J$5,'IN-NX'!$D$7=D347,OR(LEFT(TH!N347,2)="15",LEFT(TH!O347,2)="15")),"x","")</f>
        <v/>
      </c>
      <c r="AE347" s="66" t="str">
        <f>IF(AND(OR(LEFT(TH!N347,2)="15",LEFT(TH!O347,2)="15"),'152-CT'!$J$8=TH!F347),"x","")</f>
        <v/>
      </c>
      <c r="AF347" s="66" t="str">
        <f>IF(AND(OR(LEFT(TH!N347,2)="15",LEFT(TH!O347,2)="15"),'THE KHO'!$E$7=TH!F347),"x","")</f>
        <v/>
      </c>
      <c r="AG347" s="66" t="str">
        <f>IF(AND(N347="1521",MONTH(C347)='BK NL'!$M$11),"x","")</f>
        <v/>
      </c>
    </row>
    <row r="348" spans="1:35" ht="15.75" hidden="1" customHeight="1">
      <c r="A348" s="397" t="str">
        <f>IF(B348&lt;&gt;"",IF(AND(B348&gt;=_TM1,B348&lt;=_TM2,OR(TH!N348="1111",TH!O348="1111")),TH!D348,""),"")</f>
        <v/>
      </c>
      <c r="B348" s="63">
        <f t="shared" si="45"/>
        <v>5</v>
      </c>
      <c r="C348" s="64">
        <f t="shared" si="43"/>
        <v>42515</v>
      </c>
      <c r="D348" s="64" t="s">
        <v>762</v>
      </c>
      <c r="E348" s="64">
        <v>42515</v>
      </c>
      <c r="F348" s="67" t="s">
        <v>980</v>
      </c>
      <c r="G348" s="375" t="s">
        <v>982</v>
      </c>
      <c r="H348" s="74" t="s">
        <v>88</v>
      </c>
      <c r="I348" s="514"/>
      <c r="J348" s="514"/>
      <c r="K348" s="506"/>
      <c r="L348" s="514"/>
      <c r="M348" s="65">
        <v>10648600</v>
      </c>
      <c r="N348" s="66" t="s">
        <v>136</v>
      </c>
      <c r="O348" s="66" t="s">
        <v>98</v>
      </c>
      <c r="P348" s="66" t="str">
        <f>IF(AND('331-CT'!$E$7=TH!H348,OR(N348="331",O348="331")),"x","")</f>
        <v/>
      </c>
      <c r="Q348" s="66" t="str">
        <f>IF(AND($B348&gt;='111'!$N$11,$B348&lt;='111'!$O$11,OR($N348=$Q$7,$O348=$Q$7)),"x","")</f>
        <v>x</v>
      </c>
      <c r="R348" s="66" t="str">
        <f>IF(AND($N348=$Q$7,$B348&lt;'111'!$N$11),"x","")</f>
        <v/>
      </c>
      <c r="S348" s="66" t="str">
        <f>IF(AND($O348=$Q$7,$B348&lt;'111'!$N$11),"x","")</f>
        <v/>
      </c>
      <c r="T348" s="66" t="str">
        <f>IF(AND($B348&gt;='112'!$M$9,$B348&lt;='112'!$N$9,OR($N348='112'!$I$6,$O348='112'!$I$6)),"x","")</f>
        <v/>
      </c>
      <c r="U348" s="66" t="str">
        <f>IF(AND($N348='112'!$I$6,$B348&lt;'112'!$M$9),"x","")</f>
        <v/>
      </c>
      <c r="V348" s="66" t="str">
        <f>IF(AND($O348='112'!$I$6,$B348&lt;'112'!$M$9),"x","")</f>
        <v/>
      </c>
      <c r="W348" s="66" t="str">
        <f>IF(AND('131-CT'!$H$9=TH!H348,OR(N348="131",O348="131")),"x","")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IF(OR(TH!N348=TH!$AB$7,O348=TH!$AB$7),"x","")</f>
        <v/>
      </c>
      <c r="AC348" s="66" t="str">
        <f t="shared" si="44"/>
        <v>2</v>
      </c>
      <c r="AD348" s="66" t="str">
        <f>IF(AND(MONTH(E348)='IN-NX'!$J$5,'IN-NX'!$D$7=D348,OR(LEFT(TH!N348,2)="15",LEFT(TH!O348,2)="15")),"x","")</f>
        <v/>
      </c>
      <c r="AE348" s="66" t="str">
        <f>IF(AND(OR(LEFT(TH!N348,2)="15",LEFT(TH!O348,2)="15"),'152-CT'!$J$8=TH!F348),"x","")</f>
        <v/>
      </c>
      <c r="AF348" s="66" t="str">
        <f>IF(AND(OR(LEFT(TH!N348,2)="15",LEFT(TH!O348,2)="15"),'THE KHO'!$E$7=TH!F348),"x","")</f>
        <v/>
      </c>
      <c r="AG348" s="66" t="str">
        <f>IF(AND(N348="1521",MONTH(C348)='BK NL'!$M$11),"x","")</f>
        <v/>
      </c>
      <c r="AI348" s="386">
        <v>1</v>
      </c>
    </row>
    <row r="349" spans="1:35" ht="15.75" hidden="1" customHeight="1">
      <c r="A349" s="397" t="str">
        <f>IF(B349&lt;&gt;"",IF(AND(B349&gt;=_TM1,B349&lt;=_TM2,OR(TH!N349="1111",TH!O349="1111")),TH!D349,""),"")</f>
        <v/>
      </c>
      <c r="B349" s="63">
        <f t="shared" si="45"/>
        <v>5</v>
      </c>
      <c r="C349" s="64">
        <f t="shared" si="43"/>
        <v>42515</v>
      </c>
      <c r="D349" s="64" t="s">
        <v>762</v>
      </c>
      <c r="E349" s="64">
        <v>42515</v>
      </c>
      <c r="F349" s="67" t="s">
        <v>981</v>
      </c>
      <c r="G349" s="375" t="s">
        <v>982</v>
      </c>
      <c r="H349" s="74" t="s">
        <v>88</v>
      </c>
      <c r="I349" s="514"/>
      <c r="J349" s="514"/>
      <c r="K349" s="506"/>
      <c r="L349" s="514"/>
      <c r="M349" s="100">
        <v>532430</v>
      </c>
      <c r="N349" s="68" t="s">
        <v>10</v>
      </c>
      <c r="O349" s="66" t="s">
        <v>98</v>
      </c>
      <c r="P349" s="66" t="str">
        <f>IF(AND('331-CT'!$E$7=TH!H349,OR(N349="331",O349="331")),"x","")</f>
        <v/>
      </c>
      <c r="Q349" s="66" t="str">
        <f>IF(AND($B349&gt;='111'!$N$11,$B349&lt;='111'!$O$11,OR($N349=$Q$7,$O349=$Q$7)),"x","")</f>
        <v>x</v>
      </c>
      <c r="R349" s="66" t="str">
        <f>IF(AND($N349=$Q$7,$B349&lt;'111'!$N$11),"x","")</f>
        <v/>
      </c>
      <c r="S349" s="66" t="str">
        <f>IF(AND($O349=$Q$7,$B349&lt;'111'!$N$11),"x","")</f>
        <v/>
      </c>
      <c r="T349" s="66" t="str">
        <f>IF(AND($B349&gt;='112'!$M$9,$B349&lt;='112'!$N$9,OR($N349='112'!$I$6,$O349='112'!$I$6)),"x","")</f>
        <v/>
      </c>
      <c r="U349" s="66" t="str">
        <f>IF(AND($N349='112'!$I$6,$B349&lt;'112'!$M$9),"x","")</f>
        <v/>
      </c>
      <c r="V349" s="66" t="str">
        <f>IF(AND($O349='112'!$I$6,$B349&lt;'112'!$M$9),"x","")</f>
        <v/>
      </c>
      <c r="W349" s="66" t="str">
        <f>IF(AND('131-CT'!$H$9=TH!H349,OR(N349="131",O349="131")),"x","")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IF(OR(TH!N349=TH!$AB$7,O349=TH!$AB$7),"x","")</f>
        <v/>
      </c>
      <c r="AC349" s="66" t="str">
        <f t="shared" si="44"/>
        <v>2</v>
      </c>
      <c r="AD349" s="66" t="str">
        <f>IF(AND(MONTH(E349)='IN-NX'!$J$5,'IN-NX'!$D$7=D349,OR(LEFT(TH!N349,2)="15",LEFT(TH!O349,2)="15")),"x","")</f>
        <v/>
      </c>
      <c r="AE349" s="66" t="str">
        <f>IF(AND(OR(LEFT(TH!N349,2)="15",LEFT(TH!O349,2)="15"),'152-CT'!$J$8=TH!F349),"x","")</f>
        <v/>
      </c>
      <c r="AF349" s="66" t="str">
        <f>IF(AND(OR(LEFT(TH!N349,2)="15",LEFT(TH!O349,2)="15"),'THE KHO'!$E$7=TH!F349),"x","")</f>
        <v/>
      </c>
      <c r="AG349" s="66" t="str">
        <f>IF(AND(N349="1521",MONTH(C349)='BK NL'!$M$11),"x","")</f>
        <v/>
      </c>
      <c r="AI349" s="386">
        <v>1</v>
      </c>
    </row>
    <row r="350" spans="1:35" ht="15.75" hidden="1" customHeight="1">
      <c r="A350" s="397" t="str">
        <f>IF(B350&lt;&gt;"",IF(AND(B350&gt;=_TM1,B350&lt;=_TM2,OR(TH!N350="1111",TH!O350="1111")),TH!D350,""),"")</f>
        <v/>
      </c>
      <c r="B350" s="63">
        <f t="shared" si="45"/>
        <v>5</v>
      </c>
      <c r="C350" s="64">
        <f t="shared" si="43"/>
        <v>42516</v>
      </c>
      <c r="D350" s="64" t="s">
        <v>765</v>
      </c>
      <c r="E350" s="64">
        <v>42516</v>
      </c>
      <c r="F350" s="67" t="s">
        <v>931</v>
      </c>
      <c r="G350" s="375" t="s">
        <v>933</v>
      </c>
      <c r="H350" s="74" t="s">
        <v>934</v>
      </c>
      <c r="I350" s="514"/>
      <c r="J350" s="514"/>
      <c r="K350" s="506"/>
      <c r="L350" s="514"/>
      <c r="M350" s="65">
        <v>9090909</v>
      </c>
      <c r="N350" s="66" t="s">
        <v>243</v>
      </c>
      <c r="O350" s="66" t="s">
        <v>98</v>
      </c>
      <c r="P350" s="66" t="str">
        <f>IF(AND('331-CT'!$E$7=TH!H350,OR(N350="331",O350="331")),"x","")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IF(AND('131-CT'!$H$9=TH!H350,OR(N350="131",O350="131")),"x","")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IF(OR(TH!N350=TH!$AB$7,O350=TH!$AB$7),"x","")</f>
        <v/>
      </c>
      <c r="AC350" s="66" t="str">
        <f t="shared" si="44"/>
        <v>2</v>
      </c>
      <c r="AD350" s="66" t="str">
        <f>IF(AND(MONTH(E350)='IN-NX'!$J$5,'IN-NX'!$D$7=D350,OR(LEFT(TH!N350,2)="15",LEFT(TH!O350,2)="15")),"x","")</f>
        <v/>
      </c>
      <c r="AE350" s="66" t="str">
        <f>IF(AND(OR(LEFT(TH!N350,2)="15",LEFT(TH!O350,2)="15"),'152-CT'!$J$8=TH!F350),"x","")</f>
        <v/>
      </c>
      <c r="AF350" s="66" t="str">
        <f>IF(AND(OR(LEFT(TH!N350,2)="15",LEFT(TH!O350,2)="15"),'THE KHO'!$E$7=TH!F350),"x","")</f>
        <v/>
      </c>
      <c r="AG350" s="66" t="str">
        <f>IF(AND(N350="1521",MONTH(C350)='BK NL'!$M$11),"x","")</f>
        <v/>
      </c>
      <c r="AI350" s="386">
        <v>2</v>
      </c>
    </row>
    <row r="351" spans="1:35" ht="15.75" hidden="1" customHeight="1">
      <c r="A351" s="397" t="str">
        <f>IF(B351&lt;&gt;"",IF(AND(B351&gt;=_TM1,B351&lt;=_TM2,OR(TH!N351="1111",TH!O351="1111")),TH!D351,""),"")</f>
        <v/>
      </c>
      <c r="B351" s="63">
        <f t="shared" si="45"/>
        <v>5</v>
      </c>
      <c r="C351" s="64">
        <f t="shared" si="43"/>
        <v>42516</v>
      </c>
      <c r="D351" s="64" t="s">
        <v>765</v>
      </c>
      <c r="E351" s="64">
        <v>42516</v>
      </c>
      <c r="F351" s="67" t="s">
        <v>932</v>
      </c>
      <c r="G351" s="375" t="s">
        <v>933</v>
      </c>
      <c r="H351" s="74" t="s">
        <v>934</v>
      </c>
      <c r="I351" s="514"/>
      <c r="J351" s="514"/>
      <c r="K351" s="506"/>
      <c r="L351" s="514"/>
      <c r="M351" s="85">
        <v>909091</v>
      </c>
      <c r="N351" s="66" t="s">
        <v>993</v>
      </c>
      <c r="O351" s="66" t="s">
        <v>98</v>
      </c>
      <c r="P351" s="66" t="str">
        <f>IF(AND('331-CT'!$E$7=TH!H351,OR(N351="331",O351="331")),"x","")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IF(AND('131-CT'!$H$9=TH!H351,OR(N351="131",O351="131")),"x","")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IF(OR(TH!N351=TH!$AB$7,O351=TH!$AB$7),"x","")</f>
        <v/>
      </c>
      <c r="AC351" s="66" t="str">
        <f t="shared" si="44"/>
        <v>2</v>
      </c>
      <c r="AD351" s="66" t="str">
        <f>IF(AND(MONTH(E351)='IN-NX'!$J$5,'IN-NX'!$D$7=D351,OR(LEFT(TH!N351,2)="15",LEFT(TH!O351,2)="15")),"x","")</f>
        <v/>
      </c>
      <c r="AE351" s="66" t="str">
        <f>IF(AND(OR(LEFT(TH!N351,2)="15",LEFT(TH!O351,2)="15"),'152-CT'!$J$8=TH!F351),"x","")</f>
        <v/>
      </c>
      <c r="AF351" s="66" t="str">
        <f>IF(AND(OR(LEFT(TH!N351,2)="15",LEFT(TH!O351,2)="15"),'THE KHO'!$E$7=TH!F351),"x","")</f>
        <v/>
      </c>
      <c r="AG351" s="66" t="str">
        <f>IF(AND(N351="1521",MONTH(C351)='BK NL'!$M$11),"x","")</f>
        <v/>
      </c>
      <c r="AI351" s="386">
        <v>2</v>
      </c>
    </row>
    <row r="352" spans="1:35" ht="15.75" hidden="1" customHeight="1">
      <c r="A352" s="397" t="str">
        <f>IF(B352&lt;&gt;"",IF(AND(B352&gt;=_TM1,B352&lt;=_TM2,OR(TH!N352="1111",TH!O352="1111")),TH!D352,""),"")</f>
        <v/>
      </c>
      <c r="B352" s="63">
        <f t="shared" si="45"/>
        <v>5</v>
      </c>
      <c r="C352" s="64">
        <v>42516</v>
      </c>
      <c r="D352" s="64" t="s">
        <v>45</v>
      </c>
      <c r="E352" s="64">
        <v>42516</v>
      </c>
      <c r="F352" s="67" t="s">
        <v>949</v>
      </c>
      <c r="G352" s="375" t="s">
        <v>954</v>
      </c>
      <c r="H352" s="74" t="s">
        <v>222</v>
      </c>
      <c r="I352" s="514"/>
      <c r="J352" s="514"/>
      <c r="K352" s="506"/>
      <c r="L352" s="514"/>
      <c r="M352" s="65">
        <v>28089300</v>
      </c>
      <c r="N352" s="66" t="s">
        <v>136</v>
      </c>
      <c r="O352" s="66" t="s">
        <v>9</v>
      </c>
      <c r="P352" s="66" t="str">
        <f>IF(AND('331-CT'!$E$7=TH!H352,OR(N352="331",O352="331")),"x","")</f>
        <v/>
      </c>
      <c r="Q352" s="66" t="str">
        <f>IF(AND($B352&gt;='111'!$N$11,$B352&lt;='111'!$O$11,OR($N352=$Q$7,$O352=$Q$7)),"x","")</f>
        <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IF(AND('131-CT'!$H$9=TH!H352,OR(N352="131",O352="131")),"x","")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IF(OR(TH!N352=TH!$AB$7,O352=TH!$AB$7),"x","")</f>
        <v/>
      </c>
      <c r="AC352" s="66" t="str">
        <f t="shared" si="44"/>
        <v>2</v>
      </c>
      <c r="AD352" s="66" t="str">
        <f>IF(AND(MONTH(E352)='IN-NX'!$J$5,'IN-NX'!$D$7=D352,OR(LEFT(TH!N352,2)="15",LEFT(TH!O352,2)="15")),"x","")</f>
        <v/>
      </c>
      <c r="AE352" s="66" t="str">
        <f>IF(AND(OR(LEFT(TH!N352,2)="15",LEFT(TH!O352,2)="15"),'152-CT'!$J$8=TH!F352),"x","")</f>
        <v/>
      </c>
      <c r="AF352" s="66" t="str">
        <f>IF(AND(OR(LEFT(TH!N352,2)="15",LEFT(TH!O352,2)="15"),'THE KHO'!$E$7=TH!F352),"x","")</f>
        <v/>
      </c>
      <c r="AG352" s="66" t="str">
        <f>IF(AND(N352="1521",MONTH(C352)='BK NL'!$M$11),"x","")</f>
        <v/>
      </c>
      <c r="AI352" s="386">
        <v>1</v>
      </c>
    </row>
    <row r="353" spans="1:35" ht="15.75" hidden="1" customHeight="1">
      <c r="A353" s="397" t="str">
        <f>IF(B353&lt;&gt;"",IF(AND(B353&gt;=_TM1,B353&lt;=_TM2,OR(TH!N353="1111",TH!O353="1111")),TH!D353,""),"")</f>
        <v/>
      </c>
      <c r="B353" s="63">
        <f t="shared" si="45"/>
        <v>5</v>
      </c>
      <c r="C353" s="64">
        <v>42516</v>
      </c>
      <c r="D353" s="64" t="s">
        <v>45</v>
      </c>
      <c r="E353" s="64">
        <v>42516</v>
      </c>
      <c r="F353" s="67" t="s">
        <v>950</v>
      </c>
      <c r="G353" s="375" t="s">
        <v>954</v>
      </c>
      <c r="H353" s="74" t="s">
        <v>222</v>
      </c>
      <c r="I353" s="514"/>
      <c r="J353" s="514"/>
      <c r="K353" s="506"/>
      <c r="L353" s="514"/>
      <c r="M353" s="100">
        <v>2808930</v>
      </c>
      <c r="N353" s="66" t="s">
        <v>10</v>
      </c>
      <c r="O353" s="66" t="s">
        <v>9</v>
      </c>
      <c r="P353" s="66" t="str">
        <f>IF(AND('331-CT'!$E$7=TH!H353,OR(N353="331",O353="331")),"x","")</f>
        <v/>
      </c>
      <c r="Q353" s="66" t="str">
        <f>IF(AND($B353&gt;='111'!$N$11,$B353&lt;='111'!$O$11,OR($N353=$Q$7,$O353=$Q$7)),"x","")</f>
        <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IF(AND('131-CT'!$H$9=TH!H353,OR(N353="131",O353="131")),"x","")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IF(OR(TH!N353=TH!$AB$7,O353=TH!$AB$7),"x","")</f>
        <v/>
      </c>
      <c r="AC353" s="66" t="str">
        <f t="shared" si="44"/>
        <v>2</v>
      </c>
      <c r="AD353" s="66" t="str">
        <f>IF(AND(MONTH(E353)='IN-NX'!$J$5,'IN-NX'!$D$7=D353,OR(LEFT(TH!N353,2)="15",LEFT(TH!O353,2)="15")),"x","")</f>
        <v/>
      </c>
      <c r="AE353" s="66" t="str">
        <f>IF(AND(OR(LEFT(TH!N353,2)="15",LEFT(TH!O353,2)="15"),'152-CT'!$J$8=TH!F353),"x","")</f>
        <v/>
      </c>
      <c r="AF353" s="66" t="str">
        <f>IF(AND(OR(LEFT(TH!N353,2)="15",LEFT(TH!O353,2)="15"),'THE KHO'!$E$7=TH!F353),"x","")</f>
        <v/>
      </c>
      <c r="AG353" s="66" t="str">
        <f>IF(AND(N353="1521",MONTH(C353)='BK NL'!$M$11),"x","")</f>
        <v/>
      </c>
      <c r="AI353" s="407">
        <v>1</v>
      </c>
    </row>
    <row r="354" spans="1:35" ht="15.75" hidden="1" customHeight="1">
      <c r="A354" s="397" t="str">
        <f>IF(B354&lt;&gt;"",IF(AND(B354&gt;=_TM1,B354&lt;=_TM2,OR(TH!N354="1111",TH!O354="1111")),TH!D354,""),"")</f>
        <v/>
      </c>
      <c r="B354" s="63">
        <f t="shared" si="45"/>
        <v>5</v>
      </c>
      <c r="C354" s="64">
        <f t="shared" ref="C354:C368" si="46">E354</f>
        <v>42517</v>
      </c>
      <c r="D354" s="64" t="s">
        <v>772</v>
      </c>
      <c r="E354" s="64">
        <v>42517</v>
      </c>
      <c r="F354" s="67" t="s">
        <v>186</v>
      </c>
      <c r="G354" s="375" t="s">
        <v>926</v>
      </c>
      <c r="H354" s="74" t="s">
        <v>327</v>
      </c>
      <c r="I354" s="514"/>
      <c r="J354" s="514"/>
      <c r="K354" s="506"/>
      <c r="L354" s="514"/>
      <c r="M354" s="65">
        <v>1186000</v>
      </c>
      <c r="N354" s="66" t="s">
        <v>243</v>
      </c>
      <c r="O354" s="66" t="s">
        <v>98</v>
      </c>
      <c r="P354" s="66" t="str">
        <f>IF(AND('331-CT'!$E$7=TH!H354,OR(N354="331",O354="331")),"x","")</f>
        <v/>
      </c>
      <c r="Q354" s="66" t="str">
        <f>IF(AND($B354&gt;='111'!$N$11,$B354&lt;='111'!$O$11,OR($N354=$Q$7,$O354=$Q$7)),"x","")</f>
        <v>x</v>
      </c>
      <c r="R354" s="66" t="str">
        <f>IF(AND($N354=$Q$7,$B354&lt;'111'!$N$11),"x","")</f>
        <v/>
      </c>
      <c r="S354" s="66" t="str">
        <f>IF(AND($O354=$Q$7,$B354&lt;'111'!$N$11),"x","")</f>
        <v/>
      </c>
      <c r="T354" s="66" t="str">
        <f>IF(AND($B354&gt;='112'!$M$9,$B354&lt;='112'!$N$9,OR($N354='112'!$I$6,$O354='112'!$I$6)),"x","")</f>
        <v/>
      </c>
      <c r="U354" s="66" t="str">
        <f>IF(AND($N354='112'!$I$6,$B354&lt;'112'!$M$9),"x","")</f>
        <v/>
      </c>
      <c r="V354" s="66" t="str">
        <f>IF(AND($O354='112'!$I$6,$B354&lt;'112'!$M$9),"x","")</f>
        <v/>
      </c>
      <c r="W354" s="66" t="str">
        <f>IF(AND('131-CT'!$H$9=TH!H354,OR(N354="131",O354="131")),"x","")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IF(OR(TH!N354=TH!$AB$7,O354=TH!$AB$7),"x","")</f>
        <v/>
      </c>
      <c r="AC354" s="66" t="str">
        <f t="shared" si="44"/>
        <v>2</v>
      </c>
      <c r="AD354" s="66" t="str">
        <f>IF(AND(MONTH(E354)='IN-NX'!$J$5,'IN-NX'!$D$7=D354,OR(LEFT(TH!N354,2)="15",LEFT(TH!O354,2)="15")),"x","")</f>
        <v/>
      </c>
      <c r="AE354" s="66" t="str">
        <f>IF(AND(OR(LEFT(TH!N354,2)="15",LEFT(TH!O354,2)="15"),'152-CT'!$J$8=TH!F354),"x","")</f>
        <v/>
      </c>
      <c r="AF354" s="66" t="str">
        <f>IF(AND(OR(LEFT(TH!N354,2)="15",LEFT(TH!O354,2)="15"),'THE KHO'!$E$7=TH!F354),"x","")</f>
        <v/>
      </c>
      <c r="AG354" s="66" t="str">
        <f>IF(AND(N354="1521",MONTH(C354)='BK NL'!$M$11),"x","")</f>
        <v/>
      </c>
    </row>
    <row r="355" spans="1:35" ht="15.75" hidden="1" customHeight="1">
      <c r="A355" s="397" t="str">
        <f>IF(B355&lt;&gt;"",IF(AND(B355&gt;=_TM1,B355&lt;=_TM2,OR(TH!N355="1111",TH!O355="1111")),TH!D355,""),"")</f>
        <v/>
      </c>
      <c r="B355" s="63">
        <f t="shared" si="45"/>
        <v>5</v>
      </c>
      <c r="C355" s="64">
        <f t="shared" si="46"/>
        <v>42517</v>
      </c>
      <c r="D355" s="64" t="s">
        <v>774</v>
      </c>
      <c r="E355" s="64">
        <v>42517</v>
      </c>
      <c r="F355" s="67" t="s">
        <v>419</v>
      </c>
      <c r="G355" s="361" t="s">
        <v>808</v>
      </c>
      <c r="H355" s="74" t="s">
        <v>966</v>
      </c>
      <c r="I355" s="514"/>
      <c r="J355" s="514"/>
      <c r="K355" s="506"/>
      <c r="L355" s="514"/>
      <c r="M355" s="65">
        <v>24000000</v>
      </c>
      <c r="N355" s="66" t="s">
        <v>31</v>
      </c>
      <c r="O355" s="66" t="s">
        <v>98</v>
      </c>
      <c r="P355" s="66" t="str">
        <f>IF(AND('331-CT'!$E$7=TH!H355,OR(N355="331",O355="331")),"x","")</f>
        <v/>
      </c>
      <c r="Q355" s="66" t="str">
        <f>IF(AND($B355&gt;='111'!$N$11,$B355&lt;='111'!$O$11,OR($N355=$Q$7,$O355=$Q$7)),"x","")</f>
        <v>x</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IF(AND('131-CT'!$H$9=TH!H355,OR(N355="131",O355="131")),"x","")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IF(OR(TH!N355=TH!$AB$7,O355=TH!$AB$7),"x","")</f>
        <v/>
      </c>
      <c r="AC355" s="66" t="str">
        <f t="shared" si="44"/>
        <v>2</v>
      </c>
      <c r="AD355" s="66" t="str">
        <f>IF(AND(MONTH(E355)='IN-NX'!$J$5,'IN-NX'!$D$7=D355,OR(LEFT(TH!N355,2)="15",LEFT(TH!O355,2)="15")),"x","")</f>
        <v/>
      </c>
      <c r="AE355" s="66" t="str">
        <f>IF(AND(OR(LEFT(TH!N355,2)="15",LEFT(TH!O355,2)="15"),'152-CT'!$J$8=TH!F355),"x","")</f>
        <v/>
      </c>
      <c r="AF355" s="66" t="str">
        <f>IF(AND(OR(LEFT(TH!N355,2)="15",LEFT(TH!O355,2)="15"),'THE KHO'!$E$7=TH!F355),"x","")</f>
        <v/>
      </c>
      <c r="AG355" s="66" t="str">
        <f>IF(AND(N355="1521",MONTH(C355)='BK NL'!$M$11),"x","")</f>
        <v/>
      </c>
    </row>
    <row r="356" spans="1:35" ht="15.75" hidden="1" customHeight="1">
      <c r="A356" s="397" t="str">
        <f>IF(B356&lt;&gt;"",IF(AND(B356&gt;=_TM1,B356&lt;=_TM2,OR(TH!N356="1111",TH!O356="1111")),TH!D356,""),"")</f>
        <v/>
      </c>
      <c r="B356" s="63">
        <f t="shared" si="45"/>
        <v>5</v>
      </c>
      <c r="C356" s="64">
        <f t="shared" si="46"/>
        <v>42517</v>
      </c>
      <c r="D356" s="64" t="s">
        <v>8</v>
      </c>
      <c r="E356" s="64">
        <v>42517</v>
      </c>
      <c r="F356" s="67" t="s">
        <v>414</v>
      </c>
      <c r="G356" s="361" t="s">
        <v>808</v>
      </c>
      <c r="H356" s="74" t="s">
        <v>177</v>
      </c>
      <c r="I356" s="517"/>
      <c r="J356" s="517"/>
      <c r="K356" s="509"/>
      <c r="L356" s="517"/>
      <c r="M356" s="65">
        <v>11912604</v>
      </c>
      <c r="N356" s="66" t="s">
        <v>134</v>
      </c>
      <c r="O356" s="66" t="s">
        <v>31</v>
      </c>
      <c r="P356" s="66" t="str">
        <f>IF(AND('331-CT'!$E$7=TH!H356,OR(N356="331",O356="331")),"x","")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IF(AND('131-CT'!$H$9=TH!H356,OR(N356="131",O356="131")),"x","")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IF(OR(TH!N356=TH!$AB$7,O356=TH!$AB$7),"x","")</f>
        <v/>
      </c>
      <c r="AC356" s="66" t="str">
        <f t="shared" si="44"/>
        <v>2</v>
      </c>
      <c r="AD356" s="66" t="str">
        <f>IF(AND(MONTH(E356)='IN-NX'!$J$5,'IN-NX'!$D$7=D356,OR(LEFT(TH!N356,2)="15",LEFT(TH!O356,2)="15")),"x","")</f>
        <v/>
      </c>
      <c r="AE356" s="66" t="str">
        <f>IF(AND(OR(LEFT(TH!N356,2)="15",LEFT(TH!O356,2)="15"),'152-CT'!$J$8=TH!F356),"x","")</f>
        <v/>
      </c>
      <c r="AF356" s="66" t="str">
        <f>IF(AND(OR(LEFT(TH!N356,2)="15",LEFT(TH!O356,2)="15"),'THE KHO'!$E$7=TH!F356),"x","")</f>
        <v/>
      </c>
      <c r="AG356" s="66" t="str">
        <f>IF(AND(N356="1521",MONTH(C356)='BK NL'!$M$11),"x","")</f>
        <v/>
      </c>
    </row>
    <row r="357" spans="1:35" ht="15.75" hidden="1" customHeight="1">
      <c r="A357" s="397" t="str">
        <f>IF(B357&lt;&gt;"",IF(AND(B357&gt;=_TM1,B357&lt;=_TM2,OR(TH!N357="1111",TH!O357="1111")),TH!D357,""),"")</f>
        <v/>
      </c>
      <c r="B357" s="63">
        <f t="shared" si="45"/>
        <v>5</v>
      </c>
      <c r="C357" s="64">
        <f t="shared" si="46"/>
        <v>42517</v>
      </c>
      <c r="D357" s="64" t="s">
        <v>8</v>
      </c>
      <c r="E357" s="64">
        <v>42517</v>
      </c>
      <c r="F357" s="67" t="s">
        <v>414</v>
      </c>
      <c r="G357" s="361" t="s">
        <v>808</v>
      </c>
      <c r="H357" s="74" t="s">
        <v>176</v>
      </c>
      <c r="I357" s="517"/>
      <c r="J357" s="517"/>
      <c r="K357" s="509"/>
      <c r="L357" s="517"/>
      <c r="M357" s="65">
        <v>11912604</v>
      </c>
      <c r="N357" s="66" t="s">
        <v>134</v>
      </c>
      <c r="O357" s="66" t="s">
        <v>31</v>
      </c>
      <c r="P357" s="66" t="str">
        <f>IF(AND('331-CT'!$E$7=TH!H357,OR(N357="331",O357="331")),"x","")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IF(AND('131-CT'!$H$9=TH!H357,OR(N357="131",O357="131")),"x","")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IF(OR(TH!N357=TH!$AB$7,O357=TH!$AB$7),"x","")</f>
        <v/>
      </c>
      <c r="AC357" s="66" t="str">
        <f t="shared" si="44"/>
        <v>2</v>
      </c>
      <c r="AD357" s="66" t="str">
        <f>IF(AND(MONTH(E357)='IN-NX'!$J$5,'IN-NX'!$D$7=D357,OR(LEFT(TH!N357,2)="15",LEFT(TH!O357,2)="15")),"x","")</f>
        <v/>
      </c>
      <c r="AE357" s="66" t="str">
        <f>IF(AND(OR(LEFT(TH!N357,2)="15",LEFT(TH!O357,2)="15"),'152-CT'!$J$8=TH!F357),"x","")</f>
        <v/>
      </c>
      <c r="AF357" s="66" t="str">
        <f>IF(AND(OR(LEFT(TH!N357,2)="15",LEFT(TH!O357,2)="15"),'THE KHO'!$E$7=TH!F357),"x","")</f>
        <v/>
      </c>
      <c r="AG357" s="66" t="str">
        <f>IF(AND(N357="1521",MONTH(C357)='BK NL'!$M$11),"x","")</f>
        <v/>
      </c>
    </row>
    <row r="358" spans="1:35" ht="15.75" hidden="1" customHeight="1">
      <c r="A358" s="397" t="str">
        <f>IF(B358&lt;&gt;"",IF(AND(B358&gt;=_TM1,B358&lt;=_TM2,OR(TH!N358="1111",TH!O358="1111")),TH!D358,""),"")</f>
        <v/>
      </c>
      <c r="B358" s="63">
        <f t="shared" si="45"/>
        <v>5</v>
      </c>
      <c r="C358" s="64">
        <f t="shared" si="46"/>
        <v>42520</v>
      </c>
      <c r="D358" s="64" t="s">
        <v>806</v>
      </c>
      <c r="E358" s="64">
        <v>42520</v>
      </c>
      <c r="F358" s="67" t="s">
        <v>810</v>
      </c>
      <c r="G358" s="375" t="s">
        <v>925</v>
      </c>
      <c r="H358" s="7" t="s">
        <v>50</v>
      </c>
      <c r="I358" s="514"/>
      <c r="J358" s="514"/>
      <c r="K358" s="506"/>
      <c r="L358" s="514"/>
      <c r="M358" s="65">
        <v>6379636</v>
      </c>
      <c r="N358" s="66" t="s">
        <v>136</v>
      </c>
      <c r="O358" s="66" t="s">
        <v>98</v>
      </c>
      <c r="P358" s="66" t="str">
        <f>IF(AND('331-CT'!$E$7=TH!H358,OR(N358="331",O358="331")),"x","")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IF(AND('131-CT'!$H$9=TH!H358,OR(N358="131",O358="131")),"x","")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IF(OR(TH!N358=TH!$AB$7,O358=TH!$AB$7),"x","")</f>
        <v/>
      </c>
      <c r="AC358" s="66" t="str">
        <f t="shared" si="44"/>
        <v>2</v>
      </c>
      <c r="AD358" s="66" t="str">
        <f>IF(AND(MONTH(E358)='IN-NX'!$J$5,'IN-NX'!$D$7=D358,OR(LEFT(TH!N358,2)="15",LEFT(TH!O358,2)="15")),"x","")</f>
        <v/>
      </c>
      <c r="AE358" s="66" t="str">
        <f>IF(AND(OR(LEFT(TH!N358,2)="15",LEFT(TH!O358,2)="15"),'152-CT'!$J$8=TH!F358),"x","")</f>
        <v/>
      </c>
      <c r="AF358" s="66" t="str">
        <f>IF(AND(OR(LEFT(TH!N358,2)="15",LEFT(TH!O358,2)="15"),'THE KHO'!$E$7=TH!F358),"x","")</f>
        <v/>
      </c>
      <c r="AG358" s="66" t="str">
        <f>IF(AND(N358="1521",MONTH(C358)='BK NL'!$M$11),"x","")</f>
        <v/>
      </c>
      <c r="AI358" s="386">
        <v>1</v>
      </c>
    </row>
    <row r="359" spans="1:35" ht="15.75" hidden="1" customHeight="1">
      <c r="A359" s="397" t="str">
        <f>IF(B359&lt;&gt;"",IF(AND(B359&gt;=_TM1,B359&lt;=_TM2,OR(TH!N359="1111",TH!O359="1111")),TH!D359,""),"")</f>
        <v/>
      </c>
      <c r="B359" s="63">
        <f t="shared" si="45"/>
        <v>5</v>
      </c>
      <c r="C359" s="64">
        <f t="shared" si="46"/>
        <v>42520</v>
      </c>
      <c r="D359" s="64" t="s">
        <v>806</v>
      </c>
      <c r="E359" s="64">
        <v>42520</v>
      </c>
      <c r="F359" s="67" t="s">
        <v>812</v>
      </c>
      <c r="G359" s="375" t="s">
        <v>925</v>
      </c>
      <c r="H359" s="7" t="s">
        <v>50</v>
      </c>
      <c r="I359" s="514"/>
      <c r="J359" s="514"/>
      <c r="K359" s="506"/>
      <c r="L359" s="514"/>
      <c r="M359" s="100">
        <v>637964</v>
      </c>
      <c r="N359" s="66" t="s">
        <v>10</v>
      </c>
      <c r="O359" s="66" t="s">
        <v>98</v>
      </c>
      <c r="P359" s="66" t="str">
        <f>IF(AND('331-CT'!$E$7=TH!H359,OR(N359="331",O359="331")),"x","")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IF(AND('131-CT'!$H$9=TH!H359,OR(N359="131",O359="131")),"x","")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IF(OR(TH!N359=TH!$AB$7,O359=TH!$AB$7),"x","")</f>
        <v/>
      </c>
      <c r="AC359" s="66" t="str">
        <f t="shared" si="44"/>
        <v>2</v>
      </c>
      <c r="AD359" s="66" t="str">
        <f>IF(AND(MONTH(E359)='IN-NX'!$J$5,'IN-NX'!$D$7=D359,OR(LEFT(TH!N359,2)="15",LEFT(TH!O359,2)="15")),"x","")</f>
        <v/>
      </c>
      <c r="AE359" s="66" t="str">
        <f>IF(AND(OR(LEFT(TH!N359,2)="15",LEFT(TH!O359,2)="15"),'152-CT'!$J$8=TH!F359),"x","")</f>
        <v/>
      </c>
      <c r="AF359" s="66" t="str">
        <f>IF(AND(OR(LEFT(TH!N359,2)="15",LEFT(TH!O359,2)="15"),'THE KHO'!$E$7=TH!F359),"x","")</f>
        <v/>
      </c>
      <c r="AG359" s="66" t="str">
        <f>IF(AND(N359="1521",MONTH(C359)='BK NL'!$M$11),"x","")</f>
        <v/>
      </c>
      <c r="AI359" s="386">
        <v>1</v>
      </c>
    </row>
    <row r="360" spans="1:35" ht="15.75" hidden="1" customHeight="1">
      <c r="A360" s="397" t="str">
        <f>IF(B360&lt;&gt;"",IF(AND(B360&gt;=_TM1,B360&lt;=_TM2,OR(TH!N360="1111",TH!O360="1111")),TH!D360,""),"")</f>
        <v/>
      </c>
      <c r="B360" s="63">
        <f t="shared" si="45"/>
        <v>5</v>
      </c>
      <c r="C360" s="64">
        <f t="shared" si="46"/>
        <v>42521</v>
      </c>
      <c r="D360" s="64" t="s">
        <v>809</v>
      </c>
      <c r="E360" s="64">
        <v>42521</v>
      </c>
      <c r="F360" s="67" t="s">
        <v>921</v>
      </c>
      <c r="G360" s="375" t="s">
        <v>922</v>
      </c>
      <c r="H360" s="74" t="s">
        <v>924</v>
      </c>
      <c r="I360" s="514"/>
      <c r="J360" s="514"/>
      <c r="K360" s="506"/>
      <c r="L360" s="514"/>
      <c r="M360" s="65">
        <v>3000000</v>
      </c>
      <c r="N360" s="66" t="s">
        <v>136</v>
      </c>
      <c r="O360" s="66" t="s">
        <v>98</v>
      </c>
      <c r="P360" s="66" t="str">
        <f>IF(AND('331-CT'!$E$7=TH!H360,OR(N360="331",O360="331")),"x","")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IF(AND('131-CT'!$H$9=TH!H360,OR(N360="131",O360="131")),"x","")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IF(OR(TH!N360=TH!$AB$7,O360=TH!$AB$7),"x","")</f>
        <v/>
      </c>
      <c r="AC360" s="66" t="str">
        <f t="shared" si="44"/>
        <v>2</v>
      </c>
      <c r="AD360" s="66" t="str">
        <f>IF(AND(MONTH(E360)='IN-NX'!$J$5,'IN-NX'!$D$7=D360,OR(LEFT(TH!N360,2)="15",LEFT(TH!O360,2)="15")),"x","")</f>
        <v/>
      </c>
      <c r="AE360" s="66" t="str">
        <f>IF(AND(OR(LEFT(TH!N360,2)="15",LEFT(TH!O360,2)="15"),'152-CT'!$J$8=TH!F360),"x","")</f>
        <v/>
      </c>
      <c r="AF360" s="66" t="str">
        <f>IF(AND(OR(LEFT(TH!N360,2)="15",LEFT(TH!O360,2)="15"),'THE KHO'!$E$7=TH!F360),"x","")</f>
        <v/>
      </c>
      <c r="AG360" s="66" t="str">
        <f>IF(AND(N360="1521",MONTH(C360)='BK NL'!$M$11),"x","")</f>
        <v/>
      </c>
      <c r="AI360" s="386">
        <v>1</v>
      </c>
    </row>
    <row r="361" spans="1:35" ht="15.75" hidden="1" customHeight="1">
      <c r="A361" s="397" t="str">
        <f>IF(B361&lt;&gt;"",IF(AND(B361&gt;=_TM1,B361&lt;=_TM2,OR(TH!N361="1111",TH!O361="1111")),TH!D361,""),"")</f>
        <v/>
      </c>
      <c r="B361" s="63">
        <f t="shared" si="45"/>
        <v>5</v>
      </c>
      <c r="C361" s="64">
        <f t="shared" si="46"/>
        <v>42521</v>
      </c>
      <c r="D361" s="64" t="s">
        <v>809</v>
      </c>
      <c r="E361" s="64">
        <v>42521</v>
      </c>
      <c r="F361" s="67" t="s">
        <v>923</v>
      </c>
      <c r="G361" s="375" t="s">
        <v>922</v>
      </c>
      <c r="H361" s="74" t="s">
        <v>924</v>
      </c>
      <c r="I361" s="514"/>
      <c r="J361" s="514"/>
      <c r="K361" s="506"/>
      <c r="L361" s="514"/>
      <c r="M361" s="100">
        <v>300000</v>
      </c>
      <c r="N361" s="66" t="s">
        <v>10</v>
      </c>
      <c r="O361" s="66" t="s">
        <v>98</v>
      </c>
      <c r="P361" s="66" t="str">
        <f>IF(AND('331-CT'!$E$7=TH!H361,OR(N361="331",O361="331")),"x","")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IF(AND('131-CT'!$H$9=TH!H361,OR(N361="131",O361="131")),"x","")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IF(OR(TH!N361=TH!$AB$7,O361=TH!$AB$7),"x","")</f>
        <v/>
      </c>
      <c r="AC361" s="66" t="str">
        <f t="shared" si="44"/>
        <v>2</v>
      </c>
      <c r="AD361" s="66" t="str">
        <f>IF(AND(MONTH(E361)='IN-NX'!$J$5,'IN-NX'!$D$7=D361,OR(LEFT(TH!N361,2)="15",LEFT(TH!O361,2)="15")),"x","")</f>
        <v/>
      </c>
      <c r="AE361" s="66" t="str">
        <f>IF(AND(OR(LEFT(TH!N361,2)="15",LEFT(TH!O361,2)="15"),'152-CT'!$J$8=TH!F361),"x","")</f>
        <v/>
      </c>
      <c r="AF361" s="66" t="str">
        <f>IF(AND(OR(LEFT(TH!N361,2)="15",LEFT(TH!O361,2)="15"),'THE KHO'!$E$7=TH!F361),"x","")</f>
        <v/>
      </c>
      <c r="AG361" s="66" t="str">
        <f>IF(AND(N361="1521",MONTH(C361)='BK NL'!$M$11),"x","")</f>
        <v/>
      </c>
      <c r="AI361" s="386">
        <v>1</v>
      </c>
    </row>
    <row r="362" spans="1:35" ht="15.75" hidden="1" customHeight="1">
      <c r="A362" s="397" t="str">
        <f>IF(B362&lt;&gt;"",IF(AND(B362&gt;=_TM1,B362&lt;=_TM2,OR(TH!N362="1111",TH!O362="1111")),TH!D362,""),"")</f>
        <v/>
      </c>
      <c r="B362" s="63">
        <f t="shared" si="45"/>
        <v>5</v>
      </c>
      <c r="C362" s="64">
        <f t="shared" si="46"/>
        <v>42521</v>
      </c>
      <c r="D362" s="64" t="s">
        <v>813</v>
      </c>
      <c r="E362" s="64">
        <v>42521</v>
      </c>
      <c r="F362" s="67" t="s">
        <v>419</v>
      </c>
      <c r="G362" s="361" t="s">
        <v>808</v>
      </c>
      <c r="H362" s="74" t="s">
        <v>161</v>
      </c>
      <c r="I362" s="514"/>
      <c r="J362" s="514"/>
      <c r="K362" s="506"/>
      <c r="L362" s="514"/>
      <c r="M362" s="65">
        <v>62000000</v>
      </c>
      <c r="N362" s="66" t="s">
        <v>31</v>
      </c>
      <c r="O362" s="66" t="s">
        <v>98</v>
      </c>
      <c r="P362" s="66" t="str">
        <f>IF(AND('331-CT'!$E$7=TH!H362,OR(N362="331",O362="331")),"x","")</f>
        <v/>
      </c>
      <c r="Q362" s="66" t="str">
        <f>IF(AND($B362&gt;='111'!$N$11,$B362&lt;='111'!$O$11,OR($N362=$Q$7,$O362=$Q$7)),"x","")</f>
        <v>x</v>
      </c>
      <c r="R362" s="66" t="str">
        <f>IF(AND($N362=$Q$7,$B362&lt;'111'!$N$11),"x","")</f>
        <v/>
      </c>
      <c r="S362" s="66" t="str">
        <f>IF(AND($O362=$Q$7,$B362&lt;'111'!$N$11),"x","")</f>
        <v/>
      </c>
      <c r="T362" s="66" t="str">
        <f>IF(AND($B362&gt;='112'!$M$9,$B362&lt;='112'!$N$9,OR($N362='112'!$I$6,$O362='112'!$I$6)),"x","")</f>
        <v>x</v>
      </c>
      <c r="U362" s="66" t="str">
        <f>IF(AND($N362='112'!$I$6,$B362&lt;'112'!$M$9),"x","")</f>
        <v/>
      </c>
      <c r="V362" s="66" t="str">
        <f>IF(AND($O362='112'!$I$6,$B362&lt;'112'!$M$9),"x","")</f>
        <v/>
      </c>
      <c r="W362" s="66" t="str">
        <f>IF(AND('131-CT'!$H$9=TH!H362,OR(N362="131",O362="131")),"x","")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IF(OR(TH!N362=TH!$AB$7,O362=TH!$AB$7),"x","")</f>
        <v/>
      </c>
      <c r="AC362" s="66" t="str">
        <f t="shared" si="44"/>
        <v>2</v>
      </c>
      <c r="AD362" s="66" t="str">
        <f>IF(AND(MONTH(E362)='IN-NX'!$J$5,'IN-NX'!$D$7=D362,OR(LEFT(TH!N362,2)="15",LEFT(TH!O362,2)="15")),"x","")</f>
        <v/>
      </c>
      <c r="AE362" s="66" t="str">
        <f>IF(AND(OR(LEFT(TH!N362,2)="15",LEFT(TH!O362,2)="15"),'152-CT'!$J$8=TH!F362),"x","")</f>
        <v/>
      </c>
      <c r="AF362" s="66" t="str">
        <f>IF(AND(OR(LEFT(TH!N362,2)="15",LEFT(TH!O362,2)="15"),'THE KHO'!$E$7=TH!F362),"x","")</f>
        <v/>
      </c>
      <c r="AG362" s="66" t="str">
        <f>IF(AND(N362="1521",MONTH(C362)='BK NL'!$M$11),"x","")</f>
        <v/>
      </c>
    </row>
    <row r="363" spans="1:35" ht="15.75" hidden="1" customHeight="1">
      <c r="A363" s="397" t="str">
        <f>IF(B363&lt;&gt;"",IF(AND(B363&gt;=_TM1,B363&lt;=_TM2,OR(TH!N363="1111",TH!O363="1111")),TH!D363,""),"")</f>
        <v/>
      </c>
      <c r="B363" s="63">
        <f t="shared" si="45"/>
        <v>5</v>
      </c>
      <c r="C363" s="64">
        <f t="shared" si="46"/>
        <v>42521</v>
      </c>
      <c r="D363" s="64" t="s">
        <v>8</v>
      </c>
      <c r="E363" s="64">
        <v>42521</v>
      </c>
      <c r="F363" s="67" t="s">
        <v>969</v>
      </c>
      <c r="G363" s="375" t="s">
        <v>808</v>
      </c>
      <c r="H363" s="74" t="s">
        <v>222</v>
      </c>
      <c r="I363" s="514"/>
      <c r="J363" s="514"/>
      <c r="K363" s="506"/>
      <c r="L363" s="514"/>
      <c r="M363" s="65">
        <v>61262630</v>
      </c>
      <c r="N363" s="66" t="s">
        <v>9</v>
      </c>
      <c r="O363" s="66" t="s">
        <v>31</v>
      </c>
      <c r="P363" s="66" t="str">
        <f>IF(AND('331-CT'!$E$7=TH!H363,OR(N363="331",O363="331")),"x","")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IF(AND('131-CT'!$H$9=TH!H363,OR(N363="131",O363="131")),"x","")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IF(OR(TH!N363=TH!$AB$7,O363=TH!$AB$7),"x","")</f>
        <v/>
      </c>
      <c r="AC363" s="66" t="str">
        <f t="shared" si="44"/>
        <v>2</v>
      </c>
      <c r="AD363" s="66" t="str">
        <f>IF(AND(MONTH(E363)='IN-NX'!$J$5,'IN-NX'!$D$7=D363,OR(LEFT(TH!N363,2)="15",LEFT(TH!O363,2)="15")),"x","")</f>
        <v/>
      </c>
      <c r="AE363" s="66" t="str">
        <f>IF(AND(OR(LEFT(TH!N363,2)="15",LEFT(TH!O363,2)="15"),'152-CT'!$J$8=TH!F363),"x","")</f>
        <v/>
      </c>
      <c r="AF363" s="66" t="str">
        <f>IF(AND(OR(LEFT(TH!N363,2)="15",LEFT(TH!O363,2)="15"),'THE KHO'!$E$7=TH!F363),"x","")</f>
        <v/>
      </c>
      <c r="AG363" s="66" t="str">
        <f>IF(AND(N363="1521",MONTH(C363)='BK NL'!$M$11),"x","")</f>
        <v/>
      </c>
    </row>
    <row r="364" spans="1:35" ht="15.75" hidden="1" customHeight="1">
      <c r="A364" s="397" t="str">
        <f>IF(B364&lt;&gt;"",IF(AND(B364&gt;=_TM1,B364&lt;=_TM2,OR(TH!N364="1111",TH!O364="1111")),TH!D364,""),"")</f>
        <v/>
      </c>
      <c r="B364" s="63">
        <f t="shared" si="45"/>
        <v>5</v>
      </c>
      <c r="C364" s="64">
        <f t="shared" si="46"/>
        <v>42521</v>
      </c>
      <c r="D364" s="64" t="s">
        <v>8</v>
      </c>
      <c r="E364" s="64">
        <v>42521</v>
      </c>
      <c r="F364" s="67" t="s">
        <v>22</v>
      </c>
      <c r="G364" s="375" t="s">
        <v>808</v>
      </c>
      <c r="H364" s="404"/>
      <c r="I364" s="515"/>
      <c r="J364" s="515"/>
      <c r="K364" s="507"/>
      <c r="L364" s="515"/>
      <c r="M364" s="65">
        <v>50631</v>
      </c>
      <c r="N364" s="66" t="s">
        <v>136</v>
      </c>
      <c r="O364" s="66" t="s">
        <v>31</v>
      </c>
      <c r="P364" s="66" t="str">
        <f>IF(AND('331-CT'!$E$7=TH!H364,OR(N364="331",O364="331")),"x","")</f>
        <v/>
      </c>
      <c r="Q364" s="66" t="str">
        <f>IF(AND($B364&gt;='111'!$N$11,$B364&lt;='111'!$O$11,OR($N364=$Q$7,$O364=$Q$7)),"x","")</f>
        <v/>
      </c>
      <c r="R364" s="66" t="str">
        <f>IF(AND($N364=$Q$7,$B364&lt;'111'!$N$11),"x","")</f>
        <v/>
      </c>
      <c r="S364" s="66" t="str">
        <f>IF(AND($O364=$Q$7,$B364&lt;'111'!$N$11),"x","")</f>
        <v/>
      </c>
      <c r="T364" s="66" t="str">
        <f>IF(AND($B364&gt;='112'!$M$9,$B364&lt;='112'!$N$9,OR($N364='112'!$I$6,$O364='112'!$I$6)),"x","")</f>
        <v>x</v>
      </c>
      <c r="U364" s="66" t="str">
        <f>IF(AND($N364='112'!$I$6,$B364&lt;'112'!$M$9),"x","")</f>
        <v/>
      </c>
      <c r="V364" s="66" t="str">
        <f>IF(AND($O364='112'!$I$6,$B364&lt;'112'!$M$9),"x","")</f>
        <v/>
      </c>
      <c r="W364" s="66" t="str">
        <f>IF(AND('131-CT'!$H$9=TH!H364,OR(N364="131",O364="131")),"x","")</f>
        <v/>
      </c>
      <c r="X364" s="66" t="str">
        <f>IF(AND($B364&gt;='1331'!$I$9,$B364&lt;='1331'!$J$9,OR($N364=$X$7,$O364=$X$7)),"x","")</f>
        <v/>
      </c>
      <c r="Y364" s="66" t="str">
        <f>IF(AND($N364=$X$7,$B364&lt;'1331'!$I$9),"x","")</f>
        <v/>
      </c>
      <c r="Z364" s="66" t="str">
        <f>IF(AND($O364=$X$7,$B364&lt;'1331'!$I$9),"x","")</f>
        <v/>
      </c>
      <c r="AA364" s="66" t="str">
        <f>IF(AND('341-CT'!$H$9=H364,OR(LEFT(N364,3)=$AA$7,LEFT(O364,3)=$AA$7)),"x","")</f>
        <v/>
      </c>
      <c r="AB364" s="66" t="str">
        <f>IF(OR(TH!N364=TH!$AB$7,O364=TH!$AB$7),"x","")</f>
        <v/>
      </c>
      <c r="AC364" s="66" t="str">
        <f t="shared" si="44"/>
        <v>2</v>
      </c>
      <c r="AD364" s="66" t="str">
        <f>IF(AND(MONTH(E364)='IN-NX'!$J$5,'IN-NX'!$D$7=D364,OR(LEFT(TH!N364,2)="15",LEFT(TH!O364,2)="15")),"x","")</f>
        <v/>
      </c>
      <c r="AE364" s="66" t="str">
        <f>IF(AND(OR(LEFT(TH!N364,2)="15",LEFT(TH!O364,2)="15"),'152-CT'!$J$8=TH!F364),"x","")</f>
        <v/>
      </c>
      <c r="AF364" s="66" t="str">
        <f>IF(AND(OR(LEFT(TH!N364,2)="15",LEFT(TH!O364,2)="15"),'THE KHO'!$E$7=TH!F364),"x","")</f>
        <v/>
      </c>
      <c r="AG364" s="66" t="str">
        <f>IF(AND(N364="1521",MONTH(C364)='BK NL'!$M$11),"x","")</f>
        <v/>
      </c>
      <c r="AI364" s="386">
        <v>1</v>
      </c>
    </row>
    <row r="365" spans="1:35" ht="15.75" hidden="1" customHeight="1">
      <c r="A365" s="397" t="str">
        <f>IF(B365&lt;&gt;"",IF(AND(B365&gt;=_TM1,B365&lt;=_TM2,OR(TH!N365="1111",TH!O365="1111")),TH!D365,""),"")</f>
        <v/>
      </c>
      <c r="B365" s="63">
        <f t="shared" si="45"/>
        <v>5</v>
      </c>
      <c r="C365" s="64">
        <f t="shared" si="46"/>
        <v>42521</v>
      </c>
      <c r="D365" s="64" t="s">
        <v>8</v>
      </c>
      <c r="E365" s="64">
        <v>42521</v>
      </c>
      <c r="F365" s="67" t="s">
        <v>23</v>
      </c>
      <c r="G365" s="375" t="s">
        <v>808</v>
      </c>
      <c r="H365" s="74"/>
      <c r="I365" s="514"/>
      <c r="J365" s="514"/>
      <c r="K365" s="506"/>
      <c r="L365" s="514"/>
      <c r="M365" s="100">
        <v>5063</v>
      </c>
      <c r="N365" s="66" t="s">
        <v>10</v>
      </c>
      <c r="O365" s="66" t="s">
        <v>31</v>
      </c>
      <c r="P365" s="66" t="str">
        <f>IF(AND('331-CT'!$E$7=TH!H365,OR(N365="331",O365="331")),"x","")</f>
        <v/>
      </c>
      <c r="Q365" s="66" t="str">
        <f>IF(AND($B365&gt;='111'!$N$11,$B365&lt;='111'!$O$11,OR($N365=$Q$7,$O365=$Q$7)),"x","")</f>
        <v/>
      </c>
      <c r="R365" s="66" t="str">
        <f>IF(AND($N365=$Q$7,$B365&lt;'111'!$N$11),"x","")</f>
        <v/>
      </c>
      <c r="S365" s="66" t="str">
        <f>IF(AND($O365=$Q$7,$B365&lt;'111'!$N$11),"x","")</f>
        <v/>
      </c>
      <c r="T365" s="66" t="str">
        <f>IF(AND($B365&gt;='112'!$M$9,$B365&lt;='112'!$N$9,OR($N365='112'!$I$6,$O365='112'!$I$6)),"x","")</f>
        <v>x</v>
      </c>
      <c r="U365" s="66" t="str">
        <f>IF(AND($N365='112'!$I$6,$B365&lt;'112'!$M$9),"x","")</f>
        <v/>
      </c>
      <c r="V365" s="66" t="str">
        <f>IF(AND($O365='112'!$I$6,$B365&lt;'112'!$M$9),"x","")</f>
        <v/>
      </c>
      <c r="W365" s="66" t="str">
        <f>IF(AND('131-CT'!$H$9=TH!H365,OR(N365="131",O365="131")),"x","")</f>
        <v/>
      </c>
      <c r="X365" s="66" t="str">
        <f>IF(AND($B365&gt;='1331'!$I$9,$B365&lt;='1331'!$J$9,OR($N365=$X$7,$O365=$X$7)),"x","")</f>
        <v/>
      </c>
      <c r="Y365" s="66" t="str">
        <f>IF(AND($N365=$X$7,$B365&lt;'1331'!$I$9),"x","")</f>
        <v/>
      </c>
      <c r="Z365" s="66" t="str">
        <f>IF(AND($O365=$X$7,$B365&lt;'1331'!$I$9),"x","")</f>
        <v/>
      </c>
      <c r="AA365" s="66" t="str">
        <f>IF(AND('341-CT'!$H$9=H365,OR(LEFT(N365,3)=$AA$7,LEFT(O365,3)=$AA$7)),"x","")</f>
        <v/>
      </c>
      <c r="AB365" s="66" t="str">
        <f>IF(OR(TH!N365=TH!$AB$7,O365=TH!$AB$7),"x","")</f>
        <v/>
      </c>
      <c r="AC365" s="66" t="str">
        <f t="shared" si="44"/>
        <v>2</v>
      </c>
      <c r="AD365" s="66" t="str">
        <f>IF(AND(MONTH(E365)='IN-NX'!$J$5,'IN-NX'!$D$7=D365,OR(LEFT(TH!N365,2)="15",LEFT(TH!O365,2)="15")),"x","")</f>
        <v/>
      </c>
      <c r="AE365" s="66" t="str">
        <f>IF(AND(OR(LEFT(TH!N365,2)="15",LEFT(TH!O365,2)="15"),'152-CT'!$J$8=TH!F365),"x","")</f>
        <v/>
      </c>
      <c r="AF365" s="66" t="str">
        <f>IF(AND(OR(LEFT(TH!N365,2)="15",LEFT(TH!O365,2)="15"),'THE KHO'!$E$7=TH!F365),"x","")</f>
        <v/>
      </c>
      <c r="AG365" s="66" t="str">
        <f>IF(AND(N365="1521",MONTH(C365)='BK NL'!$M$11),"x","")</f>
        <v/>
      </c>
      <c r="AI365" s="386">
        <v>1</v>
      </c>
    </row>
    <row r="366" spans="1:35" ht="15.75" hidden="1" customHeight="1">
      <c r="A366" s="397" t="str">
        <f>IF(B366&lt;&gt;"",IF(AND(B366&gt;=_TM1,B366&lt;=_TM2,OR(TH!N366="1111",TH!O366="1111")),TH!D366,""),"")</f>
        <v/>
      </c>
      <c r="B366" s="154">
        <f t="shared" si="45"/>
        <v>6</v>
      </c>
      <c r="C366" s="64">
        <f t="shared" si="46"/>
        <v>42531</v>
      </c>
      <c r="D366" s="64" t="s">
        <v>815</v>
      </c>
      <c r="E366" s="155">
        <v>42531</v>
      </c>
      <c r="F366" s="95" t="s">
        <v>408</v>
      </c>
      <c r="G366" s="375" t="s">
        <v>987</v>
      </c>
      <c r="H366" s="74" t="s">
        <v>327</v>
      </c>
      <c r="I366" s="518"/>
      <c r="J366" s="518"/>
      <c r="K366" s="510"/>
      <c r="L366" s="518"/>
      <c r="M366" s="156">
        <f>1503000+1085000</f>
        <v>2588000</v>
      </c>
      <c r="N366" s="157" t="s">
        <v>243</v>
      </c>
      <c r="O366" s="66" t="s">
        <v>98</v>
      </c>
      <c r="P366" s="66" t="str">
        <f>IF(AND('331-CT'!$E$7=TH!H366,OR(N366="331",O366="331")),"x","")</f>
        <v/>
      </c>
      <c r="Q366" s="66" t="str">
        <f>IF(AND($B366&gt;='111'!$N$11,$B366&lt;='111'!$O$11,OR($N366=$Q$7,$O366=$Q$7)),"x","")</f>
        <v>x</v>
      </c>
      <c r="R366" s="66" t="str">
        <f>IF(AND($N366=$Q$7,$B366&lt;'111'!$N$11),"x","")</f>
        <v/>
      </c>
      <c r="S366" s="66" t="str">
        <f>IF(AND($O366=$Q$7,$B366&lt;'111'!$N$11),"x","")</f>
        <v/>
      </c>
      <c r="T366" s="66" t="str">
        <f>IF(AND($B366&gt;='112'!$M$9,$B366&lt;='112'!$N$9,OR($N366='112'!$I$6,$O366='112'!$I$6)),"x","")</f>
        <v/>
      </c>
      <c r="U366" s="66" t="str">
        <f>IF(AND($N366='112'!$I$6,$B366&lt;'112'!$M$9),"x","")</f>
        <v/>
      </c>
      <c r="V366" s="66" t="str">
        <f>IF(AND($O366='112'!$I$6,$B366&lt;'112'!$M$9),"x","")</f>
        <v/>
      </c>
      <c r="W366" s="66" t="str">
        <f>IF(AND('131-CT'!$H$9=TH!H366,OR(N366="131",O366="131")),"x","")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IF(OR(TH!N366=TH!$AB$7,O366=TH!$AB$7),"x","")</f>
        <v/>
      </c>
      <c r="AC366" s="66" t="str">
        <f t="shared" si="44"/>
        <v>2</v>
      </c>
      <c r="AD366" s="66" t="str">
        <f>IF(AND(MONTH(E366)='IN-NX'!$J$5,'IN-NX'!$D$7=D366,OR(LEFT(TH!N366,2)="15",LEFT(TH!O366,2)="15")),"x","")</f>
        <v/>
      </c>
      <c r="AE366" s="66" t="str">
        <f>IF(AND(OR(LEFT(TH!N366,2)="15",LEFT(TH!O366,2)="15"),'152-CT'!$J$8=TH!F366),"x","")</f>
        <v/>
      </c>
      <c r="AF366" s="66" t="str">
        <f>IF(AND(OR(LEFT(TH!N366,2)="15",LEFT(TH!O366,2)="15"),'THE KHO'!$E$7=TH!F366),"x","")</f>
        <v/>
      </c>
      <c r="AG366" s="66" t="str">
        <f>IF(AND(N366="1521",MONTH(C366)='BK NL'!$M$11),"x","")</f>
        <v/>
      </c>
      <c r="AH366" s="407"/>
    </row>
    <row r="367" spans="1:35" ht="15.75" hidden="1" customHeight="1">
      <c r="A367" s="397" t="str">
        <f>IF(B367&lt;&gt;"",IF(AND(B367&gt;=_TM1,B367&lt;=_TM2,OR(TH!N367="1111",TH!O367="1111")),TH!D367,""),"")</f>
        <v/>
      </c>
      <c r="B367" s="159">
        <f t="shared" si="45"/>
        <v>6</v>
      </c>
      <c r="C367" s="64">
        <f t="shared" si="46"/>
        <v>42531</v>
      </c>
      <c r="D367" s="64" t="s">
        <v>819</v>
      </c>
      <c r="E367" s="155">
        <v>42531</v>
      </c>
      <c r="F367" s="67" t="s">
        <v>988</v>
      </c>
      <c r="G367" s="375" t="s">
        <v>990</v>
      </c>
      <c r="H367" s="74" t="s">
        <v>323</v>
      </c>
      <c r="I367" s="515"/>
      <c r="J367" s="515"/>
      <c r="K367" s="507"/>
      <c r="L367" s="515"/>
      <c r="M367" s="65">
        <v>7272727</v>
      </c>
      <c r="N367" s="66" t="s">
        <v>136</v>
      </c>
      <c r="O367" s="66" t="s">
        <v>98</v>
      </c>
      <c r="P367" s="66" t="str">
        <f>IF(AND('331-CT'!$E$7=TH!H367,OR(N367="331",O367="331")),"x","")</f>
        <v/>
      </c>
      <c r="Q367" s="66" t="str">
        <f>IF(AND($B367&gt;='111'!$N$11,$B367&lt;='111'!$O$11,OR($N367=$Q$7,$O367=$Q$7)),"x","")</f>
        <v>x</v>
      </c>
      <c r="R367" s="66" t="str">
        <f>IF(AND($N367=$Q$7,$B367&lt;'111'!$N$11),"x","")</f>
        <v/>
      </c>
      <c r="S367" s="66" t="str">
        <f>IF(AND($O367=$Q$7,$B367&lt;'111'!$N$11),"x","")</f>
        <v/>
      </c>
      <c r="T367" s="66" t="str">
        <f>IF(AND($B367&gt;='112'!$M$9,$B367&lt;='112'!$N$9,OR($N367='112'!$I$6,$O367='112'!$I$6)),"x","")</f>
        <v/>
      </c>
      <c r="U367" s="66" t="str">
        <f>IF(AND($N367='112'!$I$6,$B367&lt;'112'!$M$9),"x","")</f>
        <v/>
      </c>
      <c r="V367" s="66" t="str">
        <f>IF(AND($O367='112'!$I$6,$B367&lt;'112'!$M$9),"x","")</f>
        <v/>
      </c>
      <c r="W367" s="66" t="str">
        <f>IF(AND('131-CT'!$H$9=TH!H367,OR(N367="131",O367="131")),"x","")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IF(OR(TH!N367=TH!$AB$7,O367=TH!$AB$7),"x","")</f>
        <v/>
      </c>
      <c r="AC367" s="66" t="str">
        <f t="shared" si="44"/>
        <v>2</v>
      </c>
      <c r="AD367" s="66" t="str">
        <f>IF(AND(MONTH(E367)='IN-NX'!$J$5,'IN-NX'!$D$7=D367,OR(LEFT(TH!N367,2)="15",LEFT(TH!O367,2)="15")),"x","")</f>
        <v/>
      </c>
      <c r="AE367" s="66" t="str">
        <f>IF(AND(OR(LEFT(TH!N367,2)="15",LEFT(TH!O367,2)="15"),'152-CT'!$J$8=TH!F367),"x","")</f>
        <v/>
      </c>
      <c r="AF367" s="66" t="str">
        <f>IF(AND(OR(LEFT(TH!N367,2)="15",LEFT(TH!O367,2)="15"),'THE KHO'!$E$7=TH!F367),"x","")</f>
        <v/>
      </c>
      <c r="AG367" s="66" t="str">
        <f>IF(AND(N367="1521",MONTH(C367)='BK NL'!$M$11),"x","")</f>
        <v/>
      </c>
      <c r="AH367" s="408"/>
      <c r="AI367" s="386">
        <v>1</v>
      </c>
    </row>
    <row r="368" spans="1:35" ht="15.75" hidden="1" customHeight="1">
      <c r="A368" s="397" t="str">
        <f>IF(B368&lt;&gt;"",IF(AND(B368&gt;=_TM1,B368&lt;=_TM2,OR(TH!N368="1111",TH!O368="1111")),TH!D368,""),"")</f>
        <v/>
      </c>
      <c r="B368" s="63">
        <f t="shared" si="45"/>
        <v>6</v>
      </c>
      <c r="C368" s="64">
        <f t="shared" si="46"/>
        <v>42531</v>
      </c>
      <c r="D368" s="64" t="s">
        <v>819</v>
      </c>
      <c r="E368" s="155">
        <v>42531</v>
      </c>
      <c r="F368" s="67" t="s">
        <v>989</v>
      </c>
      <c r="G368" s="375" t="s">
        <v>990</v>
      </c>
      <c r="H368" s="74" t="s">
        <v>323</v>
      </c>
      <c r="I368" s="515"/>
      <c r="J368" s="515"/>
      <c r="K368" s="507"/>
      <c r="L368" s="515"/>
      <c r="M368" s="100">
        <v>727273</v>
      </c>
      <c r="N368" s="66" t="s">
        <v>10</v>
      </c>
      <c r="O368" s="66" t="s">
        <v>98</v>
      </c>
      <c r="P368" s="66" t="str">
        <f>IF(AND('331-CT'!$E$7=TH!H368,OR(N368="331",O368="331")),"x","")</f>
        <v/>
      </c>
      <c r="Q368" s="66" t="str">
        <f>IF(AND($B368&gt;='111'!$N$11,$B368&lt;='111'!$O$11,OR($N368=$Q$7,$O368=$Q$7)),"x","")</f>
        <v>x</v>
      </c>
      <c r="R368" s="66" t="str">
        <f>IF(AND($N368=$Q$7,$B368&lt;'111'!$N$11),"x","")</f>
        <v/>
      </c>
      <c r="S368" s="66" t="str">
        <f>IF(AND($O368=$Q$7,$B368&lt;'111'!$N$11),"x","")</f>
        <v/>
      </c>
      <c r="T368" s="66" t="str">
        <f>IF(AND($B368&gt;='112'!$M$9,$B368&lt;='112'!$N$9,OR($N368='112'!$I$6,$O368='112'!$I$6)),"x","")</f>
        <v/>
      </c>
      <c r="U368" s="66" t="str">
        <f>IF(AND($N368='112'!$I$6,$B368&lt;'112'!$M$9),"x","")</f>
        <v/>
      </c>
      <c r="V368" s="66" t="str">
        <f>IF(AND($O368='112'!$I$6,$B368&lt;'112'!$M$9),"x","")</f>
        <v/>
      </c>
      <c r="W368" s="66" t="str">
        <f>IF(AND('131-CT'!$H$9=TH!H368,OR(N368="131",O368="131")),"x","")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IF(OR(TH!N368=TH!$AB$7,O368=TH!$AB$7),"x","")</f>
        <v/>
      </c>
      <c r="AC368" s="66" t="str">
        <f t="shared" si="44"/>
        <v>2</v>
      </c>
      <c r="AD368" s="66" t="str">
        <f>IF(AND(MONTH(E368)='IN-NX'!$J$5,'IN-NX'!$D$7=D368,OR(LEFT(TH!N368,2)="15",LEFT(TH!O368,2)="15")),"x","")</f>
        <v/>
      </c>
      <c r="AE368" s="66" t="str">
        <f>IF(AND(OR(LEFT(TH!N368,2)="15",LEFT(TH!O368,2)="15"),'152-CT'!$J$8=TH!F368),"x","")</f>
        <v/>
      </c>
      <c r="AF368" s="66" t="str">
        <f>IF(AND(OR(LEFT(TH!N368,2)="15",LEFT(TH!O368,2)="15"),'THE KHO'!$E$7=TH!F368),"x","")</f>
        <v/>
      </c>
      <c r="AG368" s="66" t="str">
        <f>IF(AND(N368="1521",MONTH(C368)='BK NL'!$M$11),"x","")</f>
        <v/>
      </c>
      <c r="AI368" s="386">
        <v>1</v>
      </c>
    </row>
    <row r="369" spans="1:35" ht="15.75" hidden="1" customHeight="1">
      <c r="A369" s="397" t="str">
        <f>IF(B369&lt;&gt;"",IF(AND(B369&gt;=_TM1,B369&lt;=_TM2,OR(TH!N369="1111",TH!O369="1111")),TH!D369,""),"")</f>
        <v/>
      </c>
      <c r="B369" s="63">
        <f t="shared" si="45"/>
        <v>6</v>
      </c>
      <c r="C369" s="64">
        <v>42532</v>
      </c>
      <c r="D369" s="64" t="s">
        <v>45</v>
      </c>
      <c r="E369" s="64">
        <v>42532</v>
      </c>
      <c r="F369" s="67" t="s">
        <v>1007</v>
      </c>
      <c r="G369" s="378" t="s">
        <v>1011</v>
      </c>
      <c r="H369" s="74" t="s">
        <v>222</v>
      </c>
      <c r="I369" s="517"/>
      <c r="J369" s="517"/>
      <c r="K369" s="509"/>
      <c r="L369" s="517"/>
      <c r="M369" s="65">
        <v>25978200</v>
      </c>
      <c r="N369" s="66" t="s">
        <v>136</v>
      </c>
      <c r="O369" s="66" t="s">
        <v>9</v>
      </c>
      <c r="P369" s="66" t="str">
        <f>IF(AND('331-CT'!$E$7=TH!H369,OR(N369="331",O369="331")),"x","")</f>
        <v/>
      </c>
      <c r="Q369" s="66" t="str">
        <f>IF(AND($B369&gt;='111'!$N$11,$B369&lt;='111'!$O$11,OR($N369=$Q$7,$O369=$Q$7)),"x","")</f>
        <v/>
      </c>
      <c r="R369" s="66" t="str">
        <f>IF(AND($N369=$Q$7,$B369&lt;'111'!$N$11),"x","")</f>
        <v/>
      </c>
      <c r="S369" s="66" t="str">
        <f>IF(AND($O369=$Q$7,$B369&lt;'111'!$N$11),"x","")</f>
        <v/>
      </c>
      <c r="T369" s="66" t="str">
        <f>IF(AND($B369&gt;='112'!$M$9,$B369&lt;='112'!$N$9,OR($N369='112'!$I$6,$O369='112'!$I$6)),"x","")</f>
        <v/>
      </c>
      <c r="U369" s="66" t="str">
        <f>IF(AND($N369='112'!$I$6,$B369&lt;'112'!$M$9),"x","")</f>
        <v/>
      </c>
      <c r="V369" s="66" t="str">
        <f>IF(AND($O369='112'!$I$6,$B369&lt;'112'!$M$9),"x","")</f>
        <v/>
      </c>
      <c r="W369" s="66" t="str">
        <f>IF(AND('131-CT'!$H$9=TH!H369,OR(N369="131",O369="131")),"x","")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IF(OR(TH!N369=TH!$AB$7,O369=TH!$AB$7),"x","")</f>
        <v/>
      </c>
      <c r="AC369" s="66" t="str">
        <f t="shared" si="44"/>
        <v>2</v>
      </c>
      <c r="AD369" s="66" t="str">
        <f>IF(AND(MONTH(E369)='IN-NX'!$J$5,'IN-NX'!$D$7=D369,OR(LEFT(TH!N369,2)="15",LEFT(TH!O369,2)="15")),"x","")</f>
        <v/>
      </c>
      <c r="AE369" s="66" t="str">
        <f>IF(AND(OR(LEFT(TH!N369,2)="15",LEFT(TH!O369,2)="15"),'152-CT'!$J$8=TH!F369),"x","")</f>
        <v/>
      </c>
      <c r="AF369" s="66" t="str">
        <f>IF(AND(OR(LEFT(TH!N369,2)="15",LEFT(TH!O369,2)="15"),'THE KHO'!$E$7=TH!F369),"x","")</f>
        <v/>
      </c>
      <c r="AG369" s="66" t="str">
        <f>IF(AND(N369="1521",MONTH(C369)='BK NL'!$M$11),"x","")</f>
        <v/>
      </c>
    </row>
    <row r="370" spans="1:35" ht="15.75" hidden="1" customHeight="1">
      <c r="A370" s="397" t="str">
        <f>IF(B370&lt;&gt;"",IF(AND(B370&gt;=_TM1,B370&lt;=_TM2,OR(TH!N370="1111",TH!O370="1111")),TH!D370,""),"")</f>
        <v/>
      </c>
      <c r="B370" s="63">
        <f t="shared" si="45"/>
        <v>6</v>
      </c>
      <c r="C370" s="64">
        <v>42532</v>
      </c>
      <c r="D370" s="64" t="s">
        <v>45</v>
      </c>
      <c r="E370" s="64">
        <v>42532</v>
      </c>
      <c r="F370" s="67" t="s">
        <v>1008</v>
      </c>
      <c r="G370" s="378" t="s">
        <v>1011</v>
      </c>
      <c r="H370" s="74" t="s">
        <v>222</v>
      </c>
      <c r="I370" s="514"/>
      <c r="J370" s="514"/>
      <c r="K370" s="506"/>
      <c r="L370" s="514"/>
      <c r="M370" s="65">
        <v>2597820</v>
      </c>
      <c r="N370" s="66" t="s">
        <v>10</v>
      </c>
      <c r="O370" s="66" t="s">
        <v>9</v>
      </c>
      <c r="P370" s="66" t="str">
        <f>IF(AND('331-CT'!$E$7=TH!H370,OR(N370="331",O370="331")),"x","")</f>
        <v/>
      </c>
      <c r="Q370" s="66" t="str">
        <f>IF(AND($B370&gt;='111'!$N$11,$B370&lt;='111'!$O$11,OR($N370=$Q$7,$O370=$Q$7)),"x","")</f>
        <v/>
      </c>
      <c r="R370" s="66" t="str">
        <f>IF(AND($N370=$Q$7,$B370&lt;'111'!$N$11),"x","")</f>
        <v/>
      </c>
      <c r="S370" s="66" t="str">
        <f>IF(AND($O370=$Q$7,$B370&lt;'111'!$N$11),"x","")</f>
        <v/>
      </c>
      <c r="T370" s="66" t="str">
        <f>IF(AND($B370&gt;='112'!$M$9,$B370&lt;='112'!$N$9,OR($N370='112'!$I$6,$O370='112'!$I$6)),"x","")</f>
        <v/>
      </c>
      <c r="U370" s="66" t="str">
        <f>IF(AND($N370='112'!$I$6,$B370&lt;'112'!$M$9),"x","")</f>
        <v/>
      </c>
      <c r="V370" s="66" t="str">
        <f>IF(AND($O370='112'!$I$6,$B370&lt;'112'!$M$9),"x","")</f>
        <v/>
      </c>
      <c r="W370" s="66" t="str">
        <f>IF(AND('131-CT'!$H$9=TH!H370,OR(N370="131",O370="131")),"x","")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IF(OR(TH!N370=TH!$AB$7,O370=TH!$AB$7),"x","")</f>
        <v/>
      </c>
      <c r="AC370" s="66" t="str">
        <f t="shared" si="44"/>
        <v>2</v>
      </c>
      <c r="AD370" s="66" t="str">
        <f>IF(AND(MONTH(E370)='IN-NX'!$J$5,'IN-NX'!$D$7=D370,OR(LEFT(TH!N370,2)="15",LEFT(TH!O370,2)="15")),"x","")</f>
        <v/>
      </c>
      <c r="AE370" s="66" t="str">
        <f>IF(AND(OR(LEFT(TH!N370,2)="15",LEFT(TH!O370,2)="15"),'152-CT'!$J$8=TH!F370),"x","")</f>
        <v/>
      </c>
      <c r="AF370" s="66" t="str">
        <f>IF(AND(OR(LEFT(TH!N370,2)="15",LEFT(TH!O370,2)="15"),'THE KHO'!$E$7=TH!F370),"x","")</f>
        <v/>
      </c>
      <c r="AG370" s="66" t="str">
        <f>IF(AND(N370="1521",MONTH(C370)='BK NL'!$M$11),"x","")</f>
        <v/>
      </c>
      <c r="AH370" s="409"/>
      <c r="AI370" s="409"/>
    </row>
    <row r="371" spans="1:35" ht="15.75" hidden="1" customHeight="1">
      <c r="A371" s="397" t="str">
        <f>IF(B371&lt;&gt;"",IF(AND(B371&gt;=_TM1,B371&lt;=_TM2,OR(TH!N371="1111",TH!O371="1111")),TH!D371,""),"")</f>
        <v/>
      </c>
      <c r="B371" s="63">
        <f t="shared" si="45"/>
        <v>6</v>
      </c>
      <c r="C371" s="64">
        <f t="shared" ref="C371:C400" si="47">E371</f>
        <v>42537</v>
      </c>
      <c r="D371" s="64" t="s">
        <v>846</v>
      </c>
      <c r="E371" s="64">
        <v>42537</v>
      </c>
      <c r="F371" s="67" t="s">
        <v>983</v>
      </c>
      <c r="G371" s="375" t="s">
        <v>985</v>
      </c>
      <c r="H371" s="74" t="s">
        <v>162</v>
      </c>
      <c r="I371" s="515"/>
      <c r="J371" s="515"/>
      <c r="K371" s="507"/>
      <c r="L371" s="515"/>
      <c r="M371" s="65">
        <f>60000+210000+83304+68352</f>
        <v>421656</v>
      </c>
      <c r="N371" s="66" t="s">
        <v>136</v>
      </c>
      <c r="O371" s="66" t="s">
        <v>98</v>
      </c>
      <c r="P371" s="66" t="str">
        <f>IF(AND('331-CT'!$E$7=TH!H371,OR(N371="331",O371="331")),"x","")</f>
        <v/>
      </c>
      <c r="Q371" s="66" t="str">
        <f>IF(AND($B371&gt;='111'!$N$11,$B371&lt;='111'!$O$11,OR($N371=$Q$7,$O371=$Q$7)),"x","")</f>
        <v>x</v>
      </c>
      <c r="R371" s="66" t="str">
        <f>IF(AND($N371=$Q$7,$B371&lt;'111'!$N$11),"x","")</f>
        <v/>
      </c>
      <c r="S371" s="66" t="str">
        <f>IF(AND($O371=$Q$7,$B371&lt;'111'!$N$11),"x","")</f>
        <v/>
      </c>
      <c r="T371" s="66" t="str">
        <f>IF(AND($B371&gt;='112'!$M$9,$B371&lt;='112'!$N$9,OR($N371='112'!$I$6,$O371='112'!$I$6)),"x","")</f>
        <v/>
      </c>
      <c r="U371" s="66" t="str">
        <f>IF(AND($N371='112'!$I$6,$B371&lt;'112'!$M$9),"x","")</f>
        <v/>
      </c>
      <c r="V371" s="66" t="str">
        <f>IF(AND($O371='112'!$I$6,$B371&lt;'112'!$M$9),"x","")</f>
        <v/>
      </c>
      <c r="W371" s="66" t="str">
        <f>IF(AND('131-CT'!$H$9=TH!H371,OR(N371="131",O371="131")),"x","")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IF(OR(TH!N371=TH!$AB$7,O371=TH!$AB$7),"x","")</f>
        <v/>
      </c>
      <c r="AC371" s="66" t="str">
        <f t="shared" si="44"/>
        <v>2</v>
      </c>
      <c r="AD371" s="66" t="str">
        <f>IF(AND(MONTH(E371)='IN-NX'!$J$5,'IN-NX'!$D$7=D371,OR(LEFT(TH!N371,2)="15",LEFT(TH!O371,2)="15")),"x","")</f>
        <v/>
      </c>
      <c r="AE371" s="66" t="str">
        <f>IF(AND(OR(LEFT(TH!N371,2)="15",LEFT(TH!O371,2)="15"),'152-CT'!$J$8=TH!F371),"x","")</f>
        <v/>
      </c>
      <c r="AF371" s="66" t="str">
        <f>IF(AND(OR(LEFT(TH!N371,2)="15",LEFT(TH!O371,2)="15"),'THE KHO'!$E$7=TH!F371),"x","")</f>
        <v/>
      </c>
      <c r="AG371" s="66" t="str">
        <f>IF(AND(N371="1521",MONTH(C371)='BK NL'!$M$11),"x","")</f>
        <v/>
      </c>
      <c r="AI371" s="386">
        <v>1</v>
      </c>
    </row>
    <row r="372" spans="1:35" ht="15.75" hidden="1" customHeight="1">
      <c r="A372" s="397" t="str">
        <f>IF(B372&lt;&gt;"",IF(AND(B372&gt;=_TM1,B372&lt;=_TM2,OR(TH!N372="1111",TH!O372="1111")),TH!D372,""),"")</f>
        <v/>
      </c>
      <c r="B372" s="154">
        <f t="shared" ref="B372:B403" si="48">IF(C372&lt;&gt;"",MONTH(C372),"")</f>
        <v>6</v>
      </c>
      <c r="C372" s="64">
        <f t="shared" si="47"/>
        <v>42537</v>
      </c>
      <c r="D372" s="64" t="s">
        <v>846</v>
      </c>
      <c r="E372" s="64">
        <v>42537</v>
      </c>
      <c r="F372" s="67" t="s">
        <v>984</v>
      </c>
      <c r="G372" s="375" t="s">
        <v>986</v>
      </c>
      <c r="H372" s="74" t="s">
        <v>162</v>
      </c>
      <c r="I372" s="514"/>
      <c r="J372" s="514"/>
      <c r="K372" s="506"/>
      <c r="L372" s="514"/>
      <c r="M372" s="100">
        <f>6000+21000+8330+6835</f>
        <v>42165</v>
      </c>
      <c r="N372" s="66" t="s">
        <v>10</v>
      </c>
      <c r="O372" s="66" t="s">
        <v>98</v>
      </c>
      <c r="P372" s="66" t="str">
        <f>IF(AND('331-CT'!$E$7=TH!H372,OR(N372="331",O372="331")),"x","")</f>
        <v/>
      </c>
      <c r="Q372" s="66" t="str">
        <f>IF(AND($B372&gt;='111'!$N$11,$B372&lt;='111'!$O$11,OR($N372=$Q$7,$O372=$Q$7)),"x","")</f>
        <v>x</v>
      </c>
      <c r="R372" s="66" t="str">
        <f>IF(AND($N372=$Q$7,$B372&lt;'111'!$N$11),"x","")</f>
        <v/>
      </c>
      <c r="S372" s="66" t="str">
        <f>IF(AND($O372=$Q$7,$B372&lt;'111'!$N$11),"x","")</f>
        <v/>
      </c>
      <c r="T372" s="66" t="str">
        <f>IF(AND($B372&gt;='112'!$M$9,$B372&lt;='112'!$N$9,OR($N372='112'!$I$6,$O372='112'!$I$6)),"x","")</f>
        <v/>
      </c>
      <c r="U372" s="66" t="str">
        <f>IF(AND($N372='112'!$I$6,$B372&lt;'112'!$M$9),"x","")</f>
        <v/>
      </c>
      <c r="V372" s="66" t="str">
        <f>IF(AND($O372='112'!$I$6,$B372&lt;'112'!$M$9),"x","")</f>
        <v/>
      </c>
      <c r="W372" s="66" t="str">
        <f>IF(AND('131-CT'!$H$9=TH!H372,OR(N372="131",O372="131")),"x","")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IF(OR(TH!N372=TH!$AB$7,O372=TH!$AB$7),"x","")</f>
        <v/>
      </c>
      <c r="AC372" s="66" t="str">
        <f t="shared" si="44"/>
        <v>2</v>
      </c>
      <c r="AD372" s="66" t="str">
        <f>IF(AND(MONTH(E372)='IN-NX'!$J$5,'IN-NX'!$D$7=D372,OR(LEFT(TH!N372,2)="15",LEFT(TH!O372,2)="15")),"x","")</f>
        <v/>
      </c>
      <c r="AE372" s="66" t="str">
        <f>IF(AND(OR(LEFT(TH!N372,2)="15",LEFT(TH!O372,2)="15"),'152-CT'!$J$8=TH!F372),"x","")</f>
        <v/>
      </c>
      <c r="AF372" s="66" t="str">
        <f>IF(AND(OR(LEFT(TH!N372,2)="15",LEFT(TH!O372,2)="15"),'THE KHO'!$E$7=TH!F372),"x","")</f>
        <v/>
      </c>
      <c r="AG372" s="66" t="str">
        <f>IF(AND(N372="1521",MONTH(C372)='BK NL'!$M$11),"x","")</f>
        <v/>
      </c>
      <c r="AH372" s="407"/>
      <c r="AI372" s="386">
        <v>1</v>
      </c>
    </row>
    <row r="373" spans="1:35" ht="15.75" hidden="1" customHeight="1">
      <c r="A373" s="397" t="str">
        <f>IF(B373&lt;&gt;"",IF(AND(B373&gt;=_TM1,B373&lt;=_TM2,OR(TH!N373="1111",TH!O373="1111")),TH!D373,""),"")</f>
        <v/>
      </c>
      <c r="B373" s="63">
        <f t="shared" si="48"/>
        <v>6</v>
      </c>
      <c r="C373" s="64">
        <f t="shared" si="47"/>
        <v>42538</v>
      </c>
      <c r="D373" s="64" t="s">
        <v>12</v>
      </c>
      <c r="E373" s="64">
        <v>42538</v>
      </c>
      <c r="F373" s="67" t="s">
        <v>970</v>
      </c>
      <c r="G373" s="375" t="s">
        <v>808</v>
      </c>
      <c r="H373" s="405"/>
      <c r="I373" s="517"/>
      <c r="J373" s="517"/>
      <c r="K373" s="509">
        <v>88000</v>
      </c>
      <c r="L373" s="517">
        <v>22305</v>
      </c>
      <c r="M373" s="65">
        <f>ROUND(K373*L373,0)</f>
        <v>1962840000</v>
      </c>
      <c r="N373" s="66" t="s">
        <v>463</v>
      </c>
      <c r="O373" s="66" t="s">
        <v>31</v>
      </c>
      <c r="P373" s="66" t="str">
        <f>IF(AND('331-CT'!$E$7=TH!H373,OR(N373="331",O373="331")),"x","")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IF(AND('131-CT'!$H$9=TH!H373,OR(N373="131",O373="131")),"x","")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IF(OR(TH!N373=TH!$AB$7,O373=TH!$AB$7),"x","")</f>
        <v/>
      </c>
      <c r="AC373" s="66" t="str">
        <f t="shared" si="44"/>
        <v>2</v>
      </c>
      <c r="AD373" s="66" t="str">
        <f>IF(AND(MONTH(E373)='IN-NX'!$J$5,'IN-NX'!$D$7=D373,OR(LEFT(TH!N373,2)="15",LEFT(TH!O373,2)="15")),"x","")</f>
        <v/>
      </c>
      <c r="AE373" s="66" t="str">
        <f>IF(AND(OR(LEFT(TH!N373,2)="15",LEFT(TH!O373,2)="15"),'152-CT'!$J$8=TH!F373),"x","")</f>
        <v/>
      </c>
      <c r="AF373" s="66" t="str">
        <f>IF(AND(OR(LEFT(TH!N373,2)="15",LEFT(TH!O373,2)="15"),'THE KHO'!$E$7=TH!F373),"x","")</f>
        <v/>
      </c>
      <c r="AG373" s="66" t="str">
        <f>IF(AND(N373="1521",MONTH(C373)='BK NL'!$M$11),"x","")</f>
        <v/>
      </c>
    </row>
    <row r="374" spans="1:35" ht="15.75" hidden="1" customHeight="1">
      <c r="A374" s="397" t="str">
        <f>IF(B374&lt;&gt;"",IF(AND(B374&gt;=_TM1,B374&lt;=_TM2,OR(TH!N374="1111",TH!O374="1111")),TH!D374,""),"")</f>
        <v/>
      </c>
      <c r="B374" s="63">
        <f t="shared" si="48"/>
        <v>6</v>
      </c>
      <c r="C374" s="64">
        <f t="shared" si="47"/>
        <v>42538</v>
      </c>
      <c r="D374" s="64" t="s">
        <v>8</v>
      </c>
      <c r="E374" s="64">
        <v>42538</v>
      </c>
      <c r="F374" s="67" t="s">
        <v>971</v>
      </c>
      <c r="G374" s="375" t="s">
        <v>808</v>
      </c>
      <c r="H374" s="7" t="s">
        <v>333</v>
      </c>
      <c r="I374" s="517"/>
      <c r="J374" s="517"/>
      <c r="K374" s="509">
        <v>88000</v>
      </c>
      <c r="L374" s="517">
        <v>22305</v>
      </c>
      <c r="M374" s="65">
        <f>ROUND(K374*L374,0)</f>
        <v>1962840000</v>
      </c>
      <c r="N374" s="66" t="s">
        <v>451</v>
      </c>
      <c r="O374" s="66" t="s">
        <v>463</v>
      </c>
      <c r="P374" s="66" t="str">
        <f>IF(AND('331-CT'!$E$7=TH!H374,OR(N374="331",O374="331")),"x","")</f>
        <v/>
      </c>
      <c r="Q374" s="66" t="str">
        <f>IF(AND($B374&gt;='111'!$N$11,$B374&lt;='111'!$O$11,OR($N374=$Q$7,$O374=$Q$7)),"x","")</f>
        <v/>
      </c>
      <c r="R374" s="66" t="str">
        <f>IF(AND($N374=$Q$7,$B374&lt;'111'!$N$11),"x","")</f>
        <v/>
      </c>
      <c r="S374" s="66" t="str">
        <f>IF(AND($O374=$Q$7,$B374&lt;'111'!$N$11),"x","")</f>
        <v/>
      </c>
      <c r="T374" s="66" t="str">
        <f>IF(AND($B374&gt;='112'!$M$9,$B374&lt;='112'!$N$9,OR($N374='112'!$I$6,$O374='112'!$I$6)),"x","")</f>
        <v/>
      </c>
      <c r="U374" s="66" t="str">
        <f>IF(AND($N374='112'!$I$6,$B374&lt;'112'!$M$9),"x","")</f>
        <v/>
      </c>
      <c r="V374" s="66" t="str">
        <f>IF(AND($O374='112'!$I$6,$B374&lt;'112'!$M$9),"x","")</f>
        <v/>
      </c>
      <c r="W374" s="66" t="str">
        <f>IF(AND('131-CT'!$H$9=TH!H374,OR(N374="131",O374="131")),"x","")</f>
        <v/>
      </c>
      <c r="X374" s="66" t="str">
        <f>IF(AND($B374&gt;='1331'!$I$9,$B374&lt;='1331'!$J$9,OR($N374=$X$7,$O374=$X$7)),"x","")</f>
        <v/>
      </c>
      <c r="Y374" s="66" t="str">
        <f>IF(AND($N374=$X$7,$B374&lt;'1331'!$I$9),"x","")</f>
        <v/>
      </c>
      <c r="Z374" s="66" t="str">
        <f>IF(AND($O374=$X$7,$B374&lt;'1331'!$I$9),"x","")</f>
        <v/>
      </c>
      <c r="AA374" s="66" t="str">
        <f>IF(AND('341-CT'!$H$9=H374,OR(LEFT(N374,3)=$AA$7,LEFT(O374,3)=$AA$7)),"x","")</f>
        <v>x</v>
      </c>
      <c r="AB374" s="66" t="str">
        <f>IF(OR(TH!N374=TH!$AB$7,O374=TH!$AB$7),"x","")</f>
        <v/>
      </c>
      <c r="AC374" s="66" t="str">
        <f t="shared" si="44"/>
        <v>2</v>
      </c>
      <c r="AD374" s="66" t="str">
        <f>IF(AND(MONTH(E374)='IN-NX'!$J$5,'IN-NX'!$D$7=D374,OR(LEFT(TH!N374,2)="15",LEFT(TH!O374,2)="15")),"x","")</f>
        <v/>
      </c>
      <c r="AE374" s="66" t="str">
        <f>IF(AND(OR(LEFT(TH!N374,2)="15",LEFT(TH!O374,2)="15"),'152-CT'!$J$8=TH!F374),"x","")</f>
        <v/>
      </c>
      <c r="AF374" s="66" t="str">
        <f>IF(AND(OR(LEFT(TH!N374,2)="15",LEFT(TH!O374,2)="15"),'THE KHO'!$E$7=TH!F374),"x","")</f>
        <v/>
      </c>
      <c r="AG374" s="66" t="str">
        <f>IF(AND(N374="1521",MONTH(C374)='BK NL'!$M$11),"x","")</f>
        <v/>
      </c>
    </row>
    <row r="375" spans="1:35" ht="15.75" hidden="1" customHeight="1">
      <c r="A375" s="397" t="str">
        <f>IF(B375&lt;&gt;"",IF(AND(B375&gt;=_TM1,B375&lt;=_TM2,OR(TH!N375="1111",TH!O375="1111")),TH!D375,""),"")</f>
        <v/>
      </c>
      <c r="B375" s="63">
        <f t="shared" si="48"/>
        <v>6</v>
      </c>
      <c r="C375" s="64">
        <f t="shared" si="47"/>
        <v>42538</v>
      </c>
      <c r="D375" s="64" t="s">
        <v>45</v>
      </c>
      <c r="E375" s="64">
        <v>42538</v>
      </c>
      <c r="F375" s="67" t="s">
        <v>972</v>
      </c>
      <c r="G375" s="375" t="s">
        <v>808</v>
      </c>
      <c r="H375" s="7" t="s">
        <v>333</v>
      </c>
      <c r="I375" s="514"/>
      <c r="J375" s="514"/>
      <c r="K375" s="506"/>
      <c r="L375" s="514"/>
      <c r="M375" s="65">
        <v>19800000</v>
      </c>
      <c r="N375" s="66" t="s">
        <v>451</v>
      </c>
      <c r="O375" s="66" t="s">
        <v>59</v>
      </c>
      <c r="P375" s="66" t="str">
        <f>IF(AND('331-CT'!$E$7=TH!H375,OR(N375="331",O375="331")),"x","")</f>
        <v/>
      </c>
      <c r="Q375" s="66" t="str">
        <f>IF(AND($B375&gt;='111'!$N$11,$B375&lt;='111'!$O$11,OR($N375=$Q$7,$O375=$Q$7)),"x","")</f>
        <v/>
      </c>
      <c r="R375" s="66" t="str">
        <f>IF(AND($N375=$Q$7,$B375&lt;'111'!$N$11),"x","")</f>
        <v/>
      </c>
      <c r="S375" s="66" t="str">
        <f>IF(AND($O375=$Q$7,$B375&lt;'111'!$N$11),"x","")</f>
        <v/>
      </c>
      <c r="T375" s="66" t="str">
        <f>IF(AND($B375&gt;='112'!$M$9,$B375&lt;='112'!$N$9,OR($N375='112'!$I$6,$O375='112'!$I$6)),"x","")</f>
        <v/>
      </c>
      <c r="U375" s="66" t="str">
        <f>IF(AND($N375='112'!$I$6,$B375&lt;'112'!$M$9),"x","")</f>
        <v/>
      </c>
      <c r="V375" s="66" t="str">
        <f>IF(AND($O375='112'!$I$6,$B375&lt;'112'!$M$9),"x","")</f>
        <v/>
      </c>
      <c r="W375" s="66" t="str">
        <f>IF(AND('131-CT'!$H$9=TH!H375,OR(N375="131",O375="131")),"x","")</f>
        <v/>
      </c>
      <c r="X375" s="66" t="str">
        <f>IF(AND($B375&gt;='1331'!$I$9,$B375&lt;='1331'!$J$9,OR($N375=$X$7,$O375=$X$7)),"x","")</f>
        <v/>
      </c>
      <c r="Y375" s="66" t="str">
        <f>IF(AND($N375=$X$7,$B375&lt;'1331'!$I$9),"x","")</f>
        <v/>
      </c>
      <c r="Z375" s="66" t="str">
        <f>IF(AND($O375=$X$7,$B375&lt;'1331'!$I$9),"x","")</f>
        <v/>
      </c>
      <c r="AA375" s="66" t="str">
        <f>IF(AND('341-CT'!$H$9=H375,OR(LEFT(N375,3)=$AA$7,LEFT(O375,3)=$AA$7)),"x","")</f>
        <v>x</v>
      </c>
      <c r="AB375" s="66" t="str">
        <f>IF(OR(TH!N375=TH!$AB$7,O375=TH!$AB$7),"x","")</f>
        <v/>
      </c>
      <c r="AC375" s="66" t="str">
        <f t="shared" si="44"/>
        <v>2</v>
      </c>
      <c r="AD375" s="66" t="str">
        <f>IF(AND(MONTH(E375)='IN-NX'!$J$5,'IN-NX'!$D$7=D375,OR(LEFT(TH!N375,2)="15",LEFT(TH!O375,2)="15")),"x","")</f>
        <v/>
      </c>
      <c r="AE375" s="66" t="str">
        <f>IF(AND(OR(LEFT(TH!N375,2)="15",LEFT(TH!O375,2)="15"),'152-CT'!$J$8=TH!F375),"x","")</f>
        <v/>
      </c>
      <c r="AF375" s="66" t="str">
        <f>IF(AND(OR(LEFT(TH!N375,2)="15",LEFT(TH!O375,2)="15"),'THE KHO'!$E$7=TH!F375),"x","")</f>
        <v/>
      </c>
      <c r="AG375" s="66" t="str">
        <f>IF(AND(N375="1521",MONTH(C375)='BK NL'!$M$11),"x","")</f>
        <v/>
      </c>
    </row>
    <row r="376" spans="1:35" ht="15.75" hidden="1" customHeight="1">
      <c r="A376" s="397" t="str">
        <f>IF(B376&lt;&gt;"",IF(AND(B376&gt;=_TM1,B376&lt;=_TM2,OR(TH!N376="1111",TH!O376="1111")),TH!D376,""),"")</f>
        <v/>
      </c>
      <c r="B376" s="63">
        <f t="shared" si="48"/>
        <v>6</v>
      </c>
      <c r="C376" s="64">
        <f t="shared" si="47"/>
        <v>42538</v>
      </c>
      <c r="D376" s="64" t="s">
        <v>12</v>
      </c>
      <c r="E376" s="64">
        <v>42538</v>
      </c>
      <c r="F376" s="67" t="s">
        <v>798</v>
      </c>
      <c r="G376" s="375" t="s">
        <v>808</v>
      </c>
      <c r="H376" s="74" t="s">
        <v>439</v>
      </c>
      <c r="I376" s="514"/>
      <c r="J376" s="514"/>
      <c r="K376" s="506"/>
      <c r="L376" s="514"/>
      <c r="M376" s="65">
        <v>1975000000</v>
      </c>
      <c r="N376" s="66" t="s">
        <v>31</v>
      </c>
      <c r="O376" s="66" t="s">
        <v>107</v>
      </c>
      <c r="P376" s="66" t="str">
        <f>IF(AND('331-CT'!$E$7=TH!H376,OR(N376="331",O376="331")),"x","")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IF(AND('131-CT'!$H$9=TH!H376,OR(N376="131",O376="131")),"x","")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IF(OR(TH!N376=TH!$AB$7,O376=TH!$AB$7),"x","")</f>
        <v>x</v>
      </c>
      <c r="AC376" s="66" t="str">
        <f t="shared" si="44"/>
        <v>2</v>
      </c>
      <c r="AD376" s="66" t="str">
        <f>IF(AND(MONTH(E376)='IN-NX'!$J$5,'IN-NX'!$D$7=D376,OR(LEFT(TH!N376,2)="15",LEFT(TH!O376,2)="15")),"x","")</f>
        <v/>
      </c>
      <c r="AE376" s="66" t="str">
        <f>IF(AND(OR(LEFT(TH!N376,2)="15",LEFT(TH!O376,2)="15"),'152-CT'!$J$8=TH!F376),"x","")</f>
        <v/>
      </c>
      <c r="AF376" s="66" t="str">
        <f>IF(AND(OR(LEFT(TH!N376,2)="15",LEFT(TH!O376,2)="15"),'THE KHO'!$E$7=TH!F376),"x","")</f>
        <v/>
      </c>
      <c r="AG376" s="66" t="str">
        <f>IF(AND(N376="1521",MONTH(C376)='BK NL'!$M$11),"x","")</f>
        <v/>
      </c>
    </row>
    <row r="377" spans="1:35" ht="15.75" hidden="1" customHeight="1">
      <c r="A377" s="397" t="str">
        <f>IF(B377&lt;&gt;"",IF(AND(B377&gt;=_TM1,B377&lt;=_TM2,OR(TH!N377="1111",TH!O377="1111")),TH!D377,""),"")</f>
        <v/>
      </c>
      <c r="B377" s="63">
        <f t="shared" si="48"/>
        <v>6</v>
      </c>
      <c r="C377" s="64">
        <f t="shared" si="47"/>
        <v>42538</v>
      </c>
      <c r="D377" s="64" t="s">
        <v>8</v>
      </c>
      <c r="E377" s="64">
        <v>42538</v>
      </c>
      <c r="F377" s="67" t="s">
        <v>976</v>
      </c>
      <c r="G377" s="375" t="s">
        <v>808</v>
      </c>
      <c r="H377" s="7" t="s">
        <v>333</v>
      </c>
      <c r="I377" s="514"/>
      <c r="J377" s="514"/>
      <c r="K377" s="506"/>
      <c r="L377" s="514"/>
      <c r="M377" s="65">
        <v>7210682</v>
      </c>
      <c r="N377" s="66" t="s">
        <v>134</v>
      </c>
      <c r="O377" s="66" t="s">
        <v>31</v>
      </c>
      <c r="P377" s="66" t="str">
        <f>IF(AND('331-CT'!$E$7=TH!H377,OR(N377="331",O377="331")),"x","")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IF(AND('131-CT'!$H$9=TH!H377,OR(N377="131",O377="131")),"x","")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IF(OR(TH!N377=TH!$AB$7,O377=TH!$AB$7),"x","")</f>
        <v/>
      </c>
      <c r="AC377" s="66" t="str">
        <f t="shared" si="44"/>
        <v>2</v>
      </c>
      <c r="AD377" s="66" t="str">
        <f>IF(AND(MONTH(E377)='IN-NX'!$J$5,'IN-NX'!$D$7=D377,OR(LEFT(TH!N377,2)="15",LEFT(TH!O377,2)="15")),"x","")</f>
        <v/>
      </c>
      <c r="AE377" s="66" t="str">
        <f>IF(AND(OR(LEFT(TH!N377,2)="15",LEFT(TH!O377,2)="15"),'152-CT'!$J$8=TH!F377),"x","")</f>
        <v/>
      </c>
      <c r="AF377" s="66" t="str">
        <f>IF(AND(OR(LEFT(TH!N377,2)="15",LEFT(TH!O377,2)="15"),'THE KHO'!$E$7=TH!F377),"x","")</f>
        <v/>
      </c>
      <c r="AG377" s="66" t="str">
        <f>IF(AND(N377="1521",MONTH(C377)='BK NL'!$M$11),"x","")</f>
        <v/>
      </c>
    </row>
    <row r="378" spans="1:35" ht="15.75" hidden="1" customHeight="1">
      <c r="A378" s="397" t="str">
        <f>IF(B378&lt;&gt;"",IF(AND(B378&gt;=_TM1,B378&lt;=_TM2,OR(TH!N378="1111",TH!O378="1111")),TH!D378,""),"")</f>
        <v/>
      </c>
      <c r="B378" s="63">
        <f t="shared" si="48"/>
        <v>6</v>
      </c>
      <c r="C378" s="64">
        <f t="shared" si="47"/>
        <v>42542</v>
      </c>
      <c r="D378" s="64" t="s">
        <v>852</v>
      </c>
      <c r="E378" s="64">
        <v>42542</v>
      </c>
      <c r="F378" s="67" t="s">
        <v>419</v>
      </c>
      <c r="G378" s="375" t="s">
        <v>808</v>
      </c>
      <c r="H378" s="74" t="s">
        <v>161</v>
      </c>
      <c r="I378" s="514"/>
      <c r="J378" s="514"/>
      <c r="K378" s="506"/>
      <c r="L378" s="514"/>
      <c r="M378" s="65">
        <v>100000000</v>
      </c>
      <c r="N378" s="66" t="s">
        <v>31</v>
      </c>
      <c r="O378" s="66" t="s">
        <v>98</v>
      </c>
      <c r="P378" s="66" t="str">
        <f>IF(AND('331-CT'!$E$7=TH!H378,OR(N378="331",O378="331")),"x","")</f>
        <v/>
      </c>
      <c r="Q378" s="66" t="str">
        <f>IF(AND($B378&gt;='111'!$N$11,$B378&lt;='111'!$O$11,OR($N378=$Q$7,$O378=$Q$7)),"x","")</f>
        <v>x</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IF(AND('131-CT'!$H$9=TH!H378,OR(N378="131",O378="131")),"x","")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IF(OR(TH!N378=TH!$AB$7,O378=TH!$AB$7),"x","")</f>
        <v/>
      </c>
      <c r="AC378" s="66" t="str">
        <f t="shared" si="44"/>
        <v>2</v>
      </c>
      <c r="AD378" s="66" t="str">
        <f>IF(AND(MONTH(E378)='IN-NX'!$J$5,'IN-NX'!$D$7=D378,OR(LEFT(TH!N378,2)="15",LEFT(TH!O378,2)="15")),"x","")</f>
        <v/>
      </c>
      <c r="AE378" s="66" t="str">
        <f>IF(AND(OR(LEFT(TH!N378,2)="15",LEFT(TH!O378,2)="15"),'152-CT'!$J$8=TH!F378),"x","")</f>
        <v/>
      </c>
      <c r="AF378" s="66" t="str">
        <f>IF(AND(OR(LEFT(TH!N378,2)="15",LEFT(TH!O378,2)="15"),'THE KHO'!$E$7=TH!F378),"x","")</f>
        <v/>
      </c>
      <c r="AG378" s="66" t="str">
        <f>IF(AND(N378="1521",MONTH(C378)='BK NL'!$M$11),"x","")</f>
        <v/>
      </c>
    </row>
    <row r="379" spans="1:35" ht="15.75" hidden="1" customHeight="1">
      <c r="A379" s="397" t="str">
        <f>IF(B379&lt;&gt;"",IF(AND(B379&gt;=_TM1,B379&lt;=_TM2,OR(TH!N379="1111",TH!O379="1111")),TH!D379,""),"")</f>
        <v/>
      </c>
      <c r="B379" s="63">
        <f t="shared" si="48"/>
        <v>6</v>
      </c>
      <c r="C379" s="64">
        <f t="shared" si="47"/>
        <v>42542</v>
      </c>
      <c r="D379" s="64" t="s">
        <v>852</v>
      </c>
      <c r="E379" s="64">
        <v>42542</v>
      </c>
      <c r="F379" s="67" t="s">
        <v>419</v>
      </c>
      <c r="G379" s="375" t="s">
        <v>808</v>
      </c>
      <c r="H379" s="74" t="s">
        <v>161</v>
      </c>
      <c r="I379" s="514"/>
      <c r="J379" s="514"/>
      <c r="K379" s="506"/>
      <c r="L379" s="514"/>
      <c r="M379" s="65">
        <v>70000000</v>
      </c>
      <c r="N379" s="66" t="s">
        <v>31</v>
      </c>
      <c r="O379" s="66" t="s">
        <v>98</v>
      </c>
      <c r="P379" s="66" t="str">
        <f>IF(AND('331-CT'!$E$7=TH!H379,OR(N379="331",O379="331")),"x","")</f>
        <v/>
      </c>
      <c r="Q379" s="66" t="str">
        <f>IF(AND($B379&gt;='111'!$N$11,$B379&lt;='111'!$O$11,OR($N379=$Q$7,$O379=$Q$7)),"x","")</f>
        <v>x</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IF(AND('131-CT'!$H$9=TH!H379,OR(N379="131",O379="131")),"x","")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IF(OR(TH!N379=TH!$AB$7,O379=TH!$AB$7),"x","")</f>
        <v/>
      </c>
      <c r="AC379" s="66" t="str">
        <f t="shared" si="44"/>
        <v>2</v>
      </c>
      <c r="AD379" s="66" t="str">
        <f>IF(AND(MONTH(E379)='IN-NX'!$J$5,'IN-NX'!$D$7=D379,OR(LEFT(TH!N379,2)="15",LEFT(TH!O379,2)="15")),"x","")</f>
        <v/>
      </c>
      <c r="AE379" s="66" t="str">
        <f>IF(AND(OR(LEFT(TH!N379,2)="15",LEFT(TH!O379,2)="15"),'152-CT'!$J$8=TH!F379),"x","")</f>
        <v/>
      </c>
      <c r="AF379" s="66" t="str">
        <f>IF(AND(OR(LEFT(TH!N379,2)="15",LEFT(TH!O379,2)="15"),'THE KHO'!$E$7=TH!F379),"x","")</f>
        <v/>
      </c>
      <c r="AG379" s="66" t="str">
        <f>IF(AND(N379="1521",MONTH(C379)='BK NL'!$M$11),"x","")</f>
        <v/>
      </c>
    </row>
    <row r="380" spans="1:35" ht="15.75" hidden="1" customHeight="1">
      <c r="A380" s="397" t="str">
        <f>IF(B380&lt;&gt;"",IF(AND(B380&gt;=_TM1,B380&lt;=_TM2,OR(TH!N380="1111",TH!O380="1111")),TH!D380,""),"")</f>
        <v/>
      </c>
      <c r="B380" s="63">
        <f t="shared" si="48"/>
        <v>6</v>
      </c>
      <c r="C380" s="64">
        <f t="shared" si="47"/>
        <v>42542</v>
      </c>
      <c r="D380" s="64" t="s">
        <v>8</v>
      </c>
      <c r="E380" s="64">
        <v>42542</v>
      </c>
      <c r="F380" s="67" t="s">
        <v>414</v>
      </c>
      <c r="G380" s="375" t="s">
        <v>808</v>
      </c>
      <c r="H380" s="74" t="s">
        <v>167</v>
      </c>
      <c r="I380" s="514"/>
      <c r="J380" s="514"/>
      <c r="K380" s="506"/>
      <c r="L380" s="514"/>
      <c r="M380" s="65">
        <v>8187032</v>
      </c>
      <c r="N380" s="66" t="s">
        <v>134</v>
      </c>
      <c r="O380" s="66" t="s">
        <v>31</v>
      </c>
      <c r="P380" s="66" t="str">
        <f>IF(AND('331-CT'!$E$7=TH!H380,OR(N380="331",O380="331")),"x","")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IF(AND('131-CT'!$H$9=TH!H380,OR(N380="131",O380="131")),"x","")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IF(OR(TH!N380=TH!$AB$7,O380=TH!$AB$7),"x","")</f>
        <v/>
      </c>
      <c r="AC380" s="66" t="str">
        <f t="shared" si="44"/>
        <v>2</v>
      </c>
      <c r="AD380" s="66" t="str">
        <f>IF(AND(MONTH(E380)='IN-NX'!$J$5,'IN-NX'!$D$7=D380,OR(LEFT(TH!N380,2)="15",LEFT(TH!O380,2)="15")),"x","")</f>
        <v/>
      </c>
      <c r="AE380" s="66" t="str">
        <f>IF(AND(OR(LEFT(TH!N380,2)="15",LEFT(TH!O380,2)="15"),'152-CT'!$J$8=TH!F380),"x","")</f>
        <v/>
      </c>
      <c r="AF380" s="66" t="str">
        <f>IF(AND(OR(LEFT(TH!N380,2)="15",LEFT(TH!O380,2)="15"),'THE KHO'!$E$7=TH!F380),"x","")</f>
        <v/>
      </c>
      <c r="AG380" s="66" t="str">
        <f>IF(AND(N380="1521",MONTH(C380)='BK NL'!$M$11),"x","")</f>
        <v/>
      </c>
    </row>
    <row r="381" spans="1:35" ht="15.75" hidden="1" customHeight="1">
      <c r="A381" s="397" t="str">
        <f>IF(B381&lt;&gt;"",IF(AND(B381&gt;=_TM1,B381&lt;=_TM2,OR(TH!N381="1111",TH!O381="1111")),TH!D381,""),"")</f>
        <v/>
      </c>
      <c r="B381" s="63">
        <f t="shared" si="48"/>
        <v>6</v>
      </c>
      <c r="C381" s="64">
        <f t="shared" si="47"/>
        <v>42542</v>
      </c>
      <c r="D381" s="64" t="s">
        <v>8</v>
      </c>
      <c r="E381" s="64">
        <v>42542</v>
      </c>
      <c r="F381" s="67" t="s">
        <v>414</v>
      </c>
      <c r="G381" s="375" t="s">
        <v>808</v>
      </c>
      <c r="H381" s="74" t="s">
        <v>168</v>
      </c>
      <c r="I381" s="514"/>
      <c r="J381" s="514"/>
      <c r="K381" s="506"/>
      <c r="L381" s="514"/>
      <c r="M381" s="65">
        <v>16374064</v>
      </c>
      <c r="N381" s="66" t="s">
        <v>134</v>
      </c>
      <c r="O381" s="66" t="s">
        <v>31</v>
      </c>
      <c r="P381" s="66" t="str">
        <f>IF(AND('331-CT'!$E$7=TH!H381,OR(N381="331",O381="331")),"x","")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IF(AND('131-CT'!$H$9=TH!H381,OR(N381="131",O381="131")),"x","")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IF(OR(TH!N381=TH!$AB$7,O381=TH!$AB$7),"x","")</f>
        <v/>
      </c>
      <c r="AC381" s="66" t="str">
        <f t="shared" si="44"/>
        <v>2</v>
      </c>
      <c r="AD381" s="66" t="str">
        <f>IF(AND(MONTH(E381)='IN-NX'!$J$5,'IN-NX'!$D$7=D381,OR(LEFT(TH!N381,2)="15",LEFT(TH!O381,2)="15")),"x","")</f>
        <v/>
      </c>
      <c r="AE381" s="66" t="str">
        <f>IF(AND(OR(LEFT(TH!N381,2)="15",LEFT(TH!O381,2)="15"),'152-CT'!$J$8=TH!F381),"x","")</f>
        <v/>
      </c>
      <c r="AF381" s="66" t="str">
        <f>IF(AND(OR(LEFT(TH!N381,2)="15",LEFT(TH!O381,2)="15"),'THE KHO'!$E$7=TH!F381),"x","")</f>
        <v/>
      </c>
      <c r="AG381" s="66" t="str">
        <f>IF(AND(N381="1521",MONTH(C381)='BK NL'!$M$11),"x","")</f>
        <v/>
      </c>
    </row>
    <row r="382" spans="1:35" ht="15.75" hidden="1" customHeight="1">
      <c r="A382" s="397" t="str">
        <f>IF(B382&lt;&gt;"",IF(AND(B382&gt;=_TM1,B382&lt;=_TM2,OR(TH!N382="1111",TH!O382="1111")),TH!D382,""),"")</f>
        <v/>
      </c>
      <c r="B382" s="63">
        <f t="shared" si="48"/>
        <v>6</v>
      </c>
      <c r="C382" s="64">
        <f t="shared" si="47"/>
        <v>42542</v>
      </c>
      <c r="D382" s="64" t="s">
        <v>8</v>
      </c>
      <c r="E382" s="64">
        <v>42542</v>
      </c>
      <c r="F382" s="67" t="s">
        <v>414</v>
      </c>
      <c r="G382" s="375" t="s">
        <v>808</v>
      </c>
      <c r="H382" s="75" t="s">
        <v>170</v>
      </c>
      <c r="I382" s="514"/>
      <c r="J382" s="514"/>
      <c r="K382" s="506"/>
      <c r="L382" s="514"/>
      <c r="M382" s="65">
        <v>13099251</v>
      </c>
      <c r="N382" s="66" t="s">
        <v>134</v>
      </c>
      <c r="O382" s="66" t="s">
        <v>31</v>
      </c>
      <c r="P382" s="66" t="str">
        <f>IF(AND('331-CT'!$E$7=TH!H382,OR(N382="331",O382="331")),"x","")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IF(AND('131-CT'!$H$9=TH!H382,OR(N382="131",O382="131")),"x","")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IF(OR(TH!N382=TH!$AB$7,O382=TH!$AB$7),"x","")</f>
        <v/>
      </c>
      <c r="AC382" s="66" t="str">
        <f t="shared" si="44"/>
        <v>2</v>
      </c>
      <c r="AD382" s="66" t="str">
        <f>IF(AND(MONTH(E382)='IN-NX'!$J$5,'IN-NX'!$D$7=D382,OR(LEFT(TH!N382,2)="15",LEFT(TH!O382,2)="15")),"x","")</f>
        <v/>
      </c>
      <c r="AE382" s="66" t="str">
        <f>IF(AND(OR(LEFT(TH!N382,2)="15",LEFT(TH!O382,2)="15"),'152-CT'!$J$8=TH!F382),"x","")</f>
        <v/>
      </c>
      <c r="AF382" s="66" t="str">
        <f>IF(AND(OR(LEFT(TH!N382,2)="15",LEFT(TH!O382,2)="15"),'THE KHO'!$E$7=TH!F382),"x","")</f>
        <v/>
      </c>
      <c r="AG382" s="66" t="str">
        <f>IF(AND(N382="1521",MONTH(C382)='BK NL'!$M$11),"x","")</f>
        <v/>
      </c>
    </row>
    <row r="383" spans="1:35" ht="15.75" hidden="1" customHeight="1">
      <c r="A383" s="397" t="str">
        <f>IF(B383&lt;&gt;"",IF(AND(B383&gt;=_TM1,B383&lt;=_TM2,OR(TH!N383="1111",TH!O383="1111")),TH!D383,""),"")</f>
        <v/>
      </c>
      <c r="B383" s="63">
        <f t="shared" si="48"/>
        <v>6</v>
      </c>
      <c r="C383" s="64">
        <f t="shared" si="47"/>
        <v>42542</v>
      </c>
      <c r="D383" s="64" t="s">
        <v>8</v>
      </c>
      <c r="E383" s="64">
        <v>42542</v>
      </c>
      <c r="F383" s="67" t="s">
        <v>414</v>
      </c>
      <c r="G383" s="375" t="s">
        <v>808</v>
      </c>
      <c r="H383" s="74" t="s">
        <v>169</v>
      </c>
      <c r="I383" s="514"/>
      <c r="J383" s="514"/>
      <c r="K383" s="506"/>
      <c r="L383" s="514"/>
      <c r="M383" s="65">
        <v>12280547</v>
      </c>
      <c r="N383" s="66" t="s">
        <v>134</v>
      </c>
      <c r="O383" s="66" t="s">
        <v>31</v>
      </c>
      <c r="P383" s="66" t="str">
        <f>IF(AND('331-CT'!$E$7=TH!H383,OR(N383="331",O383="331")),"x","")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IF(AND('131-CT'!$H$9=TH!H383,OR(N383="131",O383="131")),"x","")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IF(OR(TH!N383=TH!$AB$7,O383=TH!$AB$7),"x","")</f>
        <v/>
      </c>
      <c r="AC383" s="66" t="str">
        <f t="shared" si="44"/>
        <v>2</v>
      </c>
      <c r="AD383" s="66" t="str">
        <f>IF(AND(MONTH(E383)='IN-NX'!$J$5,'IN-NX'!$D$7=D383,OR(LEFT(TH!N383,2)="15",LEFT(TH!O383,2)="15")),"x","")</f>
        <v/>
      </c>
      <c r="AE383" s="66" t="str">
        <f>IF(AND(OR(LEFT(TH!N383,2)="15",LEFT(TH!O383,2)="15"),'152-CT'!$J$8=TH!F383),"x","")</f>
        <v/>
      </c>
      <c r="AF383" s="66" t="str">
        <f>IF(AND(OR(LEFT(TH!N383,2)="15",LEFT(TH!O383,2)="15"),'THE KHO'!$E$7=TH!F383),"x","")</f>
        <v/>
      </c>
      <c r="AG383" s="66" t="str">
        <f>IF(AND(N383="1521",MONTH(C383)='BK NL'!$M$11),"x","")</f>
        <v/>
      </c>
    </row>
    <row r="384" spans="1:35" ht="15.75" hidden="1" customHeight="1">
      <c r="A384" s="397" t="str">
        <f>IF(B384&lt;&gt;"",IF(AND(B384&gt;=_TM1,B384&lt;=_TM2,OR(TH!N384="1111",TH!O384="1111")),TH!D384,""),"")</f>
        <v/>
      </c>
      <c r="B384" s="63">
        <f t="shared" si="48"/>
        <v>6</v>
      </c>
      <c r="C384" s="64">
        <f t="shared" si="47"/>
        <v>42542</v>
      </c>
      <c r="D384" s="64" t="s">
        <v>8</v>
      </c>
      <c r="E384" s="64">
        <v>42542</v>
      </c>
      <c r="F384" s="67" t="s">
        <v>414</v>
      </c>
      <c r="G384" s="375" t="s">
        <v>808</v>
      </c>
      <c r="H384" s="74" t="s">
        <v>171</v>
      </c>
      <c r="I384" s="514"/>
      <c r="J384" s="514"/>
      <c r="K384" s="506"/>
      <c r="L384" s="514"/>
      <c r="M384" s="65">
        <v>8187032</v>
      </c>
      <c r="N384" s="66" t="s">
        <v>134</v>
      </c>
      <c r="O384" s="66" t="s">
        <v>31</v>
      </c>
      <c r="P384" s="66" t="str">
        <f>IF(AND('331-CT'!$E$7=TH!H384,OR(N384="331",O384="331")),"x","")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IF(AND('131-CT'!$H$9=TH!H384,OR(N384="131",O384="131")),"x","")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IF(OR(TH!N384=TH!$AB$7,O384=TH!$AB$7),"x","")</f>
        <v/>
      </c>
      <c r="AC384" s="66" t="str">
        <f t="shared" si="44"/>
        <v>2</v>
      </c>
      <c r="AD384" s="66" t="str">
        <f>IF(AND(MONTH(E384)='IN-NX'!$J$5,'IN-NX'!$D$7=D384,OR(LEFT(TH!N384,2)="15",LEFT(TH!O384,2)="15")),"x","")</f>
        <v/>
      </c>
      <c r="AE384" s="66" t="str">
        <f>IF(AND(OR(LEFT(TH!N384,2)="15",LEFT(TH!O384,2)="15"),'152-CT'!$J$8=TH!F384),"x","")</f>
        <v/>
      </c>
      <c r="AF384" s="66" t="str">
        <f>IF(AND(OR(LEFT(TH!N384,2)="15",LEFT(TH!O384,2)="15"),'THE KHO'!$E$7=TH!F384),"x","")</f>
        <v/>
      </c>
      <c r="AG384" s="66" t="str">
        <f>IF(AND(N384="1521",MONTH(C384)='BK NL'!$M$11),"x","")</f>
        <v/>
      </c>
    </row>
    <row r="385" spans="1:35" ht="15.75" hidden="1" customHeight="1">
      <c r="A385" s="397" t="str">
        <f>IF(B385&lt;&gt;"",IF(AND(B385&gt;=_TM1,B385&lt;=_TM2,OR(TH!N385="1111",TH!O385="1111")),TH!D385,""),"")</f>
        <v/>
      </c>
      <c r="B385" s="63">
        <f t="shared" si="48"/>
        <v>6</v>
      </c>
      <c r="C385" s="64">
        <f t="shared" si="47"/>
        <v>42542</v>
      </c>
      <c r="D385" s="64" t="s">
        <v>8</v>
      </c>
      <c r="E385" s="64">
        <v>42542</v>
      </c>
      <c r="F385" s="67" t="s">
        <v>414</v>
      </c>
      <c r="G385" s="375" t="s">
        <v>808</v>
      </c>
      <c r="H385" s="74" t="s">
        <v>172</v>
      </c>
      <c r="I385" s="514"/>
      <c r="J385" s="514"/>
      <c r="K385" s="506"/>
      <c r="L385" s="514"/>
      <c r="M385" s="65">
        <v>12280547</v>
      </c>
      <c r="N385" s="66" t="s">
        <v>134</v>
      </c>
      <c r="O385" s="66" t="s">
        <v>31</v>
      </c>
      <c r="P385" s="66" t="str">
        <f>IF(AND('331-CT'!$E$7=TH!H385,OR(N385="331",O385="331")),"x","")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IF(AND('131-CT'!$H$9=TH!H385,OR(N385="131",O385="131")),"x","")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IF(OR(TH!N385=TH!$AB$7,O385=TH!$AB$7),"x","")</f>
        <v/>
      </c>
      <c r="AC385" s="66" t="str">
        <f t="shared" si="44"/>
        <v>2</v>
      </c>
      <c r="AD385" s="66" t="str">
        <f>IF(AND(MONTH(E385)='IN-NX'!$J$5,'IN-NX'!$D$7=D385,OR(LEFT(TH!N385,2)="15",LEFT(TH!O385,2)="15")),"x","")</f>
        <v/>
      </c>
      <c r="AE385" s="66" t="str">
        <f>IF(AND(OR(LEFT(TH!N385,2)="15",LEFT(TH!O385,2)="15"),'152-CT'!$J$8=TH!F385),"x","")</f>
        <v/>
      </c>
      <c r="AF385" s="66" t="str">
        <f>IF(AND(OR(LEFT(TH!N385,2)="15",LEFT(TH!O385,2)="15"),'THE KHO'!$E$7=TH!F385),"x","")</f>
        <v/>
      </c>
      <c r="AG385" s="66" t="str">
        <f>IF(AND(N385="1521",MONTH(C385)='BK NL'!$M$11),"x","")</f>
        <v/>
      </c>
    </row>
    <row r="386" spans="1:35" ht="15.75" hidden="1" customHeight="1">
      <c r="A386" s="397" t="str">
        <f>IF(B386&lt;&gt;"",IF(AND(B386&gt;=_TM1,B386&lt;=_TM2,OR(TH!N386="1111",TH!O386="1111")),TH!D386,""),"")</f>
        <v/>
      </c>
      <c r="B386" s="63">
        <f t="shared" si="48"/>
        <v>6</v>
      </c>
      <c r="C386" s="64">
        <f t="shared" si="47"/>
        <v>42542</v>
      </c>
      <c r="D386" s="64" t="s">
        <v>8</v>
      </c>
      <c r="E386" s="64">
        <v>42542</v>
      </c>
      <c r="F386" s="67" t="s">
        <v>414</v>
      </c>
      <c r="G386" s="375" t="s">
        <v>808</v>
      </c>
      <c r="H386" s="74" t="s">
        <v>173</v>
      </c>
      <c r="I386" s="514"/>
      <c r="J386" s="514"/>
      <c r="K386" s="506"/>
      <c r="L386" s="514"/>
      <c r="M386" s="65">
        <v>16374064</v>
      </c>
      <c r="N386" s="66" t="s">
        <v>134</v>
      </c>
      <c r="O386" s="66" t="s">
        <v>31</v>
      </c>
      <c r="P386" s="66" t="str">
        <f>IF(AND('331-CT'!$E$7=TH!H386,OR(N386="331",O386="331")),"x","")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IF(AND('131-CT'!$H$9=TH!H386,OR(N386="131",O386="131")),"x","")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IF(OR(TH!N386=TH!$AB$7,O386=TH!$AB$7),"x","")</f>
        <v/>
      </c>
      <c r="AC386" s="66" t="str">
        <f t="shared" si="44"/>
        <v>2</v>
      </c>
      <c r="AD386" s="66" t="str">
        <f>IF(AND(MONTH(E386)='IN-NX'!$J$5,'IN-NX'!$D$7=D386,OR(LEFT(TH!N386,2)="15",LEFT(TH!O386,2)="15")),"x","")</f>
        <v/>
      </c>
      <c r="AE386" s="66" t="str">
        <f>IF(AND(OR(LEFT(TH!N386,2)="15",LEFT(TH!O386,2)="15"),'152-CT'!$J$8=TH!F386),"x","")</f>
        <v/>
      </c>
      <c r="AF386" s="66" t="str">
        <f>IF(AND(OR(LEFT(TH!N386,2)="15",LEFT(TH!O386,2)="15"),'THE KHO'!$E$7=TH!F386),"x","")</f>
        <v/>
      </c>
      <c r="AG386" s="66" t="str">
        <f>IF(AND(N386="1521",MONTH(C386)='BK NL'!$M$11),"x","")</f>
        <v/>
      </c>
    </row>
    <row r="387" spans="1:35" ht="15.75" hidden="1" customHeight="1">
      <c r="A387" s="397" t="str">
        <f>IF(B387&lt;&gt;"",IF(AND(B387&gt;=_TM1,B387&lt;=_TM2,OR(TH!N387="1111",TH!O387="1111")),TH!D387,""),"")</f>
        <v/>
      </c>
      <c r="B387" s="63">
        <f t="shared" si="48"/>
        <v>6</v>
      </c>
      <c r="C387" s="64">
        <f t="shared" si="47"/>
        <v>42542</v>
      </c>
      <c r="D387" s="64" t="s">
        <v>8</v>
      </c>
      <c r="E387" s="64">
        <v>42542</v>
      </c>
      <c r="F387" s="67" t="s">
        <v>414</v>
      </c>
      <c r="G387" s="375" t="s">
        <v>808</v>
      </c>
      <c r="H387" s="74" t="s">
        <v>174</v>
      </c>
      <c r="I387" s="514"/>
      <c r="J387" s="514"/>
      <c r="K387" s="506"/>
      <c r="L387" s="514"/>
      <c r="M387" s="65">
        <v>11461845</v>
      </c>
      <c r="N387" s="66" t="s">
        <v>134</v>
      </c>
      <c r="O387" s="66" t="s">
        <v>31</v>
      </c>
      <c r="P387" s="66" t="str">
        <f>IF(AND('331-CT'!$E$7=TH!H387,OR(N387="331",O387="331")),"x","")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IF(AND('131-CT'!$H$9=TH!H387,OR(N387="131",O387="131")),"x","")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IF(OR(TH!N387=TH!$AB$7,O387=TH!$AB$7),"x","")</f>
        <v/>
      </c>
      <c r="AC387" s="66" t="str">
        <f t="shared" si="44"/>
        <v>2</v>
      </c>
      <c r="AD387" s="66" t="str">
        <f>IF(AND(MONTH(E387)='IN-NX'!$J$5,'IN-NX'!$D$7=D387,OR(LEFT(TH!N387,2)="15",LEFT(TH!O387,2)="15")),"x","")</f>
        <v/>
      </c>
      <c r="AE387" s="66" t="str">
        <f>IF(AND(OR(LEFT(TH!N387,2)="15",LEFT(TH!O387,2)="15"),'152-CT'!$J$8=TH!F387),"x","")</f>
        <v/>
      </c>
      <c r="AF387" s="66" t="str">
        <f>IF(AND(OR(LEFT(TH!N387,2)="15",LEFT(TH!O387,2)="15"),'THE KHO'!$E$7=TH!F387),"x","")</f>
        <v/>
      </c>
      <c r="AG387" s="66" t="str">
        <f>IF(AND(N387="1521",MONTH(C387)='BK NL'!$M$11),"x","")</f>
        <v/>
      </c>
    </row>
    <row r="388" spans="1:35" ht="15.75" hidden="1" customHeight="1">
      <c r="A388" s="397" t="str">
        <f>IF(B388&lt;&gt;"",IF(AND(B388&gt;=_TM1,B388&lt;=_TM2,OR(TH!N388="1111",TH!O388="1111")),TH!D388,""),"")</f>
        <v/>
      </c>
      <c r="B388" s="63">
        <f t="shared" si="48"/>
        <v>6</v>
      </c>
      <c r="C388" s="64">
        <f t="shared" si="47"/>
        <v>42542</v>
      </c>
      <c r="D388" s="64" t="s">
        <v>8</v>
      </c>
      <c r="E388" s="64">
        <v>42542</v>
      </c>
      <c r="F388" s="67" t="s">
        <v>414</v>
      </c>
      <c r="G388" s="375" t="s">
        <v>808</v>
      </c>
      <c r="H388" s="404" t="s">
        <v>175</v>
      </c>
      <c r="I388" s="514"/>
      <c r="J388" s="514"/>
      <c r="K388" s="506"/>
      <c r="L388" s="514"/>
      <c r="M388" s="65">
        <v>12280547</v>
      </c>
      <c r="N388" s="66" t="s">
        <v>134</v>
      </c>
      <c r="O388" s="66" t="s">
        <v>31</v>
      </c>
      <c r="P388" s="66" t="str">
        <f>IF(AND('331-CT'!$E$7=TH!H388,OR(N388="331",O388="331")),"x","")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IF(AND('131-CT'!$H$9=TH!H388,OR(N388="131",O388="131")),"x","")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IF(OR(TH!N388=TH!$AB$7,O388=TH!$AB$7),"x","")</f>
        <v/>
      </c>
      <c r="AC388" s="66" t="str">
        <f t="shared" si="44"/>
        <v>2</v>
      </c>
      <c r="AD388" s="66" t="str">
        <f>IF(AND(MONTH(E388)='IN-NX'!$J$5,'IN-NX'!$D$7=D388,OR(LEFT(TH!N388,2)="15",LEFT(TH!O388,2)="15")),"x","")</f>
        <v/>
      </c>
      <c r="AE388" s="66" t="str">
        <f>IF(AND(OR(LEFT(TH!N388,2)="15",LEFT(TH!O388,2)="15"),'152-CT'!$J$8=TH!F388),"x","")</f>
        <v/>
      </c>
      <c r="AF388" s="66" t="str">
        <f>IF(AND(OR(LEFT(TH!N388,2)="15",LEFT(TH!O388,2)="15"),'THE KHO'!$E$7=TH!F388),"x","")</f>
        <v/>
      </c>
      <c r="AG388" s="66" t="str">
        <f>IF(AND(N388="1521",MONTH(C388)='BK NL'!$M$11),"x","")</f>
        <v/>
      </c>
    </row>
    <row r="389" spans="1:35" ht="15.75" hidden="1" customHeight="1">
      <c r="A389" s="397" t="str">
        <f>IF(B389&lt;&gt;"",IF(AND(B389&gt;=_TM1,B389&lt;=_TM2,OR(TH!N389="1111",TH!O389="1111")),TH!D389,""),"")</f>
        <v/>
      </c>
      <c r="B389" s="63">
        <f t="shared" si="48"/>
        <v>6</v>
      </c>
      <c r="C389" s="64">
        <f t="shared" si="47"/>
        <v>42542</v>
      </c>
      <c r="D389" s="64" t="s">
        <v>8</v>
      </c>
      <c r="E389" s="64">
        <v>42542</v>
      </c>
      <c r="F389" s="67" t="s">
        <v>414</v>
      </c>
      <c r="G389" s="375" t="s">
        <v>808</v>
      </c>
      <c r="H389" s="74" t="s">
        <v>177</v>
      </c>
      <c r="I389" s="514"/>
      <c r="J389" s="514"/>
      <c r="K389" s="506"/>
      <c r="L389" s="514"/>
      <c r="M389" s="65">
        <v>12280547</v>
      </c>
      <c r="N389" s="66" t="s">
        <v>134</v>
      </c>
      <c r="O389" s="66" t="s">
        <v>31</v>
      </c>
      <c r="P389" s="66" t="str">
        <f>IF(AND('331-CT'!$E$7=TH!H389,OR(N389="331",O389="331")),"x","")</f>
        <v/>
      </c>
      <c r="Q389" s="66" t="str">
        <f>IF(AND($B389&gt;='111'!$N$11,$B389&lt;='111'!$O$11,OR($N389=$Q$7,$O389=$Q$7)),"x","")</f>
        <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IF(AND('131-CT'!$H$9=TH!H389,OR(N389="131",O389="131")),"x","")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IF(OR(TH!N389=TH!$AB$7,O389=TH!$AB$7),"x","")</f>
        <v/>
      </c>
      <c r="AC389" s="66" t="str">
        <f t="shared" si="44"/>
        <v>2</v>
      </c>
      <c r="AD389" s="66" t="str">
        <f>IF(AND(MONTH(E389)='IN-NX'!$J$5,'IN-NX'!$D$7=D389,OR(LEFT(TH!N389,2)="15",LEFT(TH!O389,2)="15")),"x","")</f>
        <v/>
      </c>
      <c r="AE389" s="66" t="str">
        <f>IF(AND(OR(LEFT(TH!N389,2)="15",LEFT(TH!O389,2)="15"),'152-CT'!$J$8=TH!F389),"x","")</f>
        <v/>
      </c>
      <c r="AF389" s="66" t="str">
        <f>IF(AND(OR(LEFT(TH!N389,2)="15",LEFT(TH!O389,2)="15"),'THE KHO'!$E$7=TH!F389),"x","")</f>
        <v/>
      </c>
      <c r="AG389" s="66" t="str">
        <f>IF(AND(N389="1521",MONTH(C389)='BK NL'!$M$11),"x","")</f>
        <v/>
      </c>
    </row>
    <row r="390" spans="1:35" ht="15.75" hidden="1" customHeight="1">
      <c r="A390" s="397" t="str">
        <f>IF(B390&lt;&gt;"",IF(AND(B390&gt;=_TM1,B390&lt;=_TM2,OR(TH!N390="1111",TH!O390="1111")),TH!D390,""),"")</f>
        <v/>
      </c>
      <c r="B390" s="154">
        <f t="shared" si="48"/>
        <v>6</v>
      </c>
      <c r="C390" s="64">
        <f t="shared" si="47"/>
        <v>42542</v>
      </c>
      <c r="D390" s="64" t="s">
        <v>8</v>
      </c>
      <c r="E390" s="64">
        <v>42542</v>
      </c>
      <c r="F390" s="67" t="s">
        <v>414</v>
      </c>
      <c r="G390" s="375" t="s">
        <v>808</v>
      </c>
      <c r="H390" s="404" t="s">
        <v>180</v>
      </c>
      <c r="I390" s="518"/>
      <c r="J390" s="518"/>
      <c r="K390" s="510"/>
      <c r="L390" s="518"/>
      <c r="M390" s="65">
        <v>12280547</v>
      </c>
      <c r="N390" s="66" t="s">
        <v>134</v>
      </c>
      <c r="O390" s="66" t="s">
        <v>31</v>
      </c>
      <c r="P390" s="66" t="str">
        <f>IF(AND('331-CT'!$E$7=TH!H390,OR(N390="331",O390="331")),"x","")</f>
        <v/>
      </c>
      <c r="Q390" s="66" t="str">
        <f>IF(AND($B390&gt;='111'!$N$11,$B390&lt;='111'!$O$11,OR($N390=$Q$7,$O390=$Q$7)),"x","")</f>
        <v/>
      </c>
      <c r="R390" s="66" t="str">
        <f>IF(AND($N390=$Q$7,$B390&lt;'111'!$N$11),"x","")</f>
        <v/>
      </c>
      <c r="S390" s="66" t="str">
        <f>IF(AND($O390=$Q$7,$B390&lt;'111'!$N$11),"x","")</f>
        <v/>
      </c>
      <c r="T390" s="66" t="str">
        <f>IF(AND($B390&gt;='112'!$M$9,$B390&lt;='112'!$N$9,OR($N390='112'!$I$6,$O390='112'!$I$6)),"x","")</f>
        <v>x</v>
      </c>
      <c r="U390" s="66" t="str">
        <f>IF(AND($N390='112'!$I$6,$B390&lt;'112'!$M$9),"x","")</f>
        <v/>
      </c>
      <c r="V390" s="66" t="str">
        <f>IF(AND($O390='112'!$I$6,$B390&lt;'112'!$M$9),"x","")</f>
        <v/>
      </c>
      <c r="W390" s="66" t="str">
        <f>IF(AND('131-CT'!$H$9=TH!H390,OR(N390="131",O390="131")),"x","")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IF(OR(TH!N390=TH!$AB$7,O390=TH!$AB$7),"x","")</f>
        <v/>
      </c>
      <c r="AC390" s="66" t="str">
        <f t="shared" si="44"/>
        <v>2</v>
      </c>
      <c r="AD390" s="66" t="str">
        <f>IF(AND(MONTH(E390)='IN-NX'!$J$5,'IN-NX'!$D$7=D390,OR(LEFT(TH!N390,2)="15",LEFT(TH!O390,2)="15")),"x","")</f>
        <v/>
      </c>
      <c r="AE390" s="66" t="str">
        <f>IF(AND(OR(LEFT(TH!N390,2)="15",LEFT(TH!O390,2)="15"),'152-CT'!$J$8=TH!F390),"x","")</f>
        <v/>
      </c>
      <c r="AF390" s="66" t="str">
        <f>IF(AND(OR(LEFT(TH!N390,2)="15",LEFT(TH!O390,2)="15"),'THE KHO'!$E$7=TH!F390),"x","")</f>
        <v/>
      </c>
      <c r="AG390" s="66" t="str">
        <f>IF(AND(N390="1521",MONTH(C390)='BK NL'!$M$11),"x","")</f>
        <v/>
      </c>
      <c r="AH390" s="407"/>
    </row>
    <row r="391" spans="1:35" s="407" customFormat="1" ht="15.75" hidden="1" customHeight="1">
      <c r="A391" s="397" t="str">
        <f>IF(B391&lt;&gt;"",IF(AND(B391&gt;=_TM1,B391&lt;=_TM2,OR(TH!N391="1111",TH!O391="1111")),TH!D391,""),"")</f>
        <v/>
      </c>
      <c r="B391" s="63">
        <f t="shared" si="48"/>
        <v>6</v>
      </c>
      <c r="C391" s="64">
        <f t="shared" si="47"/>
        <v>42542</v>
      </c>
      <c r="D391" s="64" t="s">
        <v>8</v>
      </c>
      <c r="E391" s="64">
        <v>42542</v>
      </c>
      <c r="F391" s="67" t="s">
        <v>414</v>
      </c>
      <c r="G391" s="375" t="s">
        <v>808</v>
      </c>
      <c r="H391" s="74" t="s">
        <v>181</v>
      </c>
      <c r="I391" s="514"/>
      <c r="J391" s="514"/>
      <c r="K391" s="506"/>
      <c r="L391" s="514"/>
      <c r="M391" s="65">
        <v>8187032</v>
      </c>
      <c r="N391" s="66" t="s">
        <v>134</v>
      </c>
      <c r="O391" s="66" t="s">
        <v>31</v>
      </c>
      <c r="P391" s="66" t="str">
        <f>IF(AND('331-CT'!$E$7=TH!H391,OR(N391="331",O391="331")),"x","")</f>
        <v/>
      </c>
      <c r="Q391" s="66" t="str">
        <f>IF(AND($B391&gt;='111'!$N$11,$B391&lt;='111'!$O$11,OR($N391=$Q$7,$O391=$Q$7)),"x","")</f>
        <v/>
      </c>
      <c r="R391" s="66" t="str">
        <f>IF(AND($N391=$Q$7,$B391&lt;'111'!$N$11),"x","")</f>
        <v/>
      </c>
      <c r="S391" s="66" t="str">
        <f>IF(AND($O391=$Q$7,$B391&lt;'111'!$N$11),"x","")</f>
        <v/>
      </c>
      <c r="T391" s="66" t="str">
        <f>IF(AND($B391&gt;='112'!$M$9,$B391&lt;='112'!$N$9,OR($N391='112'!$I$6,$O391='112'!$I$6)),"x","")</f>
        <v>x</v>
      </c>
      <c r="U391" s="66" t="str">
        <f>IF(AND($N391='112'!$I$6,$B391&lt;'112'!$M$9),"x","")</f>
        <v/>
      </c>
      <c r="V391" s="66" t="str">
        <f>IF(AND($O391='112'!$I$6,$B391&lt;'112'!$M$9),"x","")</f>
        <v/>
      </c>
      <c r="W391" s="66" t="str">
        <f>IF(AND('131-CT'!$H$9=TH!H391,OR(N391="131",O391="131")),"x","")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IF(OR(TH!N391=TH!$AB$7,O391=TH!$AB$7),"x","")</f>
        <v/>
      </c>
      <c r="AC391" s="66" t="str">
        <f t="shared" si="44"/>
        <v>2</v>
      </c>
      <c r="AD391" s="66" t="str">
        <f>IF(AND(MONTH(E391)='IN-NX'!$J$5,'IN-NX'!$D$7=D391,OR(LEFT(TH!N391,2)="15",LEFT(TH!O391,2)="15")),"x","")</f>
        <v/>
      </c>
      <c r="AE391" s="66" t="str">
        <f>IF(AND(OR(LEFT(TH!N391,2)="15",LEFT(TH!O391,2)="15"),'152-CT'!$J$8=TH!F391),"x","")</f>
        <v/>
      </c>
      <c r="AF391" s="66" t="str">
        <f>IF(AND(OR(LEFT(TH!N391,2)="15",LEFT(TH!O391,2)="15"),'THE KHO'!$E$7=TH!F391),"x","")</f>
        <v/>
      </c>
      <c r="AG391" s="66" t="str">
        <f>IF(AND(N391="1521",MONTH(C391)='BK NL'!$M$11),"x","")</f>
        <v/>
      </c>
      <c r="AH391" s="386"/>
      <c r="AI391" s="386"/>
    </row>
    <row r="392" spans="1:35" ht="15.75" hidden="1" customHeight="1">
      <c r="A392" s="397" t="str">
        <f>IF(B392&lt;&gt;"",IF(AND(B392&gt;=_TM1,B392&lt;=_TM2,OR(TH!N392="1111",TH!O392="1111")),TH!D392,""),"")</f>
        <v/>
      </c>
      <c r="B392" s="63">
        <f t="shared" si="48"/>
        <v>6</v>
      </c>
      <c r="C392" s="64">
        <f t="shared" si="47"/>
        <v>42542</v>
      </c>
      <c r="D392" s="64" t="s">
        <v>8</v>
      </c>
      <c r="E392" s="64">
        <v>42542</v>
      </c>
      <c r="F392" s="67" t="s">
        <v>414</v>
      </c>
      <c r="G392" s="375" t="s">
        <v>808</v>
      </c>
      <c r="H392" s="74" t="s">
        <v>185</v>
      </c>
      <c r="I392" s="514"/>
      <c r="J392" s="514"/>
      <c r="K392" s="506"/>
      <c r="L392" s="514"/>
      <c r="M392" s="65">
        <v>8187032</v>
      </c>
      <c r="N392" s="66" t="s">
        <v>134</v>
      </c>
      <c r="O392" s="66" t="s">
        <v>31</v>
      </c>
      <c r="P392" s="66" t="str">
        <f>IF(AND('331-CT'!$E$7=TH!H392,OR(N392="331",O392="331")),"x","")</f>
        <v/>
      </c>
      <c r="Q392" s="66" t="str">
        <f>IF(AND($B392&gt;='111'!$N$11,$B392&lt;='111'!$O$11,OR($N392=$Q$7,$O392=$Q$7)),"x","")</f>
        <v/>
      </c>
      <c r="R392" s="66" t="str">
        <f>IF(AND($N392=$Q$7,$B392&lt;'111'!$N$11),"x","")</f>
        <v/>
      </c>
      <c r="S392" s="66" t="str">
        <f>IF(AND($O392=$Q$7,$B392&lt;'111'!$N$11),"x","")</f>
        <v/>
      </c>
      <c r="T392" s="66" t="str">
        <f>IF(AND($B392&gt;='112'!$M$9,$B392&lt;='112'!$N$9,OR($N392='112'!$I$6,$O392='112'!$I$6)),"x","")</f>
        <v>x</v>
      </c>
      <c r="U392" s="66" t="str">
        <f>IF(AND($N392='112'!$I$6,$B392&lt;'112'!$M$9),"x","")</f>
        <v/>
      </c>
      <c r="V392" s="66" t="str">
        <f>IF(AND($O392='112'!$I$6,$B392&lt;'112'!$M$9),"x","")</f>
        <v/>
      </c>
      <c r="W392" s="66" t="str">
        <f>IF(AND('131-CT'!$H$9=TH!H392,OR(N392="131",O392="131")),"x","")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IF(OR(TH!N392=TH!$AB$7,O392=TH!$AB$7),"x","")</f>
        <v/>
      </c>
      <c r="AC392" s="66" t="str">
        <f t="shared" si="44"/>
        <v>2</v>
      </c>
      <c r="AD392" s="66" t="str">
        <f>IF(AND(MONTH(E392)='IN-NX'!$J$5,'IN-NX'!$D$7=D392,OR(LEFT(TH!N392,2)="15",LEFT(TH!O392,2)="15")),"x","")</f>
        <v/>
      </c>
      <c r="AE392" s="66" t="str">
        <f>IF(AND(OR(LEFT(TH!N392,2)="15",LEFT(TH!O392,2)="15"),'152-CT'!$J$8=TH!F392),"x","")</f>
        <v/>
      </c>
      <c r="AF392" s="66" t="str">
        <f>IF(AND(OR(LEFT(TH!N392,2)="15",LEFT(TH!O392,2)="15"),'THE KHO'!$E$7=TH!F392),"x","")</f>
        <v/>
      </c>
      <c r="AG392" s="66" t="str">
        <f>IF(AND(N392="1521",MONTH(C392)='BK NL'!$M$11),"x","")</f>
        <v/>
      </c>
    </row>
    <row r="393" spans="1:35" ht="15.75" hidden="1" customHeight="1">
      <c r="A393" s="397" t="str">
        <f>IF(B393&lt;&gt;"",IF(AND(B393&gt;=_TM1,B393&lt;=_TM2,OR(TH!N393="1111",TH!O393="1111")),TH!D393,""),"")</f>
        <v/>
      </c>
      <c r="B393" s="63">
        <f t="shared" si="48"/>
        <v>6</v>
      </c>
      <c r="C393" s="64">
        <f t="shared" si="47"/>
        <v>42543</v>
      </c>
      <c r="D393" s="64" t="s">
        <v>12</v>
      </c>
      <c r="E393" s="64">
        <v>42543</v>
      </c>
      <c r="F393" s="67" t="s">
        <v>974</v>
      </c>
      <c r="G393" s="375" t="s">
        <v>808</v>
      </c>
      <c r="H393" s="405" t="s">
        <v>975</v>
      </c>
      <c r="I393" s="517"/>
      <c r="J393" s="517"/>
      <c r="K393" s="509">
        <v>88000</v>
      </c>
      <c r="L393" s="517">
        <v>22290</v>
      </c>
      <c r="M393" s="65">
        <f>ROUND(K393*L393,0)</f>
        <v>1961520000</v>
      </c>
      <c r="N393" s="66" t="s">
        <v>31</v>
      </c>
      <c r="O393" s="66" t="s">
        <v>451</v>
      </c>
      <c r="P393" s="66" t="str">
        <f>IF(AND('331-CT'!$E$7=TH!H393,OR(N393="331",O393="331")),"x","")</f>
        <v/>
      </c>
      <c r="Q393" s="66" t="str">
        <f>IF(AND($B393&gt;='111'!$N$11,$B393&lt;='111'!$O$11,OR($N393=$Q$7,$O393=$Q$7)),"x","")</f>
        <v/>
      </c>
      <c r="R393" s="66" t="str">
        <f>IF(AND($N393=$Q$7,$B393&lt;'111'!$N$11),"x","")</f>
        <v/>
      </c>
      <c r="S393" s="66" t="str">
        <f>IF(AND($O393=$Q$7,$B393&lt;'111'!$N$11),"x","")</f>
        <v/>
      </c>
      <c r="T393" s="66" t="str">
        <f>IF(AND($B393&gt;='112'!$M$9,$B393&lt;='112'!$N$9,OR($N393='112'!$I$6,$O393='112'!$I$6)),"x","")</f>
        <v>x</v>
      </c>
      <c r="U393" s="66" t="str">
        <f>IF(AND($N393='112'!$I$6,$B393&lt;'112'!$M$9),"x","")</f>
        <v/>
      </c>
      <c r="V393" s="66" t="str">
        <f>IF(AND($O393='112'!$I$6,$B393&lt;'112'!$M$9),"x","")</f>
        <v/>
      </c>
      <c r="W393" s="66" t="str">
        <f>IF(AND('131-CT'!$H$9=TH!H393,OR(N393="131",O393="131")),"x","")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IF(OR(TH!N393=TH!$AB$7,O393=TH!$AB$7),"x","")</f>
        <v/>
      </c>
      <c r="AC393" s="66" t="str">
        <f t="shared" si="44"/>
        <v>2</v>
      </c>
      <c r="AD393" s="66" t="str">
        <f>IF(AND(MONTH(E393)='IN-NX'!$J$5,'IN-NX'!$D$7=D393,OR(LEFT(TH!N393,2)="15",LEFT(TH!O393,2)="15")),"x","")</f>
        <v/>
      </c>
      <c r="AE393" s="66" t="str">
        <f>IF(AND(OR(LEFT(TH!N393,2)="15",LEFT(TH!O393,2)="15"),'152-CT'!$J$8=TH!F393),"x","")</f>
        <v/>
      </c>
      <c r="AF393" s="66" t="str">
        <f>IF(AND(OR(LEFT(TH!N393,2)="15",LEFT(TH!O393,2)="15"),'THE KHO'!$E$7=TH!F393),"x","")</f>
        <v/>
      </c>
      <c r="AG393" s="66" t="str">
        <f>IF(AND(N393="1521",MONTH(C393)='BK NL'!$M$11),"x","")</f>
        <v/>
      </c>
    </row>
    <row r="394" spans="1:35" s="406" customFormat="1" ht="15.75" hidden="1" customHeight="1">
      <c r="A394" s="397" t="str">
        <f>IF(B394&lt;&gt;"",IF(AND(B394&gt;=_TM1,B394&lt;=_TM2,OR(TH!N394="1111",TH!O394="1111")),TH!D394,""),"")</f>
        <v/>
      </c>
      <c r="B394" s="81">
        <f t="shared" si="48"/>
        <v>6</v>
      </c>
      <c r="C394" s="64">
        <f t="shared" si="47"/>
        <v>42543</v>
      </c>
      <c r="D394" s="64" t="s">
        <v>8</v>
      </c>
      <c r="E394" s="64">
        <v>42543</v>
      </c>
      <c r="F394" s="67" t="s">
        <v>414</v>
      </c>
      <c r="G394" s="375" t="s">
        <v>808</v>
      </c>
      <c r="H394" s="74" t="s">
        <v>176</v>
      </c>
      <c r="I394" s="512"/>
      <c r="J394" s="512"/>
      <c r="K394" s="504"/>
      <c r="L394" s="512"/>
      <c r="M394" s="65">
        <v>12280547</v>
      </c>
      <c r="N394" s="66" t="s">
        <v>134</v>
      </c>
      <c r="O394" s="66" t="s">
        <v>31</v>
      </c>
      <c r="P394" s="66" t="str">
        <f>IF(AND('331-CT'!$E$7=TH!H394,OR(N394="331",O394="331")),"x","")</f>
        <v/>
      </c>
      <c r="Q394" s="66" t="str">
        <f>IF(AND($B394&gt;='111'!$N$11,$B394&lt;='111'!$O$11,OR($N394=$Q$7,$O394=$Q$7)),"x","")</f>
        <v/>
      </c>
      <c r="R394" s="66" t="str">
        <f>IF(AND($N394=$Q$7,$B394&lt;'111'!$N$11),"x","")</f>
        <v/>
      </c>
      <c r="S394" s="66" t="str">
        <f>IF(AND($O394=$Q$7,$B394&lt;'111'!$N$11),"x","")</f>
        <v/>
      </c>
      <c r="T394" s="66" t="str">
        <f>IF(AND($B394&gt;='112'!$M$9,$B394&lt;='112'!$N$9,OR($N394='112'!$I$6,$O394='112'!$I$6)),"x","")</f>
        <v>x</v>
      </c>
      <c r="U394" s="66" t="str">
        <f>IF(AND($N394='112'!$I$6,$B394&lt;'112'!$M$9),"x","")</f>
        <v/>
      </c>
      <c r="V394" s="66" t="str">
        <f>IF(AND($O394='112'!$I$6,$B394&lt;'112'!$M$9),"x","")</f>
        <v/>
      </c>
      <c r="W394" s="66" t="str">
        <f>IF(AND('131-CT'!$H$9=TH!H394,OR(N394="131",O394="131")),"x","")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IF(OR(TH!N394=TH!$AB$7,O394=TH!$AB$7),"x","")</f>
        <v/>
      </c>
      <c r="AC394" s="66" t="str">
        <f t="shared" si="44"/>
        <v>2</v>
      </c>
      <c r="AD394" s="66" t="str">
        <f>IF(AND(MONTH(E394)='IN-NX'!$J$5,'IN-NX'!$D$7=D394,OR(LEFT(TH!N394,2)="15",LEFT(TH!O394,2)="15")),"x","")</f>
        <v/>
      </c>
      <c r="AE394" s="66" t="str">
        <f>IF(AND(OR(LEFT(TH!N394,2)="15",LEFT(TH!O394,2)="15"),'152-CT'!$J$8=TH!F394),"x","")</f>
        <v/>
      </c>
      <c r="AF394" s="66" t="str">
        <f>IF(AND(OR(LEFT(TH!N394,2)="15",LEFT(TH!O394,2)="15"),'THE KHO'!$E$7=TH!F394),"x","")</f>
        <v/>
      </c>
      <c r="AG394" s="66" t="str">
        <f>IF(AND(N394="1521",MONTH(C394)='BK NL'!$M$11),"x","")</f>
        <v/>
      </c>
      <c r="AI394" s="386"/>
    </row>
    <row r="395" spans="1:35" ht="15.75" hidden="1" customHeight="1">
      <c r="A395" s="397" t="str">
        <f>IF(B395&lt;&gt;"",IF(AND(B395&gt;=_TM1,B395&lt;=_TM2,OR(TH!N395="1111",TH!O395="1111")),TH!D395,""),"")</f>
        <v/>
      </c>
      <c r="B395" s="63">
        <f t="shared" si="48"/>
        <v>6</v>
      </c>
      <c r="C395" s="64">
        <f t="shared" si="47"/>
        <v>42543</v>
      </c>
      <c r="D395" s="64" t="s">
        <v>8</v>
      </c>
      <c r="E395" s="64">
        <v>42543</v>
      </c>
      <c r="F395" s="67" t="s">
        <v>977</v>
      </c>
      <c r="G395" s="375" t="s">
        <v>808</v>
      </c>
      <c r="H395" s="74" t="s">
        <v>439</v>
      </c>
      <c r="I395" s="514"/>
      <c r="J395" s="514"/>
      <c r="K395" s="506"/>
      <c r="L395" s="514"/>
      <c r="M395" s="65">
        <v>8000000</v>
      </c>
      <c r="N395" s="66" t="s">
        <v>107</v>
      </c>
      <c r="O395" s="66" t="s">
        <v>31</v>
      </c>
      <c r="P395" s="66" t="str">
        <f>IF(AND('331-CT'!$E$7=TH!H395,OR(N395="331",O395="331")),"x","")</f>
        <v/>
      </c>
      <c r="Q395" s="66" t="str">
        <f>IF(AND($B395&gt;='111'!$N$11,$B395&lt;='111'!$O$11,OR($N395=$Q$7,$O395=$Q$7)),"x","")</f>
        <v/>
      </c>
      <c r="R395" s="66" t="str">
        <f>IF(AND($N395=$Q$7,$B395&lt;'111'!$N$11),"x","")</f>
        <v/>
      </c>
      <c r="S395" s="66" t="str">
        <f>IF(AND($O395=$Q$7,$B395&lt;'111'!$N$11),"x","")</f>
        <v/>
      </c>
      <c r="T395" s="66" t="str">
        <f>IF(AND($B395&gt;='112'!$M$9,$B395&lt;='112'!$N$9,OR($N395='112'!$I$6,$O395='112'!$I$6)),"x","")</f>
        <v>x</v>
      </c>
      <c r="U395" s="66" t="str">
        <f>IF(AND($N395='112'!$I$6,$B395&lt;'112'!$M$9),"x","")</f>
        <v/>
      </c>
      <c r="V395" s="66" t="str">
        <f>IF(AND($O395='112'!$I$6,$B395&lt;'112'!$M$9),"x","")</f>
        <v/>
      </c>
      <c r="W395" s="66" t="str">
        <f>IF(AND('131-CT'!$H$9=TH!H395,OR(N395="131",O395="131")),"x","")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IF(OR(TH!N395=TH!$AB$7,O395=TH!$AB$7),"x","")</f>
        <v>x</v>
      </c>
      <c r="AC395" s="66" t="str">
        <f t="shared" si="44"/>
        <v>2</v>
      </c>
      <c r="AD395" s="66" t="str">
        <f>IF(AND(MONTH(E395)='IN-NX'!$J$5,'IN-NX'!$D$7=D395,OR(LEFT(TH!N395,2)="15",LEFT(TH!O395,2)="15")),"x","")</f>
        <v/>
      </c>
      <c r="AE395" s="66" t="str">
        <f>IF(AND(OR(LEFT(TH!N395,2)="15",LEFT(TH!O395,2)="15"),'152-CT'!$J$8=TH!F395),"x","")</f>
        <v/>
      </c>
      <c r="AF395" s="66" t="str">
        <f>IF(AND(OR(LEFT(TH!N395,2)="15",LEFT(TH!O395,2)="15"),'THE KHO'!$E$7=TH!F395),"x","")</f>
        <v/>
      </c>
      <c r="AG395" s="66" t="str">
        <f>IF(AND(N395="1521",MONTH(C395)='BK NL'!$M$11),"x","")</f>
        <v/>
      </c>
    </row>
    <row r="396" spans="1:35" ht="15.75" hidden="1" customHeight="1">
      <c r="A396" s="397" t="str">
        <f>IF(B396&lt;&gt;"",IF(AND(B396&gt;=_TM1,B396&lt;=_TM2,OR(TH!N396="1111",TH!O396="1111")),TH!D396,""),"")</f>
        <v/>
      </c>
      <c r="B396" s="63">
        <f t="shared" si="48"/>
        <v>6</v>
      </c>
      <c r="C396" s="64">
        <f t="shared" si="47"/>
        <v>42543</v>
      </c>
      <c r="D396" s="64" t="s">
        <v>8</v>
      </c>
      <c r="E396" s="64">
        <v>42543</v>
      </c>
      <c r="F396" s="67" t="s">
        <v>978</v>
      </c>
      <c r="G396" s="375" t="s">
        <v>808</v>
      </c>
      <c r="H396" s="74" t="s">
        <v>439</v>
      </c>
      <c r="I396" s="514"/>
      <c r="J396" s="514"/>
      <c r="K396" s="506"/>
      <c r="L396" s="514"/>
      <c r="M396" s="65">
        <v>7000000</v>
      </c>
      <c r="N396" s="66" t="s">
        <v>107</v>
      </c>
      <c r="O396" s="66" t="s">
        <v>31</v>
      </c>
      <c r="P396" s="66" t="str">
        <f>IF(AND('331-CT'!$E$7=TH!H396,OR(N396="331",O396="331")),"x","")</f>
        <v/>
      </c>
      <c r="Q396" s="66" t="str">
        <f>IF(AND($B396&gt;='111'!$N$11,$B396&lt;='111'!$O$11,OR($N396=$Q$7,$O396=$Q$7)),"x","")</f>
        <v/>
      </c>
      <c r="R396" s="66" t="str">
        <f>IF(AND($N396=$Q$7,$B396&lt;'111'!$N$11),"x","")</f>
        <v/>
      </c>
      <c r="S396" s="66" t="str">
        <f>IF(AND($O396=$Q$7,$B396&lt;'111'!$N$11),"x","")</f>
        <v/>
      </c>
      <c r="T396" s="66" t="str">
        <f>IF(AND($B396&gt;='112'!$M$9,$B396&lt;='112'!$N$9,OR($N396='112'!$I$6,$O396='112'!$I$6)),"x","")</f>
        <v>x</v>
      </c>
      <c r="U396" s="66" t="str">
        <f>IF(AND($N396='112'!$I$6,$B396&lt;'112'!$M$9),"x","")</f>
        <v/>
      </c>
      <c r="V396" s="66" t="str">
        <f>IF(AND($O396='112'!$I$6,$B396&lt;'112'!$M$9),"x","")</f>
        <v/>
      </c>
      <c r="W396" s="66" t="str">
        <f>IF(AND('131-CT'!$H$9=TH!H396,OR(N396="131",O396="131")),"x","")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IF(OR(TH!N396=TH!$AB$7,O396=TH!$AB$7),"x","")</f>
        <v>x</v>
      </c>
      <c r="AC396" s="66" t="str">
        <f t="shared" si="44"/>
        <v>2</v>
      </c>
      <c r="AD396" s="66" t="str">
        <f>IF(AND(MONTH(E396)='IN-NX'!$J$5,'IN-NX'!$D$7=D396,OR(LEFT(TH!N396,2)="15",LEFT(TH!O396,2)="15")),"x","")</f>
        <v/>
      </c>
      <c r="AE396" s="66" t="str">
        <f>IF(AND(OR(LEFT(TH!N396,2)="15",LEFT(TH!O396,2)="15"),'152-CT'!$J$8=TH!F396),"x","")</f>
        <v/>
      </c>
      <c r="AF396" s="66" t="str">
        <f>IF(AND(OR(LEFT(TH!N396,2)="15",LEFT(TH!O396,2)="15"),'THE KHO'!$E$7=TH!F396),"x","")</f>
        <v/>
      </c>
      <c r="AG396" s="66" t="str">
        <f>IF(AND(N396="1521",MONTH(C396)='BK NL'!$M$11),"x","")</f>
        <v/>
      </c>
    </row>
    <row r="397" spans="1:35" ht="15.75" hidden="1" customHeight="1">
      <c r="A397" s="397" t="str">
        <f>IF(B397&lt;&gt;"",IF(AND(B397&gt;=_TM1,B397&lt;=_TM2,OR(TH!N397="1111",TH!O397="1111")),TH!D397,""),"")</f>
        <v/>
      </c>
      <c r="B397" s="63">
        <f t="shared" si="48"/>
        <v>6</v>
      </c>
      <c r="C397" s="64">
        <f t="shared" si="47"/>
        <v>42543</v>
      </c>
      <c r="D397" s="64" t="s">
        <v>8</v>
      </c>
      <c r="E397" s="64">
        <v>42543</v>
      </c>
      <c r="F397" s="67" t="s">
        <v>800</v>
      </c>
      <c r="G397" s="375" t="s">
        <v>808</v>
      </c>
      <c r="H397" s="74"/>
      <c r="I397" s="514"/>
      <c r="J397" s="514"/>
      <c r="K397" s="506"/>
      <c r="L397" s="514"/>
      <c r="M397" s="65">
        <v>20000</v>
      </c>
      <c r="N397" s="66" t="s">
        <v>136</v>
      </c>
      <c r="O397" s="66" t="s">
        <v>31</v>
      </c>
      <c r="P397" s="66" t="str">
        <f>IF(AND('331-CT'!$E$7=TH!H397,OR(N397="331",O397="331")),"x","")</f>
        <v/>
      </c>
      <c r="Q397" s="66" t="str">
        <f>IF(AND($B397&gt;='111'!$N$11,$B397&lt;='111'!$O$11,OR($N397=$Q$7,$O397=$Q$7)),"x","")</f>
        <v/>
      </c>
      <c r="R397" s="66" t="str">
        <f>IF(AND($N397=$Q$7,$B397&lt;'111'!$N$11),"x","")</f>
        <v/>
      </c>
      <c r="S397" s="66" t="str">
        <f>IF(AND($O397=$Q$7,$B397&lt;'111'!$N$11),"x","")</f>
        <v/>
      </c>
      <c r="T397" s="66" t="str">
        <f>IF(AND($B397&gt;='112'!$M$9,$B397&lt;='112'!$N$9,OR($N397='112'!$I$6,$O397='112'!$I$6)),"x","")</f>
        <v>x</v>
      </c>
      <c r="U397" s="66" t="str">
        <f>IF(AND($N397='112'!$I$6,$B397&lt;'112'!$M$9),"x","")</f>
        <v/>
      </c>
      <c r="V397" s="66" t="str">
        <f>IF(AND($O397='112'!$I$6,$B397&lt;'112'!$M$9),"x","")</f>
        <v/>
      </c>
      <c r="W397" s="66" t="str">
        <f>IF(AND('131-CT'!$H$9=TH!H397,OR(N397="131",O397="131")),"x","")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IF(OR(TH!N397=TH!$AB$7,O397=TH!$AB$7),"x","")</f>
        <v/>
      </c>
      <c r="AC397" s="66" t="str">
        <f t="shared" si="44"/>
        <v>2</v>
      </c>
      <c r="AD397" s="66" t="str">
        <f>IF(AND(MONTH(E397)='IN-NX'!$J$5,'IN-NX'!$D$7=D397,OR(LEFT(TH!N397,2)="15",LEFT(TH!O397,2)="15")),"x","")</f>
        <v/>
      </c>
      <c r="AE397" s="66" t="str">
        <f>IF(AND(OR(LEFT(TH!N397,2)="15",LEFT(TH!O397,2)="15"),'152-CT'!$J$8=TH!F397),"x","")</f>
        <v/>
      </c>
      <c r="AF397" s="66" t="str">
        <f>IF(AND(OR(LEFT(TH!N397,2)="15",LEFT(TH!O397,2)="15"),'THE KHO'!$E$7=TH!F397),"x","")</f>
        <v/>
      </c>
      <c r="AG397" s="66" t="str">
        <f>IF(AND(N397="1521",MONTH(C397)='BK NL'!$M$11),"x","")</f>
        <v/>
      </c>
      <c r="AI397" s="386">
        <v>1</v>
      </c>
    </row>
    <row r="398" spans="1:35" ht="15.75" hidden="1" customHeight="1">
      <c r="A398" s="397" t="str">
        <f>IF(B398&lt;&gt;"",IF(AND(B398&gt;=_TM1,B398&lt;=_TM2,OR(TH!N398="1111",TH!O398="1111")),TH!D398,""),"")</f>
        <v/>
      </c>
      <c r="B398" s="63">
        <f t="shared" si="48"/>
        <v>6</v>
      </c>
      <c r="C398" s="64">
        <f t="shared" si="47"/>
        <v>42543</v>
      </c>
      <c r="D398" s="64" t="s">
        <v>8</v>
      </c>
      <c r="E398" s="64">
        <v>42543</v>
      </c>
      <c r="F398" s="67" t="s">
        <v>801</v>
      </c>
      <c r="G398" s="375" t="s">
        <v>808</v>
      </c>
      <c r="H398" s="74"/>
      <c r="I398" s="514"/>
      <c r="J398" s="514"/>
      <c r="K398" s="506"/>
      <c r="L398" s="514"/>
      <c r="M398" s="100">
        <v>2000</v>
      </c>
      <c r="N398" s="66" t="s">
        <v>10</v>
      </c>
      <c r="O398" s="66" t="s">
        <v>31</v>
      </c>
      <c r="P398" s="66" t="str">
        <f>IF(AND('331-CT'!$E$7=TH!H398,OR(N398="331",O398="331")),"x","")</f>
        <v/>
      </c>
      <c r="Q398" s="66" t="str">
        <f>IF(AND($B398&gt;='111'!$N$11,$B398&lt;='111'!$O$11,OR($N398=$Q$7,$O398=$Q$7)),"x","")</f>
        <v/>
      </c>
      <c r="R398" s="66" t="str">
        <f>IF(AND($N398=$Q$7,$B398&lt;'111'!$N$11),"x","")</f>
        <v/>
      </c>
      <c r="S398" s="66" t="str">
        <f>IF(AND($O398=$Q$7,$B398&lt;'111'!$N$11),"x","")</f>
        <v/>
      </c>
      <c r="T398" s="66" t="str">
        <f>IF(AND($B398&gt;='112'!$M$9,$B398&lt;='112'!$N$9,OR($N398='112'!$I$6,$O398='112'!$I$6)),"x","")</f>
        <v>x</v>
      </c>
      <c r="U398" s="66" t="str">
        <f>IF(AND($N398='112'!$I$6,$B398&lt;'112'!$M$9),"x","")</f>
        <v/>
      </c>
      <c r="V398" s="66" t="str">
        <f>IF(AND($O398='112'!$I$6,$B398&lt;'112'!$M$9),"x","")</f>
        <v/>
      </c>
      <c r="W398" s="66" t="str">
        <f>IF(AND('131-CT'!$H$9=TH!H398,OR(N398="131",O398="131")),"x","")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IF(OR(TH!N398=TH!$AB$7,O398=TH!$AB$7),"x","")</f>
        <v/>
      </c>
      <c r="AC398" s="66" t="str">
        <f t="shared" si="44"/>
        <v>2</v>
      </c>
      <c r="AD398" s="66" t="str">
        <f>IF(AND(MONTH(E398)='IN-NX'!$J$5,'IN-NX'!$D$7=D398,OR(LEFT(TH!N398,2)="15",LEFT(TH!O398,2)="15")),"x","")</f>
        <v/>
      </c>
      <c r="AE398" s="66" t="str">
        <f>IF(AND(OR(LEFT(TH!N398,2)="15",LEFT(TH!O398,2)="15"),'152-CT'!$J$8=TH!F398),"x","")</f>
        <v/>
      </c>
      <c r="AF398" s="66" t="str">
        <f>IF(AND(OR(LEFT(TH!N398,2)="15",LEFT(TH!O398,2)="15"),'THE KHO'!$E$7=TH!F398),"x","")</f>
        <v/>
      </c>
      <c r="AG398" s="66" t="str">
        <f>IF(AND(N398="1521",MONTH(C398)='BK NL'!$M$11),"x","")</f>
        <v/>
      </c>
      <c r="AI398" s="386">
        <v>1</v>
      </c>
    </row>
    <row r="399" spans="1:35" ht="15.75" hidden="1" customHeight="1">
      <c r="A399" s="397" t="str">
        <f>IF(B399&lt;&gt;"",IF(AND(B399&gt;=_TM1,B399&lt;=_TM2,OR(TH!N399="1111",TH!O399="1111")),TH!D399,""),"")</f>
        <v/>
      </c>
      <c r="B399" s="63">
        <f t="shared" si="48"/>
        <v>6</v>
      </c>
      <c r="C399" s="64">
        <f t="shared" si="47"/>
        <v>42544</v>
      </c>
      <c r="D399" s="64" t="s">
        <v>322</v>
      </c>
      <c r="E399" s="64">
        <v>42544</v>
      </c>
      <c r="F399" s="67" t="s">
        <v>397</v>
      </c>
      <c r="G399" s="375" t="s">
        <v>808</v>
      </c>
      <c r="H399" s="74" t="s">
        <v>161</v>
      </c>
      <c r="I399" s="514"/>
      <c r="J399" s="514"/>
      <c r="K399" s="506"/>
      <c r="L399" s="514"/>
      <c r="M399" s="65">
        <v>1960000000</v>
      </c>
      <c r="N399" s="66" t="s">
        <v>98</v>
      </c>
      <c r="O399" s="66" t="s">
        <v>31</v>
      </c>
      <c r="P399" s="66" t="str">
        <f>IF(AND('331-CT'!$E$7=TH!H399,OR(N399="331",O399="331")),"x","")</f>
        <v/>
      </c>
      <c r="Q399" s="66" t="str">
        <f>IF(AND($B399&gt;='111'!$N$11,$B399&lt;='111'!$O$11,OR($N399=$Q$7,$O399=$Q$7)),"x","")</f>
        <v>x</v>
      </c>
      <c r="R399" s="66" t="str">
        <f>IF(AND($N399=$Q$7,$B399&lt;'111'!$N$11),"x","")</f>
        <v/>
      </c>
      <c r="S399" s="66" t="str">
        <f>IF(AND($O399=$Q$7,$B399&lt;'111'!$N$11),"x","")</f>
        <v/>
      </c>
      <c r="T399" s="66" t="str">
        <f>IF(AND($B399&gt;='112'!$M$9,$B399&lt;='112'!$N$9,OR($N399='112'!$I$6,$O399='112'!$I$6)),"x","")</f>
        <v>x</v>
      </c>
      <c r="U399" s="66" t="str">
        <f>IF(AND($N399='112'!$I$6,$B399&lt;'112'!$M$9),"x","")</f>
        <v/>
      </c>
      <c r="V399" s="66" t="str">
        <f>IF(AND($O399='112'!$I$6,$B399&lt;'112'!$M$9),"x","")</f>
        <v/>
      </c>
      <c r="W399" s="66" t="str">
        <f>IF(AND('131-CT'!$H$9=TH!H399,OR(N399="131",O399="131")),"x","")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IF(OR(TH!N399=TH!$AB$7,O399=TH!$AB$7),"x","")</f>
        <v/>
      </c>
      <c r="AC399" s="66" t="str">
        <f t="shared" si="44"/>
        <v>2</v>
      </c>
      <c r="AD399" s="66" t="str">
        <f>IF(AND(MONTH(E399)='IN-NX'!$J$5,'IN-NX'!$D$7=D399,OR(LEFT(TH!N399,2)="15",LEFT(TH!O399,2)="15")),"x","")</f>
        <v/>
      </c>
      <c r="AE399" s="66" t="str">
        <f>IF(AND(OR(LEFT(TH!N399,2)="15",LEFT(TH!O399,2)="15"),'152-CT'!$J$8=TH!F399),"x","")</f>
        <v/>
      </c>
      <c r="AF399" s="66" t="str">
        <f>IF(AND(OR(LEFT(TH!N399,2)="15",LEFT(TH!O399,2)="15"),'THE KHO'!$E$7=TH!F399),"x","")</f>
        <v/>
      </c>
      <c r="AG399" s="66" t="str">
        <f>IF(AND(N399="1521",MONTH(C399)='BK NL'!$M$11),"x","")</f>
        <v/>
      </c>
    </row>
    <row r="400" spans="1:35" ht="15.75" hidden="1" customHeight="1">
      <c r="A400" s="397" t="str">
        <f>IF(B400&lt;&gt;"",IF(AND(B400&gt;=_TM1,B400&lt;=_TM2,OR(TH!N400="1111",TH!O400="1111")),TH!D400,""),"")</f>
        <v/>
      </c>
      <c r="B400" s="63">
        <f t="shared" si="48"/>
        <v>6</v>
      </c>
      <c r="C400" s="64">
        <f t="shared" si="47"/>
        <v>42544</v>
      </c>
      <c r="D400" s="64" t="s">
        <v>853</v>
      </c>
      <c r="E400" s="64">
        <v>42544</v>
      </c>
      <c r="F400" s="67" t="s">
        <v>979</v>
      </c>
      <c r="G400" s="375" t="s">
        <v>808</v>
      </c>
      <c r="H400" s="74" t="s">
        <v>439</v>
      </c>
      <c r="I400" s="514"/>
      <c r="J400" s="514"/>
      <c r="K400" s="506"/>
      <c r="L400" s="514"/>
      <c r="M400" s="65">
        <v>1960000000</v>
      </c>
      <c r="N400" s="66" t="s">
        <v>107</v>
      </c>
      <c r="O400" s="66" t="s">
        <v>98</v>
      </c>
      <c r="P400" s="66" t="str">
        <f>IF(AND('331-CT'!$E$7=TH!H400,OR(N400="331",O400="331")),"x","")</f>
        <v/>
      </c>
      <c r="Q400" s="66" t="str">
        <f>IF(AND($B400&gt;='111'!$N$11,$B400&lt;='111'!$O$11,OR($N400=$Q$7,$O400=$Q$7)),"x","")</f>
        <v>x</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IF(AND('131-CT'!$H$9=TH!H400,OR(N400="131",O400="131")),"x","")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IF(OR(TH!N400=TH!$AB$7,O400=TH!$AB$7),"x","")</f>
        <v>x</v>
      </c>
      <c r="AC400" s="66" t="str">
        <f t="shared" si="44"/>
        <v>2</v>
      </c>
      <c r="AD400" s="66" t="str">
        <f>IF(AND(MONTH(E400)='IN-NX'!$J$5,'IN-NX'!$D$7=D400,OR(LEFT(TH!N400,2)="15",LEFT(TH!O400,2)="15")),"x","")</f>
        <v/>
      </c>
      <c r="AE400" s="66" t="str">
        <f>IF(AND(OR(LEFT(TH!N400,2)="15",LEFT(TH!O400,2)="15"),'152-CT'!$J$8=TH!F400),"x","")</f>
        <v/>
      </c>
      <c r="AF400" s="66" t="str">
        <f>IF(AND(OR(LEFT(TH!N400,2)="15",LEFT(TH!O400,2)="15"),'THE KHO'!$E$7=TH!F400),"x","")</f>
        <v/>
      </c>
      <c r="AG400" s="66" t="str">
        <f>IF(AND(N400="1521",MONTH(C400)='BK NL'!$M$11),"x","")</f>
        <v/>
      </c>
    </row>
    <row r="401" spans="1:35" ht="15.75" hidden="1" customHeight="1">
      <c r="A401" s="397" t="str">
        <f>IF(B401&lt;&gt;"",IF(AND(B401&gt;=_TM1,B401&lt;=_TM2,OR(TH!N401="1111",TH!O401="1111")),TH!D401,""),"")</f>
        <v/>
      </c>
      <c r="B401" s="63">
        <f t="shared" si="48"/>
        <v>6</v>
      </c>
      <c r="C401" s="64">
        <v>42544</v>
      </c>
      <c r="D401" s="64" t="s">
        <v>900</v>
      </c>
      <c r="E401" s="64">
        <v>42544</v>
      </c>
      <c r="F401" s="67" t="s">
        <v>999</v>
      </c>
      <c r="G401" s="500" t="s">
        <v>1003</v>
      </c>
      <c r="H401" s="7" t="s">
        <v>327</v>
      </c>
      <c r="I401" s="514"/>
      <c r="J401" s="514"/>
      <c r="K401" s="506"/>
      <c r="L401" s="514"/>
      <c r="M401" s="65">
        <v>419000</v>
      </c>
      <c r="N401" s="66" t="s">
        <v>136</v>
      </c>
      <c r="O401" s="66" t="s">
        <v>98</v>
      </c>
      <c r="P401" s="66" t="str">
        <f>IF(AND('331-CT'!$E$7=TH!H401,OR(N401="331",O401="331")),"x","")</f>
        <v/>
      </c>
      <c r="Q401" s="66" t="str">
        <f>IF(AND($B401&gt;='111'!$N$11,$B401&lt;='111'!$O$11,OR($N401=$Q$7,$O401=$Q$7)),"x","")</f>
        <v>x</v>
      </c>
      <c r="R401" s="66" t="str">
        <f>IF(AND($N401=$Q$7,$B401&lt;'111'!$N$11),"x","")</f>
        <v/>
      </c>
      <c r="S401" s="66" t="str">
        <f>IF(AND($O401=$Q$7,$B401&lt;'111'!$N$11),"x","")</f>
        <v/>
      </c>
      <c r="T401" s="66" t="str">
        <f>IF(AND($B401&gt;='112'!$M$9,$B401&lt;='112'!$N$9,OR($N401='112'!$I$6,$O401='112'!$I$6)),"x","")</f>
        <v/>
      </c>
      <c r="U401" s="66" t="str">
        <f>IF(AND($N401='112'!$I$6,$B401&lt;'112'!$M$9),"x","")</f>
        <v/>
      </c>
      <c r="V401" s="66" t="str">
        <f>IF(AND($O401='112'!$I$6,$B401&lt;'112'!$M$9),"x","")</f>
        <v/>
      </c>
      <c r="W401" s="66" t="str">
        <f>IF(AND('131-CT'!$H$9=TH!H401,OR(N401="131",O401="131")),"x","")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IF(OR(TH!N401=TH!$AB$7,O401=TH!$AB$7),"x","")</f>
        <v/>
      </c>
      <c r="AC401" s="66" t="str">
        <f t="shared" si="44"/>
        <v>2</v>
      </c>
      <c r="AD401" s="66" t="str">
        <f>IF(AND(MONTH(E401)='IN-NX'!$J$5,'IN-NX'!$D$7=D401,OR(LEFT(TH!N401,2)="15",LEFT(TH!O401,2)="15")),"x","")</f>
        <v/>
      </c>
      <c r="AE401" s="66" t="str">
        <f>IF(AND(OR(LEFT(TH!N401,2)="15",LEFT(TH!O401,2)="15"),'152-CT'!$J$8=TH!F401),"x","")</f>
        <v/>
      </c>
      <c r="AF401" s="66" t="str">
        <f>IF(AND(OR(LEFT(TH!N401,2)="15",LEFT(TH!O401,2)="15"),'THE KHO'!$E$7=TH!F401),"x","")</f>
        <v/>
      </c>
      <c r="AG401" s="66" t="str">
        <f>IF(AND(N401="1521",MONTH(C401)='BK NL'!$M$11),"x","")</f>
        <v/>
      </c>
      <c r="AH401" s="410"/>
      <c r="AI401" s="1054">
        <v>1</v>
      </c>
    </row>
    <row r="402" spans="1:35" ht="15.75" hidden="1" customHeight="1">
      <c r="A402" s="397" t="str">
        <f>IF(B402&lt;&gt;"",IF(AND(B402&gt;=_TM1,B402&lt;=_TM2,OR(TH!N402="1111",TH!O402="1111")),TH!D402,""),"")</f>
        <v/>
      </c>
      <c r="B402" s="63">
        <f t="shared" si="48"/>
        <v>6</v>
      </c>
      <c r="C402" s="64">
        <v>42545</v>
      </c>
      <c r="D402" s="64" t="s">
        <v>901</v>
      </c>
      <c r="E402" s="64">
        <v>42545</v>
      </c>
      <c r="F402" s="67" t="s">
        <v>1000</v>
      </c>
      <c r="G402" s="500" t="s">
        <v>1004</v>
      </c>
      <c r="H402" s="7" t="s">
        <v>327</v>
      </c>
      <c r="I402" s="514"/>
      <c r="J402" s="514"/>
      <c r="K402" s="506"/>
      <c r="L402" s="514"/>
      <c r="M402" s="65">
        <v>1235000</v>
      </c>
      <c r="N402" s="66" t="s">
        <v>136</v>
      </c>
      <c r="O402" s="66" t="s">
        <v>98</v>
      </c>
      <c r="P402" s="66" t="str">
        <f>IF(AND('331-CT'!$E$7=TH!H402,OR(N402="331",O402="331")),"x","")</f>
        <v/>
      </c>
      <c r="Q402" s="66" t="str">
        <f>IF(AND($B402&gt;='111'!$N$11,$B402&lt;='111'!$O$11,OR($N402=$Q$7,$O402=$Q$7)),"x","")</f>
        <v>x</v>
      </c>
      <c r="R402" s="66" t="str">
        <f>IF(AND($N402=$Q$7,$B402&lt;'111'!$N$11),"x","")</f>
        <v/>
      </c>
      <c r="S402" s="66" t="str">
        <f>IF(AND($O402=$Q$7,$B402&lt;'111'!$N$11),"x","")</f>
        <v/>
      </c>
      <c r="T402" s="66" t="str">
        <f>IF(AND($B402&gt;='112'!$M$9,$B402&lt;='112'!$N$9,OR($N402='112'!$I$6,$O402='112'!$I$6)),"x","")</f>
        <v/>
      </c>
      <c r="U402" s="66" t="str">
        <f>IF(AND($N402='112'!$I$6,$B402&lt;'112'!$M$9),"x","")</f>
        <v/>
      </c>
      <c r="V402" s="66" t="str">
        <f>IF(AND($O402='112'!$I$6,$B402&lt;'112'!$M$9),"x","")</f>
        <v/>
      </c>
      <c r="W402" s="66" t="str">
        <f>IF(AND('131-CT'!$H$9=TH!H402,OR(N402="131",O402="131")),"x","")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IF(OR(TH!N402=TH!$AB$7,O402=TH!$AB$7),"x","")</f>
        <v/>
      </c>
      <c r="AC402" s="66" t="str">
        <f t="shared" ref="AC402:AC465" si="49">IF(AND(1&lt;=$B402,$B402&lt;=3),"1",IF(AND(4&lt;=$B402,$B402&lt;=6),"2",IF(AND(7&lt;=$B402,$B402&lt;=9),"3",IF(AND(10&lt;=$B402,$B402&lt;=12),"4",""))))</f>
        <v>2</v>
      </c>
      <c r="AD402" s="66" t="str">
        <f>IF(AND(MONTH(E402)='IN-NX'!$J$5,'IN-NX'!$D$7=D402,OR(LEFT(TH!N402,2)="15",LEFT(TH!O402,2)="15")),"x","")</f>
        <v/>
      </c>
      <c r="AE402" s="66" t="str">
        <f>IF(AND(OR(LEFT(TH!N402,2)="15",LEFT(TH!O402,2)="15"),'152-CT'!$J$8=TH!F402),"x","")</f>
        <v/>
      </c>
      <c r="AF402" s="66" t="str">
        <f>IF(AND(OR(LEFT(TH!N402,2)="15",LEFT(TH!O402,2)="15"),'THE KHO'!$E$7=TH!F402),"x","")</f>
        <v/>
      </c>
      <c r="AG402" s="66" t="str">
        <f>IF(AND(N402="1521",MONTH(C402)='BK NL'!$M$11),"x","")</f>
        <v/>
      </c>
      <c r="AH402" s="410"/>
      <c r="AI402" s="1054">
        <v>1</v>
      </c>
    </row>
    <row r="403" spans="1:35" ht="15.75" hidden="1" customHeight="1">
      <c r="A403" s="397" t="str">
        <f>IF(B403&lt;&gt;"",IF(AND(B403&gt;=_TM1,B403&lt;=_TM2,OR(TH!N403="1111",TH!O403="1111")),TH!D403,""),"")</f>
        <v/>
      </c>
      <c r="B403" s="63">
        <f t="shared" si="48"/>
        <v>6</v>
      </c>
      <c r="C403" s="64">
        <v>42545</v>
      </c>
      <c r="D403" s="64" t="s">
        <v>997</v>
      </c>
      <c r="E403" s="64">
        <v>42545</v>
      </c>
      <c r="F403" s="67" t="s">
        <v>1001</v>
      </c>
      <c r="G403" s="500" t="s">
        <v>1005</v>
      </c>
      <c r="H403" s="7" t="s">
        <v>330</v>
      </c>
      <c r="I403" s="514"/>
      <c r="J403" s="514"/>
      <c r="K403" s="506"/>
      <c r="L403" s="514"/>
      <c r="M403" s="65">
        <v>550000</v>
      </c>
      <c r="N403" s="66" t="s">
        <v>136</v>
      </c>
      <c r="O403" s="66" t="s">
        <v>98</v>
      </c>
      <c r="P403" s="66" t="str">
        <f>IF(AND('331-CT'!$E$7=TH!H403,OR(N403="331",O403="331")),"x","")</f>
        <v/>
      </c>
      <c r="Q403" s="66" t="str">
        <f>IF(AND($B403&gt;='111'!$N$11,$B403&lt;='111'!$O$11,OR($N403=$Q$7,$O403=$Q$7)),"x","")</f>
        <v>x</v>
      </c>
      <c r="R403" s="66" t="str">
        <f>IF(AND($N403=$Q$7,$B403&lt;'111'!$N$11),"x","")</f>
        <v/>
      </c>
      <c r="S403" s="66" t="str">
        <f>IF(AND($O403=$Q$7,$B403&lt;'111'!$N$11),"x","")</f>
        <v/>
      </c>
      <c r="T403" s="66" t="str">
        <f>IF(AND($B403&gt;='112'!$M$9,$B403&lt;='112'!$N$9,OR($N403='112'!$I$6,$O403='112'!$I$6)),"x","")</f>
        <v/>
      </c>
      <c r="U403" s="66" t="str">
        <f>IF(AND($N403='112'!$I$6,$B403&lt;'112'!$M$9),"x","")</f>
        <v/>
      </c>
      <c r="V403" s="66" t="str">
        <f>IF(AND($O403='112'!$I$6,$B403&lt;'112'!$M$9),"x","")</f>
        <v/>
      </c>
      <c r="W403" s="66" t="str">
        <f>IF(AND('131-CT'!$H$9=TH!H403,OR(N403="131",O403="131")),"x","")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IF(OR(TH!N403=TH!$AB$7,O403=TH!$AB$7),"x","")</f>
        <v/>
      </c>
      <c r="AC403" s="66" t="str">
        <f t="shared" si="49"/>
        <v>2</v>
      </c>
      <c r="AD403" s="66" t="str">
        <f>IF(AND(MONTH(E403)='IN-NX'!$J$5,'IN-NX'!$D$7=D403,OR(LEFT(TH!N403,2)="15",LEFT(TH!O403,2)="15")),"x","")</f>
        <v/>
      </c>
      <c r="AE403" s="66" t="str">
        <f>IF(AND(OR(LEFT(TH!N403,2)="15",LEFT(TH!O403,2)="15"),'152-CT'!$J$8=TH!F403),"x","")</f>
        <v/>
      </c>
      <c r="AF403" s="66" t="str">
        <f>IF(AND(OR(LEFT(TH!N403,2)="15",LEFT(TH!O403,2)="15"),'THE KHO'!$E$7=TH!F403),"x","")</f>
        <v/>
      </c>
      <c r="AG403" s="66" t="str">
        <f>IF(AND(N403="1521",MONTH(C403)='BK NL'!$M$11),"x","")</f>
        <v/>
      </c>
      <c r="AH403" s="410"/>
      <c r="AI403" s="1054">
        <v>1</v>
      </c>
    </row>
    <row r="404" spans="1:35" s="407" customFormat="1" ht="15.75" hidden="1" customHeight="1">
      <c r="A404" s="397" t="str">
        <f>IF(B404&lt;&gt;"",IF(AND(B404&gt;=_TM1,B404&lt;=_TM2,OR(TH!N404="1111",TH!O404="1111")),TH!D404,""),"")</f>
        <v/>
      </c>
      <c r="B404" s="63">
        <f t="shared" ref="B404:B431" si="50">IF(C404&lt;&gt;"",MONTH(C404),"")</f>
        <v>6</v>
      </c>
      <c r="C404" s="64">
        <v>42545</v>
      </c>
      <c r="D404" s="64" t="s">
        <v>998</v>
      </c>
      <c r="E404" s="64">
        <v>42545</v>
      </c>
      <c r="F404" s="67" t="s">
        <v>927</v>
      </c>
      <c r="G404" s="500" t="s">
        <v>1006</v>
      </c>
      <c r="H404" s="7" t="s">
        <v>930</v>
      </c>
      <c r="I404" s="514"/>
      <c r="J404" s="514"/>
      <c r="K404" s="506"/>
      <c r="L404" s="514"/>
      <c r="M404" s="65">
        <v>10681818</v>
      </c>
      <c r="N404" s="66" t="s">
        <v>136</v>
      </c>
      <c r="O404" s="66" t="s">
        <v>98</v>
      </c>
      <c r="P404" s="66" t="str">
        <f>IF(AND('331-CT'!$E$7=TH!H404,OR(N404="331",O404="331")),"x","")</f>
        <v/>
      </c>
      <c r="Q404" s="66" t="str">
        <f>IF(AND($B404&gt;='111'!$N$11,$B404&lt;='111'!$O$11,OR($N404=$Q$7,$O404=$Q$7)),"x","")</f>
        <v>x</v>
      </c>
      <c r="R404" s="66" t="str">
        <f>IF(AND($N404=$Q$7,$B404&lt;'111'!$N$11),"x","")</f>
        <v/>
      </c>
      <c r="S404" s="66" t="str">
        <f>IF(AND($O404=$Q$7,$B404&lt;'111'!$N$11),"x","")</f>
        <v/>
      </c>
      <c r="T404" s="66" t="str">
        <f>IF(AND($B404&gt;='112'!$M$9,$B404&lt;='112'!$N$9,OR($N404='112'!$I$6,$O404='112'!$I$6)),"x","")</f>
        <v/>
      </c>
      <c r="U404" s="66" t="str">
        <f>IF(AND($N404='112'!$I$6,$B404&lt;'112'!$M$9),"x","")</f>
        <v/>
      </c>
      <c r="V404" s="66" t="str">
        <f>IF(AND($O404='112'!$I$6,$B404&lt;'112'!$M$9),"x","")</f>
        <v/>
      </c>
      <c r="W404" s="66" t="str">
        <f>IF(AND('131-CT'!$H$9=TH!H404,OR(N404="131",O404="131")),"x","")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IF(OR(TH!N404=TH!$AB$7,O404=TH!$AB$7),"x","")</f>
        <v/>
      </c>
      <c r="AC404" s="66" t="str">
        <f t="shared" si="49"/>
        <v>2</v>
      </c>
      <c r="AD404" s="66" t="str">
        <f>IF(AND(MONTH(E404)='IN-NX'!$J$5,'IN-NX'!$D$7=D404,OR(LEFT(TH!N404,2)="15",LEFT(TH!O404,2)="15")),"x","")</f>
        <v/>
      </c>
      <c r="AE404" s="66" t="str">
        <f>IF(AND(OR(LEFT(TH!N404,2)="15",LEFT(TH!O404,2)="15"),'152-CT'!$J$8=TH!F404),"x","")</f>
        <v/>
      </c>
      <c r="AF404" s="66" t="str">
        <f>IF(AND(OR(LEFT(TH!N404,2)="15",LEFT(TH!O404,2)="15"),'THE KHO'!$E$7=TH!F404),"x","")</f>
        <v/>
      </c>
      <c r="AG404" s="66" t="str">
        <f>IF(AND(N404="1521",MONTH(C404)='BK NL'!$M$11),"x","")</f>
        <v/>
      </c>
      <c r="AH404" s="410"/>
      <c r="AI404" s="1054">
        <v>1</v>
      </c>
    </row>
    <row r="405" spans="1:35" s="407" customFormat="1" ht="15.75" hidden="1" customHeight="1">
      <c r="A405" s="397" t="str">
        <f>IF(B405&lt;&gt;"",IF(AND(B405&gt;=_TM1,B405&lt;=_TM2,OR(TH!N405="1111",TH!O405="1111")),TH!D405,""),"")</f>
        <v/>
      </c>
      <c r="B405" s="63">
        <f t="shared" si="50"/>
        <v>6</v>
      </c>
      <c r="C405" s="64">
        <v>42545</v>
      </c>
      <c r="D405" s="64" t="s">
        <v>998</v>
      </c>
      <c r="E405" s="64">
        <v>42545</v>
      </c>
      <c r="F405" s="67" t="s">
        <v>928</v>
      </c>
      <c r="G405" s="500" t="s">
        <v>1006</v>
      </c>
      <c r="H405" s="7" t="s">
        <v>930</v>
      </c>
      <c r="I405" s="514"/>
      <c r="J405" s="514"/>
      <c r="K405" s="506"/>
      <c r="L405" s="514"/>
      <c r="M405" s="65">
        <v>1068182</v>
      </c>
      <c r="N405" s="66" t="s">
        <v>10</v>
      </c>
      <c r="O405" s="66" t="s">
        <v>98</v>
      </c>
      <c r="P405" s="66" t="str">
        <f>IF(AND('331-CT'!$E$7=TH!H405,OR(N405="331",O405="331")),"x","")</f>
        <v/>
      </c>
      <c r="Q405" s="66" t="str">
        <f>IF(AND($B405&gt;='111'!$N$11,$B405&lt;='111'!$O$11,OR($N405=$Q$7,$O405=$Q$7)),"x","")</f>
        <v>x</v>
      </c>
      <c r="R405" s="66" t="str">
        <f>IF(AND($N405=$Q$7,$B405&lt;'111'!$N$11),"x","")</f>
        <v/>
      </c>
      <c r="S405" s="66" t="str">
        <f>IF(AND($O405=$Q$7,$B405&lt;'111'!$N$11),"x","")</f>
        <v/>
      </c>
      <c r="T405" s="66" t="str">
        <f>IF(AND($B405&gt;='112'!$M$9,$B405&lt;='112'!$N$9,OR($N405='112'!$I$6,$O405='112'!$I$6)),"x","")</f>
        <v/>
      </c>
      <c r="U405" s="66" t="str">
        <f>IF(AND($N405='112'!$I$6,$B405&lt;'112'!$M$9),"x","")</f>
        <v/>
      </c>
      <c r="V405" s="66" t="str">
        <f>IF(AND($O405='112'!$I$6,$B405&lt;'112'!$M$9),"x","")</f>
        <v/>
      </c>
      <c r="W405" s="66" t="str">
        <f>IF(AND('131-CT'!$H$9=TH!H405,OR(N405="131",O405="131")),"x","")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IF(OR(TH!N405=TH!$AB$7,O405=TH!$AB$7),"x","")</f>
        <v/>
      </c>
      <c r="AC405" s="66" t="str">
        <f t="shared" si="49"/>
        <v>2</v>
      </c>
      <c r="AD405" s="66" t="str">
        <f>IF(AND(MONTH(E405)='IN-NX'!$J$5,'IN-NX'!$D$7=D405,OR(LEFT(TH!N405,2)="15",LEFT(TH!O405,2)="15")),"x","")</f>
        <v/>
      </c>
      <c r="AE405" s="66" t="str">
        <f>IF(AND(OR(LEFT(TH!N405,2)="15",LEFT(TH!O405,2)="15"),'152-CT'!$J$8=TH!F405),"x","")</f>
        <v/>
      </c>
      <c r="AF405" s="66" t="str">
        <f>IF(AND(OR(LEFT(TH!N405,2)="15",LEFT(TH!O405,2)="15"),'THE KHO'!$E$7=TH!F405),"x","")</f>
        <v/>
      </c>
      <c r="AG405" s="66" t="str">
        <f>IF(AND(N405="1521",MONTH(C405)='BK NL'!$M$11),"x","")</f>
        <v/>
      </c>
      <c r="AH405" s="410"/>
      <c r="AI405" s="1054">
        <v>1</v>
      </c>
    </row>
    <row r="406" spans="1:35" s="1054" customFormat="1" ht="15.75" hidden="1" customHeight="1">
      <c r="A406" s="397" t="str">
        <f>IF(B406&lt;&gt;"",IF(AND(B406&gt;=_TM1,B406&lt;=_TM2,OR(TH!N406="1111",TH!O406="1111")),TH!D406,""),"")</f>
        <v/>
      </c>
      <c r="B406" s="63">
        <f t="shared" si="50"/>
        <v>6</v>
      </c>
      <c r="C406" s="64">
        <f>E406</f>
        <v>42545</v>
      </c>
      <c r="D406" s="64" t="s">
        <v>12</v>
      </c>
      <c r="E406" s="64">
        <v>42545</v>
      </c>
      <c r="F406" s="67" t="s">
        <v>837</v>
      </c>
      <c r="G406" s="361" t="s">
        <v>808</v>
      </c>
      <c r="H406" s="74"/>
      <c r="I406" s="514"/>
      <c r="J406" s="514"/>
      <c r="K406" s="506"/>
      <c r="L406" s="514"/>
      <c r="M406" s="65">
        <v>17669</v>
      </c>
      <c r="N406" s="66" t="s">
        <v>31</v>
      </c>
      <c r="O406" s="66" t="s">
        <v>59</v>
      </c>
      <c r="P406" s="66" t="str">
        <f>IF(AND('331-CT'!$E$7=TH!H406,OR(N406="331",O406="331")),"x","")</f>
        <v/>
      </c>
      <c r="Q406" s="66" t="str">
        <f>IF(AND($B406&gt;='111'!$N$11,$B406&lt;='111'!$O$11,OR($N406=$Q$7,$O406=$Q$7)),"x","")</f>
        <v/>
      </c>
      <c r="R406" s="66" t="str">
        <f>IF(AND($N406=$Q$7,$B406&lt;'111'!$N$11),"x","")</f>
        <v/>
      </c>
      <c r="S406" s="66" t="str">
        <f>IF(AND($O406=$Q$7,$B406&lt;'111'!$N$11),"x","")</f>
        <v/>
      </c>
      <c r="T406" s="66" t="str">
        <f>IF(AND($B406&gt;='112'!$M$9,$B406&lt;='112'!$N$9,OR($N406='112'!$I$6,$O406='112'!$I$6)),"x","")</f>
        <v>x</v>
      </c>
      <c r="U406" s="66" t="str">
        <f>IF(AND($N406='112'!$I$6,$B406&lt;'112'!$M$9),"x","")</f>
        <v/>
      </c>
      <c r="V406" s="66" t="str">
        <f>IF(AND($O406='112'!$I$6,$B406&lt;'112'!$M$9),"x","")</f>
        <v/>
      </c>
      <c r="W406" s="66" t="str">
        <f>IF(AND('131-CT'!$H$9=TH!H406,OR(N406="131",O406="131")),"x","")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IF(OR(TH!N406=TH!$AB$7,O406=TH!$AB$7),"x","")</f>
        <v/>
      </c>
      <c r="AC406" s="66" t="str">
        <f t="shared" si="49"/>
        <v>2</v>
      </c>
      <c r="AD406" s="66" t="str">
        <f>IF(AND(MONTH(E406)='IN-NX'!$J$5,'IN-NX'!$D$7=D406,OR(LEFT(TH!N406,2)="15",LEFT(TH!O406,2)="15")),"x","")</f>
        <v/>
      </c>
      <c r="AE406" s="66" t="str">
        <f>IF(AND(OR(LEFT(TH!N406,2)="15",LEFT(TH!O406,2)="15"),'152-CT'!$J$8=TH!F406),"x","")</f>
        <v/>
      </c>
      <c r="AF406" s="66" t="str">
        <f>IF(AND(OR(LEFT(TH!N406,2)="15",LEFT(TH!O406,2)="15"),'THE KHO'!$E$7=TH!F406),"x","")</f>
        <v/>
      </c>
      <c r="AG406" s="66" t="str">
        <f>IF(AND(N406="1521",MONTH(C406)='BK NL'!$M$11),"x","")</f>
        <v/>
      </c>
      <c r="AH406" s="386"/>
      <c r="AI406" s="386"/>
    </row>
    <row r="407" spans="1:35" s="1054" customFormat="1" ht="15.75" hidden="1" customHeight="1">
      <c r="A407" s="397" t="str">
        <f>IF(B407&lt;&gt;"",IF(AND(B407&gt;=_TM1,B407&lt;=_TM2,OR(TH!N407="1111",TH!O407="1111")),TH!D407,""),"")</f>
        <v/>
      </c>
      <c r="B407" s="63">
        <f t="shared" si="50"/>
        <v>6</v>
      </c>
      <c r="C407" s="64">
        <f>E407</f>
        <v>42545</v>
      </c>
      <c r="D407" s="64" t="s">
        <v>805</v>
      </c>
      <c r="E407" s="64">
        <v>42545</v>
      </c>
      <c r="F407" s="67" t="s">
        <v>1015</v>
      </c>
      <c r="G407" s="361" t="s">
        <v>808</v>
      </c>
      <c r="H407" s="74" t="s">
        <v>161</v>
      </c>
      <c r="I407" s="514"/>
      <c r="J407" s="514"/>
      <c r="K407" s="506"/>
      <c r="L407" s="514"/>
      <c r="M407" s="65">
        <v>2000000</v>
      </c>
      <c r="N407" s="66" t="s">
        <v>98</v>
      </c>
      <c r="O407" s="66" t="s">
        <v>31</v>
      </c>
      <c r="P407" s="66" t="str">
        <f>IF(AND('331-CT'!$E$7=TH!H407,OR(N407="331",O407="331")),"x","")</f>
        <v/>
      </c>
      <c r="Q407" s="66" t="str">
        <f>IF(AND($B407&gt;='111'!$N$11,$B407&lt;='111'!$O$11,OR($N407=$Q$7,$O407=$Q$7)),"x","")</f>
        <v>x</v>
      </c>
      <c r="R407" s="66" t="str">
        <f>IF(AND($N407=$Q$7,$B407&lt;'111'!$N$11),"x","")</f>
        <v/>
      </c>
      <c r="S407" s="66" t="str">
        <f>IF(AND($O407=$Q$7,$B407&lt;'111'!$N$11),"x","")</f>
        <v/>
      </c>
      <c r="T407" s="66" t="str">
        <f>IF(AND($B407&gt;='112'!$M$9,$B407&lt;='112'!$N$9,OR($N407='112'!$I$6,$O407='112'!$I$6)),"x","")</f>
        <v>x</v>
      </c>
      <c r="U407" s="66" t="str">
        <f>IF(AND($N407='112'!$I$6,$B407&lt;'112'!$M$9),"x","")</f>
        <v/>
      </c>
      <c r="V407" s="66" t="str">
        <f>IF(AND($O407='112'!$I$6,$B407&lt;'112'!$M$9),"x","")</f>
        <v/>
      </c>
      <c r="W407" s="66" t="str">
        <f>IF(AND('131-CT'!$H$9=TH!H407,OR(N407="131",O407="131")),"x","")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IF(OR(TH!N407=TH!$AB$7,O407=TH!$AB$7),"x","")</f>
        <v/>
      </c>
      <c r="AC407" s="66" t="str">
        <f t="shared" si="49"/>
        <v>2</v>
      </c>
      <c r="AD407" s="66" t="str">
        <f>IF(AND(MONTH(E407)='IN-NX'!$J$5,'IN-NX'!$D$7=D407,OR(LEFT(TH!N407,2)="15",LEFT(TH!O407,2)="15")),"x","")</f>
        <v/>
      </c>
      <c r="AE407" s="66" t="str">
        <f>IF(AND(OR(LEFT(TH!N407,2)="15",LEFT(TH!O407,2)="15"),'152-CT'!$J$8=TH!F407),"x","")</f>
        <v/>
      </c>
      <c r="AF407" s="66" t="str">
        <f>IF(AND(OR(LEFT(TH!N407,2)="15",LEFT(TH!O407,2)="15"),'THE KHO'!$E$7=TH!F407),"x","")</f>
        <v/>
      </c>
      <c r="AG407" s="66" t="str">
        <f>IF(AND(N407="1521",MONTH(C407)='BK NL'!$M$11),"x","")</f>
        <v/>
      </c>
      <c r="AH407" s="386"/>
      <c r="AI407" s="386"/>
    </row>
    <row r="408" spans="1:35" s="1054" customFormat="1" ht="15.75" hidden="1" customHeight="1">
      <c r="A408" s="397" t="str">
        <f>IF(B408&lt;&gt;"",IF(AND(B408&gt;=_TM1,B408&lt;=_TM2,OR(TH!N408="1111",TH!O408="1111")),TH!D408,""),"")</f>
        <v/>
      </c>
      <c r="B408" s="63">
        <f t="shared" si="50"/>
        <v>6</v>
      </c>
      <c r="C408" s="64">
        <v>42546</v>
      </c>
      <c r="D408" s="64" t="s">
        <v>45</v>
      </c>
      <c r="E408" s="64">
        <v>42546</v>
      </c>
      <c r="F408" s="67" t="s">
        <v>1009</v>
      </c>
      <c r="G408" s="375" t="s">
        <v>1012</v>
      </c>
      <c r="H408" s="74" t="s">
        <v>222</v>
      </c>
      <c r="I408" s="517"/>
      <c r="J408" s="517"/>
      <c r="K408" s="509"/>
      <c r="L408" s="517"/>
      <c r="M408" s="65">
        <v>23344500</v>
      </c>
      <c r="N408" s="66" t="s">
        <v>136</v>
      </c>
      <c r="O408" s="66" t="s">
        <v>9</v>
      </c>
      <c r="P408" s="66" t="str">
        <f>IF(AND('331-CT'!$E$7=TH!H408,OR(N408="331",O408="331")),"x","")</f>
        <v/>
      </c>
      <c r="Q408" s="66" t="str">
        <f>IF(AND($B408&gt;='111'!$N$11,$B408&lt;='111'!$O$11,OR($N408=$Q$7,$O408=$Q$7)),"x","")</f>
        <v/>
      </c>
      <c r="R408" s="66" t="str">
        <f>IF(AND($N408=$Q$7,$B408&lt;'111'!$N$11),"x","")</f>
        <v/>
      </c>
      <c r="S408" s="66" t="str">
        <f>IF(AND($O408=$Q$7,$B408&lt;'111'!$N$11),"x","")</f>
        <v/>
      </c>
      <c r="T408" s="66" t="str">
        <f>IF(AND($B408&gt;='112'!$M$9,$B408&lt;='112'!$N$9,OR($N408='112'!$I$6,$O408='112'!$I$6)),"x","")</f>
        <v/>
      </c>
      <c r="U408" s="66" t="str">
        <f>IF(AND($N408='112'!$I$6,$B408&lt;'112'!$M$9),"x","")</f>
        <v/>
      </c>
      <c r="V408" s="66" t="str">
        <f>IF(AND($O408='112'!$I$6,$B408&lt;'112'!$M$9),"x","")</f>
        <v/>
      </c>
      <c r="W408" s="66" t="str">
        <f>IF(AND('131-CT'!$H$9=TH!H408,OR(N408="131",O408="131")),"x","")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IF(OR(TH!N408=TH!$AB$7,O408=TH!$AB$7),"x","")</f>
        <v/>
      </c>
      <c r="AC408" s="66" t="str">
        <f t="shared" si="49"/>
        <v>2</v>
      </c>
      <c r="AD408" s="66" t="str">
        <f>IF(AND(MONTH(E408)='IN-NX'!$J$5,'IN-NX'!$D$7=D408,OR(LEFT(TH!N408,2)="15",LEFT(TH!O408,2)="15")),"x","")</f>
        <v/>
      </c>
      <c r="AE408" s="66" t="str">
        <f>IF(AND(OR(LEFT(TH!N408,2)="15",LEFT(TH!O408,2)="15"),'152-CT'!$J$8=TH!F408),"x","")</f>
        <v/>
      </c>
      <c r="AF408" s="66" t="str">
        <f>IF(AND(OR(LEFT(TH!N408,2)="15",LEFT(TH!O408,2)="15"),'THE KHO'!$E$7=TH!F408),"x","")</f>
        <v/>
      </c>
      <c r="AG408" s="66" t="str">
        <f>IF(AND(N408="1521",MONTH(C408)='BK NL'!$M$11),"x","")</f>
        <v/>
      </c>
      <c r="AH408" s="409"/>
      <c r="AI408" s="409">
        <v>1</v>
      </c>
    </row>
    <row r="409" spans="1:35" s="1054" customFormat="1" ht="15.75" hidden="1" customHeight="1">
      <c r="A409" s="397" t="str">
        <f>IF(B409&lt;&gt;"",IF(AND(B409&gt;=_TM1,B409&lt;=_TM2,OR(TH!N409="1111",TH!O409="1111")),TH!D409,""),"")</f>
        <v/>
      </c>
      <c r="B409" s="63">
        <f t="shared" si="50"/>
        <v>6</v>
      </c>
      <c r="C409" s="64">
        <v>42546</v>
      </c>
      <c r="D409" s="64" t="s">
        <v>45</v>
      </c>
      <c r="E409" s="64">
        <v>42546</v>
      </c>
      <c r="F409" s="67" t="s">
        <v>1010</v>
      </c>
      <c r="G409" s="375" t="s">
        <v>1012</v>
      </c>
      <c r="H409" s="74" t="s">
        <v>222</v>
      </c>
      <c r="I409" s="514"/>
      <c r="J409" s="514"/>
      <c r="K409" s="506"/>
      <c r="L409" s="514"/>
      <c r="M409" s="65">
        <v>2334450</v>
      </c>
      <c r="N409" s="66" t="s">
        <v>10</v>
      </c>
      <c r="O409" s="66" t="s">
        <v>9</v>
      </c>
      <c r="P409" s="66" t="str">
        <f>IF(AND('331-CT'!$E$7=TH!H409,OR(N409="331",O409="331")),"x","")</f>
        <v/>
      </c>
      <c r="Q409" s="66" t="str">
        <f>IF(AND($B409&gt;='111'!$N$11,$B409&lt;='111'!$O$11,OR($N409=$Q$7,$O409=$Q$7)),"x","")</f>
        <v/>
      </c>
      <c r="R409" s="66" t="str">
        <f>IF(AND($N409=$Q$7,$B409&lt;'111'!$N$11),"x","")</f>
        <v/>
      </c>
      <c r="S409" s="66" t="str">
        <f>IF(AND($O409=$Q$7,$B409&lt;'111'!$N$11),"x","")</f>
        <v/>
      </c>
      <c r="T409" s="66" t="str">
        <f>IF(AND($B409&gt;='112'!$M$9,$B409&lt;='112'!$N$9,OR($N409='112'!$I$6,$O409='112'!$I$6)),"x","")</f>
        <v/>
      </c>
      <c r="U409" s="66" t="str">
        <f>IF(AND($N409='112'!$I$6,$B409&lt;'112'!$M$9),"x","")</f>
        <v/>
      </c>
      <c r="V409" s="66" t="str">
        <f>IF(AND($O409='112'!$I$6,$B409&lt;'112'!$M$9),"x","")</f>
        <v/>
      </c>
      <c r="W409" s="66" t="str">
        <f>IF(AND('131-CT'!$H$9=TH!H409,OR(N409="131",O409="131")),"x","")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IF(OR(TH!N409=TH!$AB$7,O409=TH!$AB$7),"x","")</f>
        <v/>
      </c>
      <c r="AC409" s="66" t="str">
        <f t="shared" si="49"/>
        <v>2</v>
      </c>
      <c r="AD409" s="66" t="str">
        <f>IF(AND(MONTH(E409)='IN-NX'!$J$5,'IN-NX'!$D$7=D409,OR(LEFT(TH!N409,2)="15",LEFT(TH!O409,2)="15")),"x","")</f>
        <v/>
      </c>
      <c r="AE409" s="66" t="str">
        <f>IF(AND(OR(LEFT(TH!N409,2)="15",LEFT(TH!O409,2)="15"),'152-CT'!$J$8=TH!F409),"x","")</f>
        <v/>
      </c>
      <c r="AF409" s="66" t="str">
        <f>IF(AND(OR(LEFT(TH!N409,2)="15",LEFT(TH!O409,2)="15"),'THE KHO'!$E$7=TH!F409),"x","")</f>
        <v/>
      </c>
      <c r="AG409" s="66" t="str">
        <f>IF(AND(N409="1521",MONTH(C409)='BK NL'!$M$11),"x","")</f>
        <v/>
      </c>
      <c r="AH409" s="386"/>
      <c r="AI409" s="386">
        <v>1</v>
      </c>
    </row>
    <row r="410" spans="1:35" s="1054" customFormat="1" ht="15.75" hidden="1" customHeight="1">
      <c r="A410" s="397" t="str">
        <f>IF(B410&lt;&gt;"",IF(AND(B410&gt;=_TM1,B410&lt;=_TM2,OR(TH!N410="1111",TH!O410="1111")),TH!D410,""),"")</f>
        <v/>
      </c>
      <c r="B410" s="63">
        <f t="shared" si="50"/>
        <v>6</v>
      </c>
      <c r="C410" s="64">
        <f t="shared" ref="C410:C418" si="51">E410</f>
        <v>42546</v>
      </c>
      <c r="D410" s="64" t="s">
        <v>8</v>
      </c>
      <c r="E410" s="64">
        <v>42546</v>
      </c>
      <c r="F410" s="67" t="s">
        <v>832</v>
      </c>
      <c r="G410" s="375" t="s">
        <v>808</v>
      </c>
      <c r="H410" s="74"/>
      <c r="I410" s="514"/>
      <c r="J410" s="514"/>
      <c r="K410" s="506"/>
      <c r="L410" s="514"/>
      <c r="M410" s="65">
        <v>50000</v>
      </c>
      <c r="N410" s="66" t="s">
        <v>136</v>
      </c>
      <c r="O410" s="66" t="s">
        <v>31</v>
      </c>
      <c r="P410" s="66" t="str">
        <f>IF(AND('331-CT'!$E$7=TH!H410,OR(N410="331",O410="331")),"x","")</f>
        <v/>
      </c>
      <c r="Q410" s="66" t="str">
        <f>IF(AND($B410&gt;='111'!$N$11,$B410&lt;='111'!$O$11,OR($N410=$Q$7,$O410=$Q$7)),"x","")</f>
        <v/>
      </c>
      <c r="R410" s="66" t="str">
        <f>IF(AND($N410=$Q$7,$B410&lt;'111'!$N$11),"x","")</f>
        <v/>
      </c>
      <c r="S410" s="66" t="str">
        <f>IF(AND($O410=$Q$7,$B410&lt;'111'!$N$11),"x","")</f>
        <v/>
      </c>
      <c r="T410" s="66" t="str">
        <f>IF(AND($B410&gt;='112'!$M$9,$B410&lt;='112'!$N$9,OR($N410='112'!$I$6,$O410='112'!$I$6)),"x","")</f>
        <v>x</v>
      </c>
      <c r="U410" s="66" t="str">
        <f>IF(AND($N410='112'!$I$6,$B410&lt;'112'!$M$9),"x","")</f>
        <v/>
      </c>
      <c r="V410" s="66" t="str">
        <f>IF(AND($O410='112'!$I$6,$B410&lt;'112'!$M$9),"x","")</f>
        <v/>
      </c>
      <c r="W410" s="66" t="str">
        <f>IF(AND('131-CT'!$H$9=TH!H410,OR(N410="131",O410="131")),"x","")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IF(OR(TH!N410=TH!$AB$7,O410=TH!$AB$7),"x","")</f>
        <v/>
      </c>
      <c r="AC410" s="66" t="str">
        <f t="shared" si="49"/>
        <v>2</v>
      </c>
      <c r="AD410" s="66" t="str">
        <f>IF(AND(MONTH(E410)='IN-NX'!$J$5,'IN-NX'!$D$7=D410,OR(LEFT(TH!N410,2)="15",LEFT(TH!O410,2)="15")),"x","")</f>
        <v/>
      </c>
      <c r="AE410" s="66" t="str">
        <f>IF(AND(OR(LEFT(TH!N410,2)="15",LEFT(TH!O410,2)="15"),'152-CT'!$J$8=TH!F410),"x","")</f>
        <v/>
      </c>
      <c r="AF410" s="66" t="str">
        <f>IF(AND(OR(LEFT(TH!N410,2)="15",LEFT(TH!O410,2)="15"),'THE KHO'!$E$7=TH!F410),"x","")</f>
        <v/>
      </c>
      <c r="AG410" s="66" t="str">
        <f>IF(AND(N410="1521",MONTH(C410)='BK NL'!$M$11),"x","")</f>
        <v/>
      </c>
      <c r="AH410" s="386"/>
      <c r="AI410" s="386">
        <v>1</v>
      </c>
    </row>
    <row r="411" spans="1:35" s="408" customFormat="1" ht="15.75" hidden="1" customHeight="1">
      <c r="A411" s="397" t="str">
        <f>IF(B411&lt;&gt;"",IF(AND(B411&gt;=_TM1,B411&lt;=_TM2,OR(TH!N411="1111",TH!O411="1111")),TH!D411,""),"")</f>
        <v/>
      </c>
      <c r="B411" s="63">
        <f t="shared" si="50"/>
        <v>6</v>
      </c>
      <c r="C411" s="64">
        <f t="shared" si="51"/>
        <v>42546</v>
      </c>
      <c r="D411" s="64" t="s">
        <v>8</v>
      </c>
      <c r="E411" s="64">
        <v>42546</v>
      </c>
      <c r="F411" s="67" t="s">
        <v>834</v>
      </c>
      <c r="G411" s="375" t="s">
        <v>808</v>
      </c>
      <c r="H411" s="404"/>
      <c r="I411" s="515"/>
      <c r="J411" s="515"/>
      <c r="K411" s="507"/>
      <c r="L411" s="515"/>
      <c r="M411" s="100">
        <v>5000</v>
      </c>
      <c r="N411" s="66" t="s">
        <v>10</v>
      </c>
      <c r="O411" s="66" t="s">
        <v>31</v>
      </c>
      <c r="P411" s="66" t="str">
        <f>IF(AND('331-CT'!$E$7=TH!H411,OR(N411="331",O411="331")),"x","")</f>
        <v/>
      </c>
      <c r="Q411" s="66" t="str">
        <f>IF(AND($B411&gt;='111'!$N$11,$B411&lt;='111'!$O$11,OR($N411=$Q$7,$O411=$Q$7)),"x","")</f>
        <v/>
      </c>
      <c r="R411" s="66" t="str">
        <f>IF(AND($N411=$Q$7,$B411&lt;'111'!$N$11),"x","")</f>
        <v/>
      </c>
      <c r="S411" s="66" t="str">
        <f>IF(AND($O411=$Q$7,$B411&lt;'111'!$N$11),"x","")</f>
        <v/>
      </c>
      <c r="T411" s="66" t="str">
        <f>IF(AND($B411&gt;='112'!$M$9,$B411&lt;='112'!$N$9,OR($N411='112'!$I$6,$O411='112'!$I$6)),"x","")</f>
        <v>x</v>
      </c>
      <c r="U411" s="66" t="str">
        <f>IF(AND($N411='112'!$I$6,$B411&lt;'112'!$M$9),"x","")</f>
        <v/>
      </c>
      <c r="V411" s="66" t="str">
        <f>IF(AND($O411='112'!$I$6,$B411&lt;'112'!$M$9),"x","")</f>
        <v/>
      </c>
      <c r="W411" s="66" t="str">
        <f>IF(AND('131-CT'!$H$9=TH!H411,OR(N411="131",O411="131")),"x","")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IF(OR(TH!N411=TH!$AB$7,O411=TH!$AB$7),"x","")</f>
        <v/>
      </c>
      <c r="AC411" s="66" t="str">
        <f t="shared" si="49"/>
        <v>2</v>
      </c>
      <c r="AD411" s="66" t="str">
        <f>IF(AND(MONTH(E411)='IN-NX'!$J$5,'IN-NX'!$D$7=D411,OR(LEFT(TH!N411,2)="15",LEFT(TH!O411,2)="15")),"x","")</f>
        <v/>
      </c>
      <c r="AE411" s="66" t="str">
        <f>IF(AND(OR(LEFT(TH!N411,2)="15",LEFT(TH!O411,2)="15"),'152-CT'!$J$8=TH!F411),"x","")</f>
        <v/>
      </c>
      <c r="AF411" s="66" t="str">
        <f>IF(AND(OR(LEFT(TH!N411,2)="15",LEFT(TH!O411,2)="15"),'THE KHO'!$E$7=TH!F411),"x","")</f>
        <v/>
      </c>
      <c r="AG411" s="66" t="str">
        <f>IF(AND(N411="1521",MONTH(C411)='BK NL'!$M$11),"x","")</f>
        <v/>
      </c>
      <c r="AH411" s="386"/>
      <c r="AI411" s="386">
        <v>1</v>
      </c>
    </row>
    <row r="412" spans="1:35" ht="15.75" hidden="1" customHeight="1">
      <c r="A412" s="397" t="str">
        <f>IF(B412&lt;&gt;"",IF(AND(B412&gt;=_TM1,B412&lt;=_TM2,OR(TH!N412="1111",TH!O412="1111")),TH!D412,""),"")</f>
        <v/>
      </c>
      <c r="B412" s="96">
        <f t="shared" si="50"/>
        <v>6</v>
      </c>
      <c r="C412" s="64">
        <f t="shared" si="51"/>
        <v>42546</v>
      </c>
      <c r="D412" s="64" t="s">
        <v>8</v>
      </c>
      <c r="E412" s="64">
        <v>42546</v>
      </c>
      <c r="F412" s="67" t="s">
        <v>833</v>
      </c>
      <c r="G412" s="375" t="s">
        <v>808</v>
      </c>
      <c r="H412" s="404"/>
      <c r="I412" s="515"/>
      <c r="J412" s="515"/>
      <c r="K412" s="507"/>
      <c r="L412" s="515"/>
      <c r="M412" s="65">
        <v>50000</v>
      </c>
      <c r="N412" s="66" t="s">
        <v>136</v>
      </c>
      <c r="O412" s="66" t="s">
        <v>31</v>
      </c>
      <c r="P412" s="66" t="str">
        <f>IF(AND('331-CT'!$E$7=TH!H412,OR(N412="331",O412="331")),"x","")</f>
        <v/>
      </c>
      <c r="Q412" s="66" t="str">
        <f>IF(AND($B412&gt;='111'!$N$11,$B412&lt;='111'!$O$11,OR($N412=$Q$7,$O412=$Q$7)),"x","")</f>
        <v/>
      </c>
      <c r="R412" s="66" t="str">
        <f>IF(AND($N412=$Q$7,$B412&lt;'111'!$N$11),"x","")</f>
        <v/>
      </c>
      <c r="S412" s="66" t="str">
        <f>IF(AND($O412=$Q$7,$B412&lt;'111'!$N$11),"x","")</f>
        <v/>
      </c>
      <c r="T412" s="66" t="str">
        <f>IF(AND($B412&gt;='112'!$M$9,$B412&lt;='112'!$N$9,OR($N412='112'!$I$6,$O412='112'!$I$6)),"x","")</f>
        <v>x</v>
      </c>
      <c r="U412" s="66" t="str">
        <f>IF(AND($N412='112'!$I$6,$B412&lt;'112'!$M$9),"x","")</f>
        <v/>
      </c>
      <c r="V412" s="66" t="str">
        <f>IF(AND($O412='112'!$I$6,$B412&lt;'112'!$M$9),"x","")</f>
        <v/>
      </c>
      <c r="W412" s="66" t="str">
        <f>IF(AND('131-CT'!$H$9=TH!H412,OR(N412="131",O412="131")),"x","")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IF(OR(TH!N412=TH!$AB$7,O412=TH!$AB$7),"x","")</f>
        <v/>
      </c>
      <c r="AC412" s="66" t="str">
        <f t="shared" si="49"/>
        <v>2</v>
      </c>
      <c r="AD412" s="66" t="str">
        <f>IF(AND(MONTH(E412)='IN-NX'!$J$5,'IN-NX'!$D$7=D412,OR(LEFT(TH!N412,2)="15",LEFT(TH!O412,2)="15")),"x","")</f>
        <v/>
      </c>
      <c r="AE412" s="66" t="str">
        <f>IF(AND(OR(LEFT(TH!N412,2)="15",LEFT(TH!O412,2)="15"),'152-CT'!$J$8=TH!F412),"x","")</f>
        <v/>
      </c>
      <c r="AF412" s="66" t="str">
        <f>IF(AND(OR(LEFT(TH!N412,2)="15",LEFT(TH!O412,2)="15"),'THE KHO'!$E$7=TH!F412),"x","")</f>
        <v/>
      </c>
      <c r="AG412" s="66" t="str">
        <f>IF(AND(N412="1521",MONTH(C412)='BK NL'!$M$11),"x","")</f>
        <v/>
      </c>
      <c r="AI412" s="386">
        <v>1</v>
      </c>
    </row>
    <row r="413" spans="1:35" ht="15.75" hidden="1" customHeight="1">
      <c r="A413" s="397" t="str">
        <f>IF(B413&lt;&gt;"",IF(AND(B413&gt;=_TM1,B413&lt;=_TM2,OR(TH!N413="1111",TH!O413="1111")),TH!D413,""),"")</f>
        <v/>
      </c>
      <c r="B413" s="96">
        <f t="shared" si="50"/>
        <v>6</v>
      </c>
      <c r="C413" s="64">
        <f t="shared" si="51"/>
        <v>42546</v>
      </c>
      <c r="D413" s="64" t="s">
        <v>8</v>
      </c>
      <c r="E413" s="64">
        <v>42546</v>
      </c>
      <c r="F413" s="67" t="s">
        <v>834</v>
      </c>
      <c r="G413" s="375" t="s">
        <v>808</v>
      </c>
      <c r="H413" s="74"/>
      <c r="I413" s="514"/>
      <c r="J413" s="514"/>
      <c r="K413" s="506"/>
      <c r="L413" s="514"/>
      <c r="M413" s="100">
        <v>5000</v>
      </c>
      <c r="N413" s="66" t="s">
        <v>10</v>
      </c>
      <c r="O413" s="66" t="s">
        <v>31</v>
      </c>
      <c r="P413" s="66" t="str">
        <f>IF(AND('331-CT'!$E$7=TH!H413,OR(N413="331",O413="331")),"x","")</f>
        <v/>
      </c>
      <c r="Q413" s="66" t="str">
        <f>IF(AND($B413&gt;='111'!$N$11,$B413&lt;='111'!$O$11,OR($N413=$Q$7,$O413=$Q$7)),"x","")</f>
        <v/>
      </c>
      <c r="R413" s="66" t="str">
        <f>IF(AND($N413=$Q$7,$B413&lt;'111'!$N$11),"x","")</f>
        <v/>
      </c>
      <c r="S413" s="66" t="str">
        <f>IF(AND($O413=$Q$7,$B413&lt;'111'!$N$11),"x","")</f>
        <v/>
      </c>
      <c r="T413" s="66" t="str">
        <f>IF(AND($B413&gt;='112'!$M$9,$B413&lt;='112'!$N$9,OR($N413='112'!$I$6,$O413='112'!$I$6)),"x","")</f>
        <v>x</v>
      </c>
      <c r="U413" s="66" t="str">
        <f>IF(AND($N413='112'!$I$6,$B413&lt;'112'!$M$9),"x","")</f>
        <v/>
      </c>
      <c r="V413" s="66" t="str">
        <f>IF(AND($O413='112'!$I$6,$B413&lt;'112'!$M$9),"x","")</f>
        <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si="49"/>
        <v>2</v>
      </c>
      <c r="AD413" s="66" t="str">
        <f>IF(AND(MONTH(E413)='IN-NX'!$J$5,'IN-NX'!$D$7=D413,OR(LEFT(TH!N413,2)="15",LEFT(TH!O413,2)="15")),"x","")</f>
        <v/>
      </c>
      <c r="AE413" s="66" t="str">
        <f>IF(AND(OR(LEFT(TH!N413,2)="15",LEFT(TH!O413,2)="15"),'152-CT'!$J$8=TH!F413),"x","")</f>
        <v/>
      </c>
      <c r="AF413" s="66" t="str">
        <f>IF(AND(OR(LEFT(TH!N413,2)="15",LEFT(TH!O413,2)="15"),'THE KHO'!$E$7=TH!F413),"x","")</f>
        <v/>
      </c>
      <c r="AG413" s="66" t="str">
        <f>IF(AND(N413="1521",MONTH(C413)='BK NL'!$M$11),"x","")</f>
        <v/>
      </c>
      <c r="AI413" s="386">
        <v>1</v>
      </c>
    </row>
    <row r="414" spans="1:35" s="409" customFormat="1" ht="15.75" hidden="1" customHeight="1">
      <c r="A414" s="397" t="str">
        <f>IF(B414&lt;&gt;"",IF(AND(B414&gt;=_TM1,B414&lt;=_TM2,OR(TH!N414="1111",TH!O414="1111")),TH!D414,""),"")</f>
        <v/>
      </c>
      <c r="B414" s="63">
        <f t="shared" si="50"/>
        <v>6</v>
      </c>
      <c r="C414" s="64">
        <f t="shared" si="51"/>
        <v>42549</v>
      </c>
      <c r="D414" s="64" t="s">
        <v>12</v>
      </c>
      <c r="E414" s="64">
        <v>42549</v>
      </c>
      <c r="F414" s="67" t="s">
        <v>798</v>
      </c>
      <c r="G414" s="361" t="s">
        <v>808</v>
      </c>
      <c r="H414" s="74" t="s">
        <v>439</v>
      </c>
      <c r="I414" s="514"/>
      <c r="J414" s="514"/>
      <c r="K414" s="506"/>
      <c r="L414" s="514"/>
      <c r="M414" s="65">
        <v>31000000</v>
      </c>
      <c r="N414" s="66" t="s">
        <v>31</v>
      </c>
      <c r="O414" s="66" t="s">
        <v>107</v>
      </c>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x</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x</v>
      </c>
      <c r="AC414" s="66" t="str">
        <f t="shared" si="49"/>
        <v>2</v>
      </c>
      <c r="AD414" s="66" t="str">
        <f>IF(AND(MONTH(E414)='IN-NX'!$J$5,'IN-NX'!$D$7=D414,OR(LEFT(TH!N414,2)="15",LEFT(TH!O414,2)="15")),"x","")</f>
        <v/>
      </c>
      <c r="AE414" s="66" t="str">
        <f>IF(AND(OR(LEFT(TH!N414,2)="15",LEFT(TH!O414,2)="15"),'152-CT'!$J$8=TH!F414),"x","")</f>
        <v/>
      </c>
      <c r="AF414" s="66" t="str">
        <f>IF(AND(OR(LEFT(TH!N414,2)="15",LEFT(TH!O414,2)="15"),'THE KHO'!$E$7=TH!F414),"x","")</f>
        <v/>
      </c>
      <c r="AG414" s="66" t="str">
        <f>IF(AND(N414="1521",MONTH(C414)='BK NL'!$M$11),"x","")</f>
        <v/>
      </c>
      <c r="AH414" s="386"/>
      <c r="AI414" s="386"/>
    </row>
    <row r="415" spans="1:35" s="409" customFormat="1" ht="15.75" hidden="1" customHeight="1">
      <c r="A415" s="397" t="str">
        <f>IF(B415&lt;&gt;"",IF(AND(B415&gt;=_TM1,B415&lt;=_TM2,OR(TH!N415="1111",TH!O415="1111")),TH!D415,""),"")</f>
        <v/>
      </c>
      <c r="B415" s="63">
        <f t="shared" si="50"/>
        <v>6</v>
      </c>
      <c r="C415" s="64">
        <f t="shared" si="51"/>
        <v>42549</v>
      </c>
      <c r="D415" s="64" t="s">
        <v>1002</v>
      </c>
      <c r="E415" s="64">
        <v>42549</v>
      </c>
      <c r="F415" s="67" t="s">
        <v>1013</v>
      </c>
      <c r="G415" s="361" t="s">
        <v>808</v>
      </c>
      <c r="H415" s="74" t="s">
        <v>439</v>
      </c>
      <c r="I415" s="514"/>
      <c r="J415" s="514"/>
      <c r="K415" s="506"/>
      <c r="L415" s="514"/>
      <c r="M415" s="65">
        <v>31000000</v>
      </c>
      <c r="N415" s="66" t="s">
        <v>107</v>
      </c>
      <c r="O415" s="66" t="s">
        <v>98</v>
      </c>
      <c r="P415" s="66" t="str">
        <f>IF(AND('331-CT'!$E$7=TH!H415,OR(N415="331",O415="331")),"x","")</f>
        <v/>
      </c>
      <c r="Q415" s="66" t="str">
        <f>IF(AND($B415&gt;='111'!$N$11,$B415&lt;='111'!$O$11,OR($N415=$Q$7,$O415=$Q$7)),"x","")</f>
        <v>x</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x</v>
      </c>
      <c r="AC415" s="66" t="str">
        <f t="shared" si="49"/>
        <v>2</v>
      </c>
      <c r="AD415" s="66" t="str">
        <f>IF(AND(MONTH(E415)='IN-NX'!$J$5,'IN-NX'!$D$7=D415,OR(LEFT(TH!N415,2)="15",LEFT(TH!O415,2)="15")),"x","")</f>
        <v/>
      </c>
      <c r="AE415" s="66" t="str">
        <f>IF(AND(OR(LEFT(TH!N415,2)="15",LEFT(TH!O415,2)="15"),'152-CT'!$J$8=TH!F415),"x","")</f>
        <v/>
      </c>
      <c r="AF415" s="66" t="str">
        <f>IF(AND(OR(LEFT(TH!N415,2)="15",LEFT(TH!O415,2)="15"),'THE KHO'!$E$7=TH!F415),"x","")</f>
        <v/>
      </c>
      <c r="AG415" s="66" t="str">
        <f>IF(AND(N415="1521",MONTH(C415)='BK NL'!$M$11),"x","")</f>
        <v/>
      </c>
      <c r="AH415" s="386"/>
      <c r="AI415" s="386"/>
    </row>
    <row r="416" spans="1:35" ht="15.75" hidden="1" customHeight="1">
      <c r="A416" s="397" t="str">
        <f>IF(B416&lt;&gt;"",IF(AND(B416&gt;=_TM1,B416&lt;=_TM2,OR(TH!N416="1111",TH!O416="1111")),TH!D416,""),"")</f>
        <v/>
      </c>
      <c r="B416" s="63">
        <f t="shared" si="50"/>
        <v>6</v>
      </c>
      <c r="C416" s="64">
        <f t="shared" si="51"/>
        <v>42549</v>
      </c>
      <c r="D416" s="64" t="s">
        <v>8</v>
      </c>
      <c r="E416" s="64">
        <v>42549</v>
      </c>
      <c r="F416" s="67" t="s">
        <v>1016</v>
      </c>
      <c r="G416" s="361" t="s">
        <v>808</v>
      </c>
      <c r="H416" s="7" t="s">
        <v>50</v>
      </c>
      <c r="I416" s="514"/>
      <c r="J416" s="514"/>
      <c r="K416" s="506"/>
      <c r="L416" s="514"/>
      <c r="M416" s="65">
        <v>30360000</v>
      </c>
      <c r="N416" s="66" t="s">
        <v>9</v>
      </c>
      <c r="O416" s="66" t="s">
        <v>31</v>
      </c>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x</v>
      </c>
      <c r="U416" s="66" t="str">
        <f>IF(AND($N416='112'!$I$6,$B416&lt;'112'!$M$9),"x","")</f>
        <v/>
      </c>
      <c r="V416" s="66" t="str">
        <f>IF(AND($O416='112'!$I$6,$B416&lt;'112'!$M$9),"x","")</f>
        <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
      </c>
      <c r="AC416" s="66" t="str">
        <f t="shared" si="49"/>
        <v>2</v>
      </c>
      <c r="AD416" s="66" t="str">
        <f>IF(AND(MONTH(E416)='IN-NX'!$J$5,'IN-NX'!$D$7=D416,OR(LEFT(TH!N416,2)="15",LEFT(TH!O416,2)="15")),"x","")</f>
        <v/>
      </c>
      <c r="AE416" s="66" t="str">
        <f>IF(AND(OR(LEFT(TH!N416,2)="15",LEFT(TH!O416,2)="15"),'152-CT'!$J$8=TH!F416),"x","")</f>
        <v/>
      </c>
      <c r="AF416" s="66" t="str">
        <f>IF(AND(OR(LEFT(TH!N416,2)="15",LEFT(TH!O416,2)="15"),'THE KHO'!$E$7=TH!F416),"x","")</f>
        <v/>
      </c>
      <c r="AG416" s="66" t="str">
        <f>IF(AND(N416="1521",MONTH(C416)='BK NL'!$M$11),"x","")</f>
        <v/>
      </c>
    </row>
    <row r="417" spans="1:35" ht="15.75" hidden="1" customHeight="1">
      <c r="A417" s="397" t="str">
        <f>IF(B417&lt;&gt;"",IF(AND(B417&gt;=_TM1,B417&lt;=_TM2,OR(TH!N417="1111",TH!O417="1111")),TH!D417,""),"")</f>
        <v/>
      </c>
      <c r="B417" s="63">
        <f t="shared" si="50"/>
        <v>6</v>
      </c>
      <c r="C417" s="64">
        <f t="shared" si="51"/>
        <v>42549</v>
      </c>
      <c r="D417" s="64" t="s">
        <v>8</v>
      </c>
      <c r="E417" s="64">
        <v>42549</v>
      </c>
      <c r="F417" s="67" t="s">
        <v>22</v>
      </c>
      <c r="G417" s="361" t="s">
        <v>808</v>
      </c>
      <c r="H417" s="74"/>
      <c r="I417" s="514"/>
      <c r="J417" s="514"/>
      <c r="K417" s="506"/>
      <c r="L417" s="514"/>
      <c r="M417" s="65">
        <v>25000</v>
      </c>
      <c r="N417" s="66" t="s">
        <v>136</v>
      </c>
      <c r="O417" s="66" t="s">
        <v>31</v>
      </c>
      <c r="P417" s="66" t="str">
        <f>IF(AND('331-CT'!$E$7=TH!H417,OR(N417="331",O417="331")),"x","")</f>
        <v/>
      </c>
      <c r="Q417" s="66" t="str">
        <f>IF(AND($B417&gt;='111'!$N$11,$B417&lt;='111'!$O$11,OR($N417=$Q$7,$O417=$Q$7)),"x","")</f>
        <v/>
      </c>
      <c r="R417" s="66" t="str">
        <f>IF(AND($N417=$Q$7,$B417&lt;'111'!$N$11),"x","")</f>
        <v/>
      </c>
      <c r="S417" s="66" t="str">
        <f>IF(AND($O417=$Q$7,$B417&lt;'111'!$N$11),"x","")</f>
        <v/>
      </c>
      <c r="T417" s="66" t="str">
        <f>IF(AND($B417&gt;='112'!$M$9,$B417&lt;='112'!$N$9,OR($N417='112'!$I$6,$O417='112'!$I$6)),"x","")</f>
        <v>x</v>
      </c>
      <c r="U417" s="66" t="str">
        <f>IF(AND($N417='112'!$I$6,$B417&lt;'112'!$M$9),"x","")</f>
        <v/>
      </c>
      <c r="V417" s="66" t="str">
        <f>IF(AND($O417='112'!$I$6,$B417&lt;'112'!$M$9),"x","")</f>
        <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
      </c>
      <c r="AC417" s="66" t="str">
        <f t="shared" si="49"/>
        <v>2</v>
      </c>
      <c r="AD417" s="66" t="str">
        <f>IF(AND(MONTH(E417)='IN-NX'!$J$5,'IN-NX'!$D$7=D417,OR(LEFT(TH!N417,2)="15",LEFT(TH!O417,2)="15")),"x","")</f>
        <v/>
      </c>
      <c r="AE417" s="66" t="str">
        <f>IF(AND(OR(LEFT(TH!N417,2)="15",LEFT(TH!O417,2)="15"),'152-CT'!$J$8=TH!F417),"x","")</f>
        <v/>
      </c>
      <c r="AF417" s="66" t="str">
        <f>IF(AND(OR(LEFT(TH!N417,2)="15",LEFT(TH!O417,2)="15"),'THE KHO'!$E$7=TH!F417),"x","")</f>
        <v/>
      </c>
      <c r="AG417" s="66" t="str">
        <f>IF(AND(N417="1521",MONTH(C417)='BK NL'!$M$11),"x","")</f>
        <v/>
      </c>
      <c r="AI417" s="386">
        <v>1</v>
      </c>
    </row>
    <row r="418" spans="1:35" ht="15.75" hidden="1" customHeight="1">
      <c r="A418" s="397" t="str">
        <f>IF(B418&lt;&gt;"",IF(AND(B418&gt;=_TM1,B418&lt;=_TM2,OR(TH!N418="1111",TH!O418="1111")),TH!D418,""),"")</f>
        <v/>
      </c>
      <c r="B418" s="63">
        <f t="shared" si="50"/>
        <v>6</v>
      </c>
      <c r="C418" s="64">
        <f t="shared" si="51"/>
        <v>42549</v>
      </c>
      <c r="D418" s="64" t="s">
        <v>8</v>
      </c>
      <c r="E418" s="64">
        <v>42549</v>
      </c>
      <c r="F418" s="67" t="s">
        <v>23</v>
      </c>
      <c r="G418" s="361" t="s">
        <v>808</v>
      </c>
      <c r="H418" s="74"/>
      <c r="I418" s="514"/>
      <c r="J418" s="514"/>
      <c r="K418" s="506"/>
      <c r="L418" s="514"/>
      <c r="M418" s="65">
        <v>2500</v>
      </c>
      <c r="N418" s="66" t="s">
        <v>10</v>
      </c>
      <c r="O418" s="66" t="s">
        <v>31</v>
      </c>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x</v>
      </c>
      <c r="U418" s="66" t="str">
        <f>IF(AND($N418='112'!$I$6,$B418&lt;'112'!$M$9),"x","")</f>
        <v/>
      </c>
      <c r="V418" s="66" t="str">
        <f>IF(AND($O418='112'!$I$6,$B418&lt;'112'!$M$9),"x","")</f>
        <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49"/>
        <v>2</v>
      </c>
      <c r="AD418" s="66" t="str">
        <f>IF(AND(MONTH(E418)='IN-NX'!$J$5,'IN-NX'!$D$7=D418,OR(LEFT(TH!N418,2)="15",LEFT(TH!O418,2)="15")),"x","")</f>
        <v/>
      </c>
      <c r="AE418" s="66" t="str">
        <f>IF(AND(OR(LEFT(TH!N418,2)="15",LEFT(TH!O418,2)="15"),'152-CT'!$J$8=TH!F418),"x","")</f>
        <v/>
      </c>
      <c r="AF418" s="66" t="str">
        <f>IF(AND(OR(LEFT(TH!N418,2)="15",LEFT(TH!O418,2)="15"),'THE KHO'!$E$7=TH!F418),"x","")</f>
        <v/>
      </c>
      <c r="AG418" s="66" t="str">
        <f>IF(AND(N418="1521",MONTH(C418)='BK NL'!$M$11),"x","")</f>
        <v/>
      </c>
      <c r="AI418" s="386">
        <v>1</v>
      </c>
    </row>
    <row r="419" spans="1:35" ht="15.75" hidden="1" customHeight="1">
      <c r="A419" s="397" t="str">
        <f>IF(B419&lt;&gt;"",IF(AND(B419&gt;=_TM1,B419&lt;=_TM2,OR(TH!N419="1111",TH!O419="1111")),TH!D419,""),"")</f>
        <v/>
      </c>
      <c r="B419" s="63">
        <f t="shared" si="50"/>
        <v>6</v>
      </c>
      <c r="C419" s="64">
        <v>42551</v>
      </c>
      <c r="D419" s="64" t="s">
        <v>45</v>
      </c>
      <c r="E419" s="64">
        <v>42515</v>
      </c>
      <c r="F419" s="67" t="s">
        <v>316</v>
      </c>
      <c r="G419" s="375" t="s">
        <v>939</v>
      </c>
      <c r="H419" s="7" t="s">
        <v>317</v>
      </c>
      <c r="I419" s="514"/>
      <c r="J419" s="514"/>
      <c r="K419" s="506"/>
      <c r="L419" s="514"/>
      <c r="M419" s="65">
        <v>7403520</v>
      </c>
      <c r="N419" s="66" t="s">
        <v>136</v>
      </c>
      <c r="O419" s="66" t="s">
        <v>9</v>
      </c>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
      </c>
      <c r="U419" s="66" t="str">
        <f>IF(AND($N419='112'!$I$6,$B419&lt;'112'!$M$9),"x","")</f>
        <v/>
      </c>
      <c r="V419" s="66" t="str">
        <f>IF(AND($O419='112'!$I$6,$B419&lt;'112'!$M$9),"x","")</f>
        <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49"/>
        <v>2</v>
      </c>
      <c r="AD419" s="66" t="str">
        <f>IF(AND(MONTH(E419)='IN-NX'!$J$5,'IN-NX'!$D$7=D419,OR(LEFT(TH!N419,2)="15",LEFT(TH!O419,2)="15")),"x","")</f>
        <v/>
      </c>
      <c r="AE419" s="66" t="str">
        <f>IF(AND(OR(LEFT(TH!N419,2)="15",LEFT(TH!O419,2)="15"),'152-CT'!$J$8=TH!F419),"x","")</f>
        <v/>
      </c>
      <c r="AF419" s="66" t="str">
        <f>IF(AND(OR(LEFT(TH!N419,2)="15",LEFT(TH!O419,2)="15"),'THE KHO'!$E$7=TH!F419),"x","")</f>
        <v/>
      </c>
      <c r="AG419" s="66" t="str">
        <f>IF(AND(N419="1521",MONTH(C419)='BK NL'!$M$11),"x","")</f>
        <v/>
      </c>
      <c r="AI419" s="407">
        <v>1</v>
      </c>
    </row>
    <row r="420" spans="1:35" ht="15.75" hidden="1" customHeight="1">
      <c r="A420" s="397" t="str">
        <f>IF(B420&lt;&gt;"",IF(AND(B420&gt;=_TM1,B420&lt;=_TM2,OR(TH!N420="1111",TH!O420="1111")),TH!D420,""),"")</f>
        <v/>
      </c>
      <c r="B420" s="63">
        <f t="shared" si="50"/>
        <v>6</v>
      </c>
      <c r="C420" s="64">
        <v>42551</v>
      </c>
      <c r="D420" s="64" t="s">
        <v>45</v>
      </c>
      <c r="E420" s="64">
        <v>42515</v>
      </c>
      <c r="F420" s="67" t="s">
        <v>318</v>
      </c>
      <c r="G420" s="375" t="s">
        <v>939</v>
      </c>
      <c r="H420" s="7" t="s">
        <v>317</v>
      </c>
      <c r="I420" s="514"/>
      <c r="J420" s="514"/>
      <c r="K420" s="506"/>
      <c r="L420" s="514"/>
      <c r="M420" s="100">
        <v>740352</v>
      </c>
      <c r="N420" s="66" t="s">
        <v>10</v>
      </c>
      <c r="O420" s="66" t="s">
        <v>9</v>
      </c>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
      </c>
      <c r="U420" s="66" t="str">
        <f>IF(AND($N420='112'!$I$6,$B420&lt;'112'!$M$9),"x","")</f>
        <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
      </c>
      <c r="AC420" s="66" t="str">
        <f t="shared" si="49"/>
        <v>2</v>
      </c>
      <c r="AD420" s="66" t="str">
        <f>IF(AND(MONTH(E420)='IN-NX'!$J$5,'IN-NX'!$D$7=D420,OR(LEFT(TH!N420,2)="15",LEFT(TH!O420,2)="15")),"x","")</f>
        <v/>
      </c>
      <c r="AE420" s="66" t="str">
        <f>IF(AND(OR(LEFT(TH!N420,2)="15",LEFT(TH!O420,2)="15"),'152-CT'!$J$8=TH!F420),"x","")</f>
        <v/>
      </c>
      <c r="AF420" s="66" t="str">
        <f>IF(AND(OR(LEFT(TH!N420,2)="15",LEFT(TH!O420,2)="15"),'THE KHO'!$E$7=TH!F420),"x","")</f>
        <v/>
      </c>
      <c r="AG420" s="66" t="str">
        <f>IF(AND(N420="1521",MONTH(C420)='BK NL'!$M$11),"x","")</f>
        <v/>
      </c>
      <c r="AI420" s="386">
        <v>1</v>
      </c>
    </row>
    <row r="421" spans="1:35" ht="15.75" hidden="1" customHeight="1">
      <c r="A421" s="397" t="str">
        <f>IF(B421&lt;&gt;"",IF(AND(B421&gt;=_TM1,B421&lt;=_TM2,OR(TH!N421="1111",TH!O421="1111")),TH!D421,""),"")</f>
        <v/>
      </c>
      <c r="B421" s="63">
        <f t="shared" si="50"/>
        <v>6</v>
      </c>
      <c r="C421" s="64">
        <v>42551</v>
      </c>
      <c r="D421" s="64" t="s">
        <v>45</v>
      </c>
      <c r="E421" s="64">
        <v>42528</v>
      </c>
      <c r="F421" s="67" t="s">
        <v>941</v>
      </c>
      <c r="G421" s="375" t="s">
        <v>940</v>
      </c>
      <c r="H421" s="74" t="s">
        <v>160</v>
      </c>
      <c r="I421" s="514"/>
      <c r="J421" s="514"/>
      <c r="K421" s="506"/>
      <c r="L421" s="514"/>
      <c r="M421" s="65">
        <v>2172148100</v>
      </c>
      <c r="N421" s="66" t="s">
        <v>243</v>
      </c>
      <c r="O421" s="66" t="s">
        <v>9</v>
      </c>
      <c r="P421" s="66" t="str">
        <f>IF(AND('331-CT'!$E$7=TH!H421,OR(N421="331",O421="331")),"x","")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
      </c>
      <c r="AC421" s="66" t="str">
        <f t="shared" si="49"/>
        <v>2</v>
      </c>
      <c r="AD421" s="66" t="str">
        <f>IF(AND(MONTH(E421)='IN-NX'!$J$5,'IN-NX'!$D$7=D421,OR(LEFT(TH!N421,2)="15",LEFT(TH!O421,2)="15")),"x","")</f>
        <v/>
      </c>
      <c r="AE421" s="66" t="str">
        <f>IF(AND(OR(LEFT(TH!N421,2)="15",LEFT(TH!O421,2)="15"),'152-CT'!$J$8=TH!F421),"x","")</f>
        <v/>
      </c>
      <c r="AF421" s="66" t="str">
        <f>IF(AND(OR(LEFT(TH!N421,2)="15",LEFT(TH!O421,2)="15"),'THE KHO'!$E$7=TH!F421),"x","")</f>
        <v/>
      </c>
      <c r="AG421" s="66" t="str">
        <f>IF(AND(N421="1521",MONTH(C421)='BK NL'!$M$11),"x","")</f>
        <v/>
      </c>
      <c r="AI421" s="386">
        <v>2</v>
      </c>
    </row>
    <row r="422" spans="1:35" ht="15.75" hidden="1" customHeight="1">
      <c r="A422" s="397" t="str">
        <f>IF(B422&lt;&gt;"",IF(AND(B422&gt;=_TM1,B422&lt;=_TM2,OR(TH!N422="1111",TH!O422="1111")),TH!D422,""),"")</f>
        <v/>
      </c>
      <c r="B422" s="63">
        <f t="shared" si="50"/>
        <v>6</v>
      </c>
      <c r="C422" s="64">
        <v>42551</v>
      </c>
      <c r="D422" s="64" t="s">
        <v>45</v>
      </c>
      <c r="E422" s="64">
        <v>42528</v>
      </c>
      <c r="F422" s="67" t="s">
        <v>942</v>
      </c>
      <c r="G422" s="375" t="s">
        <v>940</v>
      </c>
      <c r="H422" s="74" t="s">
        <v>160</v>
      </c>
      <c r="I422" s="514"/>
      <c r="J422" s="514"/>
      <c r="K422" s="506"/>
      <c r="L422" s="514"/>
      <c r="M422" s="85">
        <v>217214810</v>
      </c>
      <c r="N422" s="66" t="s">
        <v>993</v>
      </c>
      <c r="O422" s="66" t="s">
        <v>9</v>
      </c>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49"/>
        <v>2</v>
      </c>
      <c r="AD422" s="66" t="str">
        <f>IF(AND(MONTH(E422)='IN-NX'!$J$5,'IN-NX'!$D$7=D422,OR(LEFT(TH!N422,2)="15",LEFT(TH!O422,2)="15")),"x","")</f>
        <v/>
      </c>
      <c r="AE422" s="66" t="str">
        <f>IF(AND(OR(LEFT(TH!N422,2)="15",LEFT(TH!O422,2)="15"),'152-CT'!$J$8=TH!F422),"x","")</f>
        <v/>
      </c>
      <c r="AF422" s="66" t="str">
        <f>IF(AND(OR(LEFT(TH!N422,2)="15",LEFT(TH!O422,2)="15"),'THE KHO'!$E$7=TH!F422),"x","")</f>
        <v/>
      </c>
      <c r="AG422" s="66" t="str">
        <f>IF(AND(N422="1521",MONTH(C422)='BK NL'!$M$11),"x","")</f>
        <v/>
      </c>
      <c r="AI422" s="406">
        <v>2</v>
      </c>
    </row>
    <row r="423" spans="1:35" ht="15.75" hidden="1" customHeight="1">
      <c r="A423" s="397" t="str">
        <f>IF(B423&lt;&gt;"",IF(AND(B423&gt;=_TM1,B423&lt;=_TM2,OR(TH!N423="1111",TH!O423="1111")),TH!D423,""),"")</f>
        <v/>
      </c>
      <c r="B423" s="63">
        <f t="shared" si="50"/>
        <v>6</v>
      </c>
      <c r="C423" s="64">
        <v>42551</v>
      </c>
      <c r="D423" s="64" t="s">
        <v>45</v>
      </c>
      <c r="E423" s="64">
        <v>42531</v>
      </c>
      <c r="F423" s="67" t="s">
        <v>955</v>
      </c>
      <c r="G423" s="375" t="s">
        <v>957</v>
      </c>
      <c r="H423" s="7" t="s">
        <v>67</v>
      </c>
      <c r="I423" s="514"/>
      <c r="J423" s="514"/>
      <c r="K423" s="506"/>
      <c r="L423" s="514"/>
      <c r="M423" s="65">
        <v>1515073526</v>
      </c>
      <c r="N423" s="66" t="s">
        <v>243</v>
      </c>
      <c r="O423" s="66" t="s">
        <v>9</v>
      </c>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49"/>
        <v>2</v>
      </c>
      <c r="AD423" s="66" t="str">
        <f>IF(AND(MONTH(E423)='IN-NX'!$J$5,'IN-NX'!$D$7=D423,OR(LEFT(TH!N423,2)="15",LEFT(TH!O423,2)="15")),"x","")</f>
        <v/>
      </c>
      <c r="AE423" s="66" t="str">
        <f>IF(AND(OR(LEFT(TH!N423,2)="15",LEFT(TH!O423,2)="15"),'152-CT'!$J$8=TH!F423),"x","")</f>
        <v/>
      </c>
      <c r="AF423" s="66" t="str">
        <f>IF(AND(OR(LEFT(TH!N423,2)="15",LEFT(TH!O423,2)="15"),'THE KHO'!$E$7=TH!F423),"x","")</f>
        <v/>
      </c>
      <c r="AG423" s="66" t="str">
        <f>IF(AND(N423="1521",MONTH(C423)='BK NL'!$M$11),"x","")</f>
        <v/>
      </c>
      <c r="AI423" s="386">
        <v>2</v>
      </c>
    </row>
    <row r="424" spans="1:35" ht="15.75" hidden="1" customHeight="1">
      <c r="A424" s="397" t="str">
        <f>IF(B424&lt;&gt;"",IF(AND(B424&gt;=_TM1,B424&lt;=_TM2,OR(TH!N424="1111",TH!O424="1111")),TH!D424,""),"")</f>
        <v/>
      </c>
      <c r="B424" s="63">
        <f t="shared" si="50"/>
        <v>6</v>
      </c>
      <c r="C424" s="64">
        <v>42551</v>
      </c>
      <c r="D424" s="64" t="s">
        <v>45</v>
      </c>
      <c r="E424" s="64">
        <v>42531</v>
      </c>
      <c r="F424" s="67" t="s">
        <v>956</v>
      </c>
      <c r="G424" s="375" t="s">
        <v>957</v>
      </c>
      <c r="H424" s="7" t="s">
        <v>67</v>
      </c>
      <c r="I424" s="514"/>
      <c r="J424" s="514"/>
      <c r="K424" s="506"/>
      <c r="L424" s="514"/>
      <c r="M424" s="85">
        <v>151507353</v>
      </c>
      <c r="N424" s="66" t="s">
        <v>993</v>
      </c>
      <c r="O424" s="66" t="s">
        <v>9</v>
      </c>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49"/>
        <v>2</v>
      </c>
      <c r="AD424" s="66" t="str">
        <f>IF(AND(MONTH(E424)='IN-NX'!$J$5,'IN-NX'!$D$7=D424,OR(LEFT(TH!N424,2)="15",LEFT(TH!O424,2)="15")),"x","")</f>
        <v/>
      </c>
      <c r="AE424" s="66" t="str">
        <f>IF(AND(OR(LEFT(TH!N424,2)="15",LEFT(TH!O424,2)="15"),'152-CT'!$J$8=TH!F424),"x","")</f>
        <v/>
      </c>
      <c r="AF424" s="66" t="str">
        <f>IF(AND(OR(LEFT(TH!N424,2)="15",LEFT(TH!O424,2)="15"),'THE KHO'!$E$7=TH!F424),"x","")</f>
        <v/>
      </c>
      <c r="AG424" s="66" t="str">
        <f>IF(AND(N424="1521",MONTH(C424)='BK NL'!$M$11),"x","")</f>
        <v/>
      </c>
      <c r="AI424" s="386">
        <v>2</v>
      </c>
    </row>
    <row r="425" spans="1:35" ht="15.75" hidden="1" customHeight="1">
      <c r="A425" s="397" t="str">
        <f>IF(B425&lt;&gt;"",IF(AND(B425&gt;=_TM1,B425&lt;=_TM2,OR(TH!N425="1111",TH!O425="1111")),TH!D425,""),"")</f>
        <v/>
      </c>
      <c r="B425" s="63">
        <f t="shared" si="50"/>
        <v>6</v>
      </c>
      <c r="C425" s="64">
        <v>42551</v>
      </c>
      <c r="D425" s="1046" t="s">
        <v>45</v>
      </c>
      <c r="E425" s="82">
        <f>C425</f>
        <v>42551</v>
      </c>
      <c r="F425" s="83" t="s">
        <v>883</v>
      </c>
      <c r="G425" s="1046"/>
      <c r="H425" s="1047" t="s">
        <v>884</v>
      </c>
      <c r="I425" s="512"/>
      <c r="J425" s="512"/>
      <c r="K425" s="504"/>
      <c r="L425" s="512"/>
      <c r="M425" s="85">
        <v>1219554047</v>
      </c>
      <c r="N425" s="86" t="s">
        <v>107</v>
      </c>
      <c r="O425" s="86" t="s">
        <v>993</v>
      </c>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x</v>
      </c>
      <c r="AC425" s="66" t="str">
        <f t="shared" si="49"/>
        <v>2</v>
      </c>
      <c r="AD425" s="66" t="str">
        <f>IF(AND(MONTH(E425)='IN-NX'!$J$5,'IN-NX'!$D$7=D425,OR(LEFT(TH!N425,2)="15",LEFT(TH!O425,2)="15")),"x","")</f>
        <v/>
      </c>
      <c r="AE425" s="66" t="str">
        <f>IF(AND(OR(LEFT(TH!N425,2)="15",LEFT(TH!O425,2)="15"),'152-CT'!$J$8=TH!F425),"x","")</f>
        <v/>
      </c>
      <c r="AF425" s="66" t="str">
        <f>IF(AND(OR(LEFT(TH!N425,2)="15",LEFT(TH!O425,2)="15"),'THE KHO'!$E$7=TH!F425),"x","")</f>
        <v/>
      </c>
      <c r="AG425" s="66" t="str">
        <f>IF(AND(N425="1521",MONTH(C425)='BK NL'!$M$11),"x","")</f>
        <v/>
      </c>
      <c r="AH425" s="406"/>
      <c r="AI425" s="407"/>
    </row>
    <row r="426" spans="1:35" ht="15.75" hidden="1" customHeight="1">
      <c r="A426" s="397" t="str">
        <f>IF(B426&lt;&gt;"",IF(AND(B426&gt;=_TM1,B426&lt;=_TM2,OR(TH!N426="1111",TH!O426="1111")),TH!D426,""),"")</f>
        <v/>
      </c>
      <c r="B426" s="63">
        <f t="shared" si="50"/>
        <v>6</v>
      </c>
      <c r="C426" s="64">
        <f t="shared" ref="C426:C431" si="52">E426</f>
        <v>42551</v>
      </c>
      <c r="D426" s="64" t="s">
        <v>1018</v>
      </c>
      <c r="E426" s="64">
        <v>42551</v>
      </c>
      <c r="F426" s="67" t="s">
        <v>864</v>
      </c>
      <c r="G426" s="375"/>
      <c r="H426" s="74" t="s">
        <v>183</v>
      </c>
      <c r="I426" s="514"/>
      <c r="J426" s="514"/>
      <c r="K426" s="506"/>
      <c r="L426" s="514"/>
      <c r="M426" s="65">
        <f>ROUND((30000*36+40000*26)/1.1,0)</f>
        <v>1927273</v>
      </c>
      <c r="N426" s="66" t="s">
        <v>136</v>
      </c>
      <c r="O426" s="66" t="s">
        <v>98</v>
      </c>
      <c r="P426" s="66" t="str">
        <f>IF(AND('331-CT'!$E$7=TH!H426,OR(N426="331",O426="331")),"x","")</f>
        <v/>
      </c>
      <c r="Q426" s="66" t="str">
        <f>IF(AND($B426&gt;='111'!$N$11,$B426&lt;='111'!$O$11,OR($N426=$Q$7,$O426=$Q$7)),"x","")</f>
        <v>x</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49"/>
        <v>2</v>
      </c>
      <c r="AD426" s="66" t="str">
        <f>IF(AND(MONTH(E426)='IN-NX'!$J$5,'IN-NX'!$D$7=D426,OR(LEFT(TH!N426,2)="15",LEFT(TH!O426,2)="15")),"x","")</f>
        <v/>
      </c>
      <c r="AE426" s="66" t="str">
        <f>IF(AND(OR(LEFT(TH!N426,2)="15",LEFT(TH!O426,2)="15"),'152-CT'!$J$8=TH!F426),"x","")</f>
        <v/>
      </c>
      <c r="AF426" s="66" t="str">
        <f>IF(AND(OR(LEFT(TH!N426,2)="15",LEFT(TH!O426,2)="15"),'THE KHO'!$E$7=TH!F426),"x","")</f>
        <v/>
      </c>
      <c r="AG426" s="66" t="str">
        <f>IF(AND(N426="1521",MONTH(C426)='BK NL'!$M$11),"x","")</f>
        <v/>
      </c>
      <c r="AI426" s="408">
        <v>1</v>
      </c>
    </row>
    <row r="427" spans="1:35" ht="15.75" hidden="1" customHeight="1">
      <c r="A427" s="397" t="str">
        <f>IF(B427&lt;&gt;"",IF(AND(B427&gt;=_TM1,B427&lt;=_TM2,OR(TH!N427="1111",TH!O427="1111")),TH!D427,""),"")</f>
        <v/>
      </c>
      <c r="B427" s="63">
        <f t="shared" si="50"/>
        <v>6</v>
      </c>
      <c r="C427" s="64">
        <f t="shared" si="52"/>
        <v>42551</v>
      </c>
      <c r="D427" s="64" t="s">
        <v>1018</v>
      </c>
      <c r="E427" s="64">
        <v>42551</v>
      </c>
      <c r="F427" s="67" t="s">
        <v>865</v>
      </c>
      <c r="G427" s="375"/>
      <c r="H427" s="74" t="s">
        <v>183</v>
      </c>
      <c r="I427" s="514"/>
      <c r="J427" s="514"/>
      <c r="K427" s="506"/>
      <c r="L427" s="514"/>
      <c r="M427" s="100">
        <f>ROUND(M426*0.1,0)</f>
        <v>192727</v>
      </c>
      <c r="N427" s="66" t="s">
        <v>10</v>
      </c>
      <c r="O427" s="66" t="s">
        <v>98</v>
      </c>
      <c r="P427" s="66" t="str">
        <f>IF(AND('331-CT'!$E$7=TH!H427,OR(N427="331",O427="331")),"x","")</f>
        <v/>
      </c>
      <c r="Q427" s="66" t="str">
        <f>IF(AND($B427&gt;='111'!$N$11,$B427&lt;='111'!$O$11,OR($N427=$Q$7,$O427=$Q$7)),"x","")</f>
        <v>x</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49"/>
        <v>2</v>
      </c>
      <c r="AD427" s="66" t="str">
        <f>IF(AND(MONTH(E427)='IN-NX'!$J$5,'IN-NX'!$D$7=D427,OR(LEFT(TH!N427,2)="15",LEFT(TH!O427,2)="15")),"x","")</f>
        <v/>
      </c>
      <c r="AE427" s="66" t="str">
        <f>IF(AND(OR(LEFT(TH!N427,2)="15",LEFT(TH!O427,2)="15"),'152-CT'!$J$8=TH!F427),"x","")</f>
        <v/>
      </c>
      <c r="AF427" s="66" t="str">
        <f>IF(AND(OR(LEFT(TH!N427,2)="15",LEFT(TH!O427,2)="15"),'THE KHO'!$E$7=TH!F427),"x","")</f>
        <v/>
      </c>
      <c r="AG427" s="66" t="str">
        <f>IF(AND(N427="1521",MONTH(C427)='BK NL'!$M$11),"x","")</f>
        <v/>
      </c>
      <c r="AI427" s="386">
        <v>1</v>
      </c>
    </row>
    <row r="428" spans="1:35" ht="15.75" hidden="1" customHeight="1">
      <c r="A428" s="397" t="str">
        <f>IF(B428&lt;&gt;"",IF(AND(B428&gt;=_TM1,B428&lt;=_TM2,OR(TH!N428="1111",TH!O428="1111")),TH!D428,""),"")</f>
        <v/>
      </c>
      <c r="B428" s="63">
        <f t="shared" si="50"/>
        <v>6</v>
      </c>
      <c r="C428" s="64">
        <f t="shared" si="52"/>
        <v>42551</v>
      </c>
      <c r="D428" s="64" t="s">
        <v>1019</v>
      </c>
      <c r="E428" s="64">
        <v>42551</v>
      </c>
      <c r="F428" s="67" t="s">
        <v>1014</v>
      </c>
      <c r="G428" s="361" t="s">
        <v>808</v>
      </c>
      <c r="H428" s="74" t="s">
        <v>161</v>
      </c>
      <c r="I428" s="514"/>
      <c r="J428" s="514"/>
      <c r="K428" s="506"/>
      <c r="L428" s="514"/>
      <c r="M428" s="65">
        <v>55000000</v>
      </c>
      <c r="N428" s="66" t="s">
        <v>31</v>
      </c>
      <c r="O428" s="66" t="s">
        <v>98</v>
      </c>
      <c r="P428" s="66" t="str">
        <f>IF(AND('331-CT'!$E$7=TH!H428,OR(N428="331",O428="331")),"x","")</f>
        <v/>
      </c>
      <c r="Q428" s="66" t="str">
        <f>IF(AND($B428&gt;='111'!$N$11,$B428&lt;='111'!$O$11,OR($N428=$Q$7,$O428=$Q$7)),"x","")</f>
        <v>x</v>
      </c>
      <c r="R428" s="66" t="str">
        <f>IF(AND($N428=$Q$7,$B428&lt;'111'!$N$11),"x","")</f>
        <v/>
      </c>
      <c r="S428" s="66" t="str">
        <f>IF(AND($O428=$Q$7,$B428&lt;'111'!$N$11),"x","")</f>
        <v/>
      </c>
      <c r="T428" s="66" t="str">
        <f>IF(AND($B428&gt;='112'!$M$9,$B428&lt;='112'!$N$9,OR($N428='112'!$I$6,$O428='112'!$I$6)),"x","")</f>
        <v>x</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49"/>
        <v>2</v>
      </c>
      <c r="AD428" s="66" t="str">
        <f>IF(AND(MONTH(E428)='IN-NX'!$J$5,'IN-NX'!$D$7=D428,OR(LEFT(TH!N428,2)="15",LEFT(TH!O428,2)="15")),"x","")</f>
        <v/>
      </c>
      <c r="AE428" s="66" t="str">
        <f>IF(AND(OR(LEFT(TH!N428,2)="15",LEFT(TH!O428,2)="15"),'152-CT'!$J$8=TH!F428),"x","")</f>
        <v/>
      </c>
      <c r="AF428" s="66" t="str">
        <f>IF(AND(OR(LEFT(TH!N428,2)="15",LEFT(TH!O428,2)="15"),'THE KHO'!$E$7=TH!F428),"x","")</f>
        <v/>
      </c>
      <c r="AG428" s="66" t="str">
        <f>IF(AND(N428="1521",MONTH(C428)='BK NL'!$M$11),"x","")</f>
        <v/>
      </c>
    </row>
    <row r="429" spans="1:35" ht="15.75" hidden="1" customHeight="1">
      <c r="A429" s="397" t="str">
        <f>IF(B429&lt;&gt;"",IF(AND(B429&gt;=_TM1,B429&lt;=_TM2,OR(TH!N429="1111",TH!O429="1111")),TH!D429,""),"")</f>
        <v/>
      </c>
      <c r="B429" s="63">
        <f t="shared" si="50"/>
        <v>6</v>
      </c>
      <c r="C429" s="64">
        <f t="shared" si="52"/>
        <v>42551</v>
      </c>
      <c r="D429" s="64" t="s">
        <v>8</v>
      </c>
      <c r="E429" s="64">
        <v>42551</v>
      </c>
      <c r="F429" s="67" t="s">
        <v>1017</v>
      </c>
      <c r="G429" s="375" t="s">
        <v>808</v>
      </c>
      <c r="H429" s="74" t="s">
        <v>222</v>
      </c>
      <c r="I429" s="514"/>
      <c r="J429" s="514"/>
      <c r="K429" s="506"/>
      <c r="L429" s="514"/>
      <c r="M429" s="65">
        <v>54254970</v>
      </c>
      <c r="N429" s="66" t="s">
        <v>9</v>
      </c>
      <c r="O429" s="66" t="s">
        <v>31</v>
      </c>
      <c r="P429" s="66" t="str">
        <f>IF(AND('331-CT'!$E$7=TH!H429,OR(N429="331",O429="331")),"x","")</f>
        <v/>
      </c>
      <c r="Q429" s="66" t="str">
        <f>IF(AND($B429&gt;='111'!$N$11,$B429&lt;='111'!$O$11,OR($N429=$Q$7,$O429=$Q$7)),"x","")</f>
        <v/>
      </c>
      <c r="R429" s="66" t="str">
        <f>IF(AND($N429=$Q$7,$B429&lt;'111'!$N$11),"x","")</f>
        <v/>
      </c>
      <c r="S429" s="66" t="str">
        <f>IF(AND($O429=$Q$7,$B429&lt;'111'!$N$11),"x","")</f>
        <v/>
      </c>
      <c r="T429" s="66" t="str">
        <f>IF(AND($B429&gt;='112'!$M$9,$B429&lt;='112'!$N$9,OR($N429='112'!$I$6,$O429='112'!$I$6)),"x","")</f>
        <v>x</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49"/>
        <v>2</v>
      </c>
      <c r="AD429" s="66" t="str">
        <f>IF(AND(MONTH(E429)='IN-NX'!$J$5,'IN-NX'!$D$7=D429,OR(LEFT(TH!N429,2)="15",LEFT(TH!O429,2)="15")),"x","")</f>
        <v/>
      </c>
      <c r="AE429" s="66" t="str">
        <f>IF(AND(OR(LEFT(TH!N429,2)="15",LEFT(TH!O429,2)="15"),'152-CT'!$J$8=TH!F429),"x","")</f>
        <v/>
      </c>
      <c r="AF429" s="66" t="str">
        <f>IF(AND(OR(LEFT(TH!N429,2)="15",LEFT(TH!O429,2)="15"),'THE KHO'!$E$7=TH!F429),"x","")</f>
        <v/>
      </c>
      <c r="AG429" s="66" t="str">
        <f>IF(AND(N429="1521",MONTH(C429)='BK NL'!$M$11),"x","")</f>
        <v/>
      </c>
    </row>
    <row r="430" spans="1:35" ht="15.75" hidden="1" customHeight="1">
      <c r="A430" s="397" t="str">
        <f>IF(B430&lt;&gt;"",IF(AND(B430&gt;=_TM1,B430&lt;=_TM2,OR(TH!N430="1111",TH!O430="1111")),TH!D430,""),"")</f>
        <v/>
      </c>
      <c r="B430" s="63">
        <f t="shared" si="50"/>
        <v>6</v>
      </c>
      <c r="C430" s="64">
        <f t="shared" si="52"/>
        <v>42551</v>
      </c>
      <c r="D430" s="64" t="s">
        <v>8</v>
      </c>
      <c r="E430" s="64">
        <v>42551</v>
      </c>
      <c r="F430" s="67" t="s">
        <v>22</v>
      </c>
      <c r="G430" s="375" t="s">
        <v>808</v>
      </c>
      <c r="H430" s="404"/>
      <c r="I430" s="515"/>
      <c r="J430" s="515"/>
      <c r="K430" s="507"/>
      <c r="L430" s="515"/>
      <c r="M430" s="65">
        <v>47127</v>
      </c>
      <c r="N430" s="66" t="s">
        <v>136</v>
      </c>
      <c r="O430" s="66" t="s">
        <v>31</v>
      </c>
      <c r="P430" s="66" t="str">
        <f>IF(AND('331-CT'!$E$7=TH!H430,OR(N430="331",O430="331")),"x","")</f>
        <v/>
      </c>
      <c r="Q430" s="66" t="str">
        <f>IF(AND($B430&gt;='111'!$N$11,$B430&lt;='111'!$O$11,OR($N430=$Q$7,$O430=$Q$7)),"x","")</f>
        <v/>
      </c>
      <c r="R430" s="66" t="str">
        <f>IF(AND($N430=$Q$7,$B430&lt;'111'!$N$11),"x","")</f>
        <v/>
      </c>
      <c r="S430" s="66" t="str">
        <f>IF(AND($O430=$Q$7,$B430&lt;'111'!$N$11),"x","")</f>
        <v/>
      </c>
      <c r="T430" s="66" t="str">
        <f>IF(AND($B430&gt;='112'!$M$9,$B430&lt;='112'!$N$9,OR($N430='112'!$I$6,$O430='112'!$I$6)),"x","")</f>
        <v>x</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49"/>
        <v>2</v>
      </c>
      <c r="AD430" s="66" t="str">
        <f>IF(AND(MONTH(E430)='IN-NX'!$J$5,'IN-NX'!$D$7=D430,OR(LEFT(TH!N430,2)="15",LEFT(TH!O430,2)="15")),"x","")</f>
        <v/>
      </c>
      <c r="AE430" s="66" t="str">
        <f>IF(AND(OR(LEFT(TH!N430,2)="15",LEFT(TH!O430,2)="15"),'152-CT'!$J$8=TH!F430),"x","")</f>
        <v/>
      </c>
      <c r="AF430" s="66" t="str">
        <f>IF(AND(OR(LEFT(TH!N430,2)="15",LEFT(TH!O430,2)="15"),'THE KHO'!$E$7=TH!F430),"x","")</f>
        <v/>
      </c>
      <c r="AG430" s="66" t="str">
        <f>IF(AND(N430="1521",MONTH(C430)='BK NL'!$M$11),"x","")</f>
        <v/>
      </c>
      <c r="AI430" s="386">
        <v>1</v>
      </c>
    </row>
    <row r="431" spans="1:35" ht="15.75" hidden="1" customHeight="1">
      <c r="A431" s="397" t="str">
        <f>IF(B431&lt;&gt;"",IF(AND(B431&gt;=_TM1,B431&lt;=_TM2,OR(TH!N431="1111",TH!O431="1111")),TH!D431,""),"")</f>
        <v/>
      </c>
      <c r="B431" s="63">
        <f t="shared" si="50"/>
        <v>6</v>
      </c>
      <c r="C431" s="64">
        <f t="shared" si="52"/>
        <v>42551</v>
      </c>
      <c r="D431" s="64" t="s">
        <v>8</v>
      </c>
      <c r="E431" s="64">
        <v>42551</v>
      </c>
      <c r="F431" s="67" t="s">
        <v>23</v>
      </c>
      <c r="G431" s="375" t="s">
        <v>808</v>
      </c>
      <c r="H431" s="74"/>
      <c r="I431" s="514"/>
      <c r="J431" s="514"/>
      <c r="K431" s="506"/>
      <c r="L431" s="514"/>
      <c r="M431" s="100">
        <v>4713</v>
      </c>
      <c r="N431" s="66" t="s">
        <v>10</v>
      </c>
      <c r="O431" s="66" t="s">
        <v>31</v>
      </c>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x</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49"/>
        <v>2</v>
      </c>
      <c r="AD431" s="66" t="str">
        <f>IF(AND(MONTH(E431)='IN-NX'!$J$5,'IN-NX'!$D$7=D431,OR(LEFT(TH!N431,2)="15",LEFT(TH!O431,2)="15")),"x","")</f>
        <v/>
      </c>
      <c r="AE431" s="66" t="str">
        <f>IF(AND(OR(LEFT(TH!N431,2)="15",LEFT(TH!O431,2)="15"),'152-CT'!$J$8=TH!F431),"x","")</f>
        <v/>
      </c>
      <c r="AF431" s="66" t="str">
        <f>IF(AND(OR(LEFT(TH!N431,2)="15",LEFT(TH!O431,2)="15"),'THE KHO'!$E$7=TH!F431),"x","")</f>
        <v/>
      </c>
      <c r="AG431" s="66" t="str">
        <f>IF(AND(N431="1521",MONTH(C431)='BK NL'!$M$11),"x","")</f>
        <v/>
      </c>
      <c r="AI431" s="386">
        <v>1</v>
      </c>
    </row>
    <row r="432" spans="1:35" ht="15.75" hidden="1" customHeight="1">
      <c r="A432" s="397" t="str">
        <f>IF(B432&lt;&gt;"",IF(AND(B432&gt;=_TM1,B432&lt;=_TM2,OR(TH!N432="1111",TH!O432="1111")),TH!D432,""),"")</f>
        <v/>
      </c>
      <c r="B432" s="63">
        <f t="shared" ref="B432:B455" si="53">IF(C432&lt;&gt;"",MONTH(C432),"")</f>
        <v>7</v>
      </c>
      <c r="C432" s="64">
        <v>42562</v>
      </c>
      <c r="D432" s="64" t="s">
        <v>45</v>
      </c>
      <c r="E432" s="64">
        <v>42562</v>
      </c>
      <c r="F432" s="67" t="s">
        <v>1021</v>
      </c>
      <c r="G432" s="375" t="s">
        <v>1023</v>
      </c>
      <c r="H432" s="74" t="s">
        <v>222</v>
      </c>
      <c r="I432" s="514"/>
      <c r="J432" s="514"/>
      <c r="K432" s="506"/>
      <c r="L432" s="514"/>
      <c r="M432" s="65">
        <v>24508900</v>
      </c>
      <c r="N432" s="66" t="s">
        <v>136</v>
      </c>
      <c r="O432" s="66" t="s">
        <v>9</v>
      </c>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si="49"/>
        <v>3</v>
      </c>
      <c r="AD432" s="66" t="str">
        <f>IF(AND(MONTH(E432)='IN-NX'!$J$5,'IN-NX'!$D$7=D432,OR(LEFT(TH!N432,2)="15",LEFT(TH!O432,2)="15")),"x","")</f>
        <v/>
      </c>
      <c r="AE432" s="66" t="str">
        <f>IF(AND(OR(LEFT(TH!N432,2)="15",LEFT(TH!O432,2)="15"),'152-CT'!$J$8=TH!F432),"x","")</f>
        <v/>
      </c>
      <c r="AF432" s="66" t="str">
        <f>IF(AND(OR(LEFT(TH!N432,2)="15",LEFT(TH!O432,2)="15"),'THE KHO'!$E$7=TH!F432),"x","")</f>
        <v/>
      </c>
      <c r="AG432" s="66" t="str">
        <f>IF(AND(N432="1521",MONTH(C432)='BK NL'!$M$11),"x","")</f>
        <v/>
      </c>
    </row>
    <row r="433" spans="1:33" ht="15.75" hidden="1" customHeight="1">
      <c r="A433" s="397" t="str">
        <f>IF(B433&lt;&gt;"",IF(AND(B433&gt;=_TM1,B433&lt;=_TM2,OR(TH!N433="1111",TH!O433="1111")),TH!D433,""),"")</f>
        <v/>
      </c>
      <c r="B433" s="63">
        <f t="shared" si="53"/>
        <v>7</v>
      </c>
      <c r="C433" s="64">
        <v>42562</v>
      </c>
      <c r="D433" s="64" t="s">
        <v>45</v>
      </c>
      <c r="E433" s="64">
        <v>42562</v>
      </c>
      <c r="F433" s="67" t="s">
        <v>1022</v>
      </c>
      <c r="G433" s="375" t="s">
        <v>1023</v>
      </c>
      <c r="H433" s="74" t="s">
        <v>222</v>
      </c>
      <c r="I433" s="514"/>
      <c r="J433" s="514"/>
      <c r="K433" s="506"/>
      <c r="L433" s="514"/>
      <c r="M433" s="65">
        <v>2450890</v>
      </c>
      <c r="N433" s="66" t="s">
        <v>10</v>
      </c>
      <c r="O433" s="66" t="s">
        <v>9</v>
      </c>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49"/>
        <v>3</v>
      </c>
      <c r="AD433" s="66" t="str">
        <f>IF(AND(MONTH(E433)='IN-NX'!$J$5,'IN-NX'!$D$7=D433,OR(LEFT(TH!N433,2)="15",LEFT(TH!O433,2)="15")),"x","")</f>
        <v/>
      </c>
      <c r="AE433" s="66" t="str">
        <f>IF(AND(OR(LEFT(TH!N433,2)="15",LEFT(TH!O433,2)="15"),'152-CT'!$J$8=TH!F433),"x","")</f>
        <v/>
      </c>
      <c r="AF433" s="66" t="str">
        <f>IF(AND(OR(LEFT(TH!N433,2)="15",LEFT(TH!O433,2)="15"),'THE KHO'!$E$7=TH!F433),"x","")</f>
        <v/>
      </c>
      <c r="AG433" s="66" t="str">
        <f>IF(AND(N433="1521",MONTH(C433)='BK NL'!$M$11),"x","")</f>
        <v/>
      </c>
    </row>
    <row r="434" spans="1:33" ht="15.75" hidden="1" customHeight="1">
      <c r="A434" s="397" t="str">
        <f>IF(B434&lt;&gt;"",IF(AND(B434&gt;=_TM1,B434&lt;=_TM2,OR(TH!N434="1111",TH!O434="1111")),TH!D434,""),"")</f>
        <v/>
      </c>
      <c r="B434" s="63">
        <f t="shared" si="53"/>
        <v>7</v>
      </c>
      <c r="C434" s="64">
        <v>42577</v>
      </c>
      <c r="D434" s="64" t="s">
        <v>45</v>
      </c>
      <c r="E434" s="64">
        <v>42577</v>
      </c>
      <c r="F434" s="67" t="s">
        <v>1024</v>
      </c>
      <c r="G434" s="375" t="s">
        <v>1026</v>
      </c>
      <c r="H434" s="74" t="s">
        <v>222</v>
      </c>
      <c r="I434" s="514"/>
      <c r="J434" s="514"/>
      <c r="K434" s="506"/>
      <c r="L434" s="514"/>
      <c r="M434" s="65">
        <v>23796000</v>
      </c>
      <c r="N434" s="66" t="s">
        <v>136</v>
      </c>
      <c r="O434" s="66" t="s">
        <v>9</v>
      </c>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49"/>
        <v>3</v>
      </c>
      <c r="AD434" s="66" t="str">
        <f>IF(AND(MONTH(E434)='IN-NX'!$J$5,'IN-NX'!$D$7=D434,OR(LEFT(TH!N434,2)="15",LEFT(TH!O434,2)="15")),"x","")</f>
        <v/>
      </c>
      <c r="AE434" s="66" t="str">
        <f>IF(AND(OR(LEFT(TH!N434,2)="15",LEFT(TH!O434,2)="15"),'152-CT'!$J$8=TH!F434),"x","")</f>
        <v/>
      </c>
      <c r="AF434" s="66" t="str">
        <f>IF(AND(OR(LEFT(TH!N434,2)="15",LEFT(TH!O434,2)="15"),'THE KHO'!$E$7=TH!F434),"x","")</f>
        <v/>
      </c>
      <c r="AG434" s="66" t="str">
        <f>IF(AND(N434="1521",MONTH(C434)='BK NL'!$M$11),"x","")</f>
        <v/>
      </c>
    </row>
    <row r="435" spans="1:33" ht="15.75" hidden="1" customHeight="1">
      <c r="A435" s="397" t="str">
        <f>IF(B435&lt;&gt;"",IF(AND(B435&gt;=_TM1,B435&lt;=_TM2,OR(TH!N435="1111",TH!O435="1111")),TH!D435,""),"")</f>
        <v/>
      </c>
      <c r="B435" s="63">
        <f t="shared" si="53"/>
        <v>7</v>
      </c>
      <c r="C435" s="64">
        <v>42577</v>
      </c>
      <c r="D435" s="64" t="s">
        <v>45</v>
      </c>
      <c r="E435" s="64">
        <v>42577</v>
      </c>
      <c r="F435" s="67" t="s">
        <v>1025</v>
      </c>
      <c r="G435" s="375" t="s">
        <v>1026</v>
      </c>
      <c r="H435" s="74" t="s">
        <v>222</v>
      </c>
      <c r="I435" s="514"/>
      <c r="J435" s="514"/>
      <c r="K435" s="506"/>
      <c r="L435" s="514"/>
      <c r="M435" s="65">
        <v>2379600</v>
      </c>
      <c r="N435" s="66" t="s">
        <v>10</v>
      </c>
      <c r="O435" s="66" t="s">
        <v>9</v>
      </c>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49"/>
        <v>3</v>
      </c>
      <c r="AD435" s="66" t="str">
        <f>IF(AND(MONTH(E435)='IN-NX'!$J$5,'IN-NX'!$D$7=D435,OR(LEFT(TH!N435,2)="15",LEFT(TH!O435,2)="15")),"x","")</f>
        <v/>
      </c>
      <c r="AE435" s="66" t="str">
        <f>IF(AND(OR(LEFT(TH!N435,2)="15",LEFT(TH!O435,2)="15"),'152-CT'!$J$8=TH!F435),"x","")</f>
        <v/>
      </c>
      <c r="AF435" s="66" t="str">
        <f>IF(AND(OR(LEFT(TH!N435,2)="15",LEFT(TH!O435,2)="15"),'THE KHO'!$E$7=TH!F435),"x","")</f>
        <v/>
      </c>
      <c r="AG435" s="66" t="str">
        <f>IF(AND(N435="1521",MONTH(C435)='BK NL'!$M$11),"x","")</f>
        <v/>
      </c>
    </row>
    <row r="436" spans="1:33" ht="15.75" hidden="1" customHeight="1">
      <c r="A436" s="397" t="str">
        <f>IF(B436&lt;&gt;"",IF(AND(B436&gt;=_TM1,B436&lt;=_TM2,OR(TH!N436="1111",TH!O436="1111")),TH!D436,""),"")</f>
        <v/>
      </c>
      <c r="B436" s="63" t="str">
        <f t="shared" si="53"/>
        <v/>
      </c>
      <c r="C436" s="64"/>
      <c r="D436" s="64"/>
      <c r="E436" s="64"/>
      <c r="F436" s="67"/>
      <c r="G436" s="361"/>
      <c r="H436" s="74"/>
      <c r="I436" s="514"/>
      <c r="J436" s="514"/>
      <c r="K436" s="506"/>
      <c r="L436" s="514"/>
      <c r="M436" s="65"/>
      <c r="N436" s="66"/>
      <c r="O436" s="66"/>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49"/>
        <v/>
      </c>
      <c r="AD436" s="66" t="str">
        <f>IF(AND(MONTH(E436)='IN-NX'!$J$5,'IN-NX'!$D$7=D436,OR(LEFT(TH!N436,2)="15",LEFT(TH!O436,2)="15")),"x","")</f>
        <v/>
      </c>
      <c r="AE436" s="66" t="str">
        <f>IF(AND(OR(LEFT(TH!N436,2)="15",LEFT(TH!O436,2)="15"),'152-CT'!$J$8=TH!F436),"x","")</f>
        <v/>
      </c>
      <c r="AF436" s="66" t="str">
        <f>IF(AND(OR(LEFT(TH!N436,2)="15",LEFT(TH!O436,2)="15"),'THE KHO'!$E$7=TH!F436),"x","")</f>
        <v/>
      </c>
      <c r="AG436" s="66" t="str">
        <f>IF(AND(N436="1521",MONTH(C436)='BK NL'!$M$11),"x","")</f>
        <v/>
      </c>
    </row>
    <row r="437" spans="1:33" ht="15.75" hidden="1" customHeight="1">
      <c r="A437" s="397" t="str">
        <f>IF(B437&lt;&gt;"",IF(AND(B437&gt;=_TM1,B437&lt;=_TM2,OR(TH!N437="1111",TH!O437="1111")),TH!D437,""),"")</f>
        <v/>
      </c>
      <c r="B437" s="63" t="str">
        <f t="shared" si="53"/>
        <v/>
      </c>
      <c r="C437" s="64"/>
      <c r="D437" s="64"/>
      <c r="E437" s="64"/>
      <c r="F437" s="67"/>
      <c r="G437" s="361"/>
      <c r="H437" s="74"/>
      <c r="I437" s="514"/>
      <c r="J437" s="514"/>
      <c r="K437" s="506"/>
      <c r="L437" s="514"/>
      <c r="M437" s="65"/>
      <c r="N437" s="66"/>
      <c r="O437" s="66"/>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49"/>
        <v/>
      </c>
      <c r="AD437" s="66" t="str">
        <f>IF(AND(MONTH(E437)='IN-NX'!$J$5,'IN-NX'!$D$7=D437,OR(LEFT(TH!N437,2)="15",LEFT(TH!O437,2)="15")),"x","")</f>
        <v/>
      </c>
      <c r="AE437" s="66" t="str">
        <f>IF(AND(OR(LEFT(TH!N437,2)="15",LEFT(TH!O437,2)="15"),'152-CT'!$J$8=TH!F437),"x","")</f>
        <v/>
      </c>
      <c r="AF437" s="66" t="str">
        <f>IF(AND(OR(LEFT(TH!N437,2)="15",LEFT(TH!O437,2)="15"),'THE KHO'!$E$7=TH!F437),"x","")</f>
        <v/>
      </c>
      <c r="AG437" s="66" t="str">
        <f>IF(AND(N437="1521",MONTH(C437)='BK NL'!$M$11),"x","")</f>
        <v/>
      </c>
    </row>
    <row r="438" spans="1:33" ht="15.75" hidden="1" customHeight="1">
      <c r="A438" s="397" t="str">
        <f>IF(B438&lt;&gt;"",IF(AND(B438&gt;=_TM1,B438&lt;=_TM2,OR(TH!N438="1111",TH!O438="1111")),TH!D438,""),"")</f>
        <v/>
      </c>
      <c r="B438" s="63" t="str">
        <f t="shared" si="53"/>
        <v/>
      </c>
      <c r="C438" s="64"/>
      <c r="D438" s="64"/>
      <c r="E438" s="64"/>
      <c r="F438" s="67"/>
      <c r="G438" s="361"/>
      <c r="H438" s="74"/>
      <c r="I438" s="514"/>
      <c r="J438" s="514"/>
      <c r="K438" s="506"/>
      <c r="L438" s="514"/>
      <c r="M438" s="65"/>
      <c r="N438" s="66"/>
      <c r="O438" s="66"/>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49"/>
        <v/>
      </c>
      <c r="AD438" s="66" t="str">
        <f>IF(AND(MONTH(E438)='IN-NX'!$J$5,'IN-NX'!$D$7=D438,OR(LEFT(TH!N438,2)="15",LEFT(TH!O438,2)="15")),"x","")</f>
        <v/>
      </c>
      <c r="AE438" s="66" t="str">
        <f>IF(AND(OR(LEFT(TH!N438,2)="15",LEFT(TH!O438,2)="15"),'152-CT'!$J$8=TH!F438),"x","")</f>
        <v/>
      </c>
      <c r="AF438" s="66" t="str">
        <f>IF(AND(OR(LEFT(TH!N438,2)="15",LEFT(TH!O438,2)="15"),'THE KHO'!$E$7=TH!F438),"x","")</f>
        <v/>
      </c>
      <c r="AG438" s="66" t="str">
        <f>IF(AND(N438="1521",MONTH(C438)='BK NL'!$M$11),"x","")</f>
        <v/>
      </c>
    </row>
    <row r="439" spans="1:33" ht="15.75" hidden="1" customHeight="1">
      <c r="A439" s="397" t="str">
        <f>IF(B439&lt;&gt;"",IF(AND(B439&gt;=_TM1,B439&lt;=_TM2,OR(TH!N439="1111",TH!O439="1111")),TH!D439,""),"")</f>
        <v/>
      </c>
      <c r="B439" s="63" t="str">
        <f t="shared" si="53"/>
        <v/>
      </c>
      <c r="C439" s="64"/>
      <c r="D439" s="64"/>
      <c r="E439" s="64"/>
      <c r="F439" s="67"/>
      <c r="G439" s="361"/>
      <c r="H439" s="74"/>
      <c r="I439" s="514"/>
      <c r="J439" s="514"/>
      <c r="K439" s="506"/>
      <c r="L439" s="514"/>
      <c r="M439" s="65"/>
      <c r="N439" s="66"/>
      <c r="O439" s="66"/>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49"/>
        <v/>
      </c>
      <c r="AD439" s="66" t="str">
        <f>IF(AND(MONTH(E439)='IN-NX'!$J$5,'IN-NX'!$D$7=D439,OR(LEFT(TH!N439,2)="15",LEFT(TH!O439,2)="15")),"x","")</f>
        <v/>
      </c>
      <c r="AE439" s="66" t="str">
        <f>IF(AND(OR(LEFT(TH!N439,2)="15",LEFT(TH!O439,2)="15"),'152-CT'!$J$8=TH!F439),"x","")</f>
        <v/>
      </c>
      <c r="AF439" s="66" t="str">
        <f>IF(AND(OR(LEFT(TH!N439,2)="15",LEFT(TH!O439,2)="15"),'THE KHO'!$E$7=TH!F439),"x","")</f>
        <v/>
      </c>
      <c r="AG439" s="66" t="str">
        <f>IF(AND(N439="1521",MONTH(C439)='BK NL'!$M$11),"x","")</f>
        <v/>
      </c>
    </row>
    <row r="440" spans="1:33" ht="15.75" hidden="1" customHeight="1">
      <c r="A440" s="397" t="str">
        <f>IF(B440&lt;&gt;"",IF(AND(B440&gt;=_TM1,B440&lt;=_TM2,OR(TH!N440="1111",TH!O440="1111")),TH!D440,""),"")</f>
        <v/>
      </c>
      <c r="B440" s="63" t="str">
        <f t="shared" si="53"/>
        <v/>
      </c>
      <c r="C440" s="64"/>
      <c r="D440" s="64"/>
      <c r="E440" s="64"/>
      <c r="F440" s="67"/>
      <c r="G440" s="361"/>
      <c r="H440" s="74"/>
      <c r="I440" s="514"/>
      <c r="J440" s="514"/>
      <c r="K440" s="506"/>
      <c r="L440" s="514"/>
      <c r="M440" s="65"/>
      <c r="N440" s="66"/>
      <c r="O440" s="66"/>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49"/>
        <v/>
      </c>
      <c r="AD440" s="66" t="str">
        <f>IF(AND(MONTH(E440)='IN-NX'!$J$5,'IN-NX'!$D$7=D440,OR(LEFT(TH!N440,2)="15",LEFT(TH!O440,2)="15")),"x","")</f>
        <v/>
      </c>
      <c r="AE440" s="66" t="str">
        <f>IF(AND(OR(LEFT(TH!N440,2)="15",LEFT(TH!O440,2)="15"),'152-CT'!$J$8=TH!F440),"x","")</f>
        <v/>
      </c>
      <c r="AF440" s="66" t="str">
        <f>IF(AND(OR(LEFT(TH!N440,2)="15",LEFT(TH!O440,2)="15"),'THE KHO'!$E$7=TH!F440),"x","")</f>
        <v/>
      </c>
      <c r="AG440" s="66" t="str">
        <f>IF(AND(N440="1521",MONTH(C440)='BK NL'!$M$11),"x","")</f>
        <v/>
      </c>
    </row>
    <row r="441" spans="1:33" ht="15.75" hidden="1" customHeight="1">
      <c r="A441" s="397" t="str">
        <f>IF(B441&lt;&gt;"",IF(AND(B441&gt;=_TM1,B441&lt;=_TM2,OR(TH!N441="1111",TH!O441="1111")),TH!D441,""),"")</f>
        <v/>
      </c>
      <c r="B441" s="63" t="str">
        <f t="shared" si="53"/>
        <v/>
      </c>
      <c r="C441" s="64"/>
      <c r="D441" s="64"/>
      <c r="E441" s="64"/>
      <c r="F441" s="67"/>
      <c r="G441" s="361"/>
      <c r="H441" s="74"/>
      <c r="I441" s="514"/>
      <c r="J441" s="514"/>
      <c r="K441" s="506"/>
      <c r="L441" s="514"/>
      <c r="M441" s="65"/>
      <c r="N441" s="66"/>
      <c r="O441" s="66"/>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49"/>
        <v/>
      </c>
      <c r="AD441" s="66" t="str">
        <f>IF(AND(MONTH(E441)='IN-NX'!$J$5,'IN-NX'!$D$7=D441,OR(LEFT(TH!N441,2)="15",LEFT(TH!O441,2)="15")),"x","")</f>
        <v/>
      </c>
      <c r="AE441" s="66" t="str">
        <f>IF(AND(OR(LEFT(TH!N441,2)="15",LEFT(TH!O441,2)="15"),'152-CT'!$J$8=TH!F441),"x","")</f>
        <v/>
      </c>
      <c r="AF441" s="66" t="str">
        <f>IF(AND(OR(LEFT(TH!N441,2)="15",LEFT(TH!O441,2)="15"),'THE KHO'!$E$7=TH!F441),"x","")</f>
        <v/>
      </c>
      <c r="AG441" s="66" t="str">
        <f>IF(AND(N441="1521",MONTH(C441)='BK NL'!$M$11),"x","")</f>
        <v/>
      </c>
    </row>
    <row r="442" spans="1:33" ht="15.75" hidden="1" customHeight="1">
      <c r="A442" s="397" t="str">
        <f>IF(B442&lt;&gt;"",IF(AND(B442&gt;=_TM1,B442&lt;=_TM2,OR(TH!N442="1111",TH!O442="1111")),TH!D442,""),"")</f>
        <v/>
      </c>
      <c r="B442" s="63" t="str">
        <f t="shared" si="53"/>
        <v/>
      </c>
      <c r="C442" s="64"/>
      <c r="D442" s="64"/>
      <c r="E442" s="64"/>
      <c r="F442" s="67"/>
      <c r="G442" s="361"/>
      <c r="H442" s="74"/>
      <c r="I442" s="514"/>
      <c r="J442" s="514"/>
      <c r="K442" s="506"/>
      <c r="L442" s="514"/>
      <c r="M442" s="65"/>
      <c r="N442" s="66"/>
      <c r="O442" s="66"/>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49"/>
        <v/>
      </c>
      <c r="AD442" s="66" t="str">
        <f>IF(AND(MONTH(E442)='IN-NX'!$J$5,'IN-NX'!$D$7=D442,OR(LEFT(TH!N442,2)="15",LEFT(TH!O442,2)="15")),"x","")</f>
        <v/>
      </c>
      <c r="AE442" s="66" t="str">
        <f>IF(AND(OR(LEFT(TH!N442,2)="15",LEFT(TH!O442,2)="15"),'152-CT'!$J$8=TH!F442),"x","")</f>
        <v/>
      </c>
      <c r="AF442" s="66" t="str">
        <f>IF(AND(OR(LEFT(TH!N442,2)="15",LEFT(TH!O442,2)="15"),'THE KHO'!$E$7=TH!F442),"x","")</f>
        <v/>
      </c>
      <c r="AG442" s="66" t="str">
        <f>IF(AND(N442="1521",MONTH(C442)='BK NL'!$M$11),"x","")</f>
        <v/>
      </c>
    </row>
    <row r="443" spans="1:33" ht="15.75" hidden="1" customHeight="1">
      <c r="A443" s="397" t="str">
        <f>IF(B443&lt;&gt;"",IF(AND(B443&gt;=_TM1,B443&lt;=_TM2,OR(TH!N443="1111",TH!O443="1111")),TH!D443,""),"")</f>
        <v/>
      </c>
      <c r="B443" s="63" t="str">
        <f t="shared" si="53"/>
        <v/>
      </c>
      <c r="C443" s="64"/>
      <c r="D443" s="64"/>
      <c r="E443" s="64"/>
      <c r="F443" s="67"/>
      <c r="G443" s="361"/>
      <c r="H443" s="74"/>
      <c r="I443" s="514"/>
      <c r="J443" s="514"/>
      <c r="K443" s="506"/>
      <c r="L443" s="514"/>
      <c r="M443" s="65"/>
      <c r="N443" s="66"/>
      <c r="O443" s="66"/>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49"/>
        <v/>
      </c>
      <c r="AD443" s="66" t="str">
        <f>IF(AND(MONTH(E443)='IN-NX'!$J$5,'IN-NX'!$D$7=D443,OR(LEFT(TH!N443,2)="15",LEFT(TH!O443,2)="15")),"x","")</f>
        <v/>
      </c>
      <c r="AE443" s="66" t="str">
        <f>IF(AND(OR(LEFT(TH!N443,2)="15",LEFT(TH!O443,2)="15"),'152-CT'!$J$8=TH!F443),"x","")</f>
        <v/>
      </c>
      <c r="AF443" s="66" t="str">
        <f>IF(AND(OR(LEFT(TH!N443,2)="15",LEFT(TH!O443,2)="15"),'THE KHO'!$E$7=TH!F443),"x","")</f>
        <v/>
      </c>
      <c r="AG443" s="66" t="str">
        <f>IF(AND(N443="1521",MONTH(C443)='BK NL'!$M$11),"x","")</f>
        <v/>
      </c>
    </row>
    <row r="444" spans="1:33" ht="15.75" hidden="1" customHeight="1">
      <c r="A444" s="397" t="str">
        <f>IF(B444&lt;&gt;"",IF(AND(B444&gt;=_TM1,B444&lt;=_TM2,OR(TH!N444="1111",TH!O444="1111")),TH!D444,""),"")</f>
        <v/>
      </c>
      <c r="B444" s="63" t="str">
        <f t="shared" si="53"/>
        <v/>
      </c>
      <c r="C444" s="64"/>
      <c r="D444" s="64"/>
      <c r="E444" s="64"/>
      <c r="F444" s="67"/>
      <c r="G444" s="361"/>
      <c r="H444" s="74"/>
      <c r="I444" s="514"/>
      <c r="J444" s="514"/>
      <c r="K444" s="506"/>
      <c r="L444" s="514"/>
      <c r="M444" s="65"/>
      <c r="N444" s="66"/>
      <c r="O444" s="66"/>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49"/>
        <v/>
      </c>
      <c r="AD444" s="66" t="str">
        <f>IF(AND(MONTH(E444)='IN-NX'!$J$5,'IN-NX'!$D$7=D444,OR(LEFT(TH!N444,2)="15",LEFT(TH!O444,2)="15")),"x","")</f>
        <v/>
      </c>
      <c r="AE444" s="66" t="str">
        <f>IF(AND(OR(LEFT(TH!N444,2)="15",LEFT(TH!O444,2)="15"),'152-CT'!$J$8=TH!F444),"x","")</f>
        <v/>
      </c>
      <c r="AF444" s="66" t="str">
        <f>IF(AND(OR(LEFT(TH!N444,2)="15",LEFT(TH!O444,2)="15"),'THE KHO'!$E$7=TH!F444),"x","")</f>
        <v/>
      </c>
      <c r="AG444" s="66" t="str">
        <f>IF(AND(N444="1521",MONTH(C444)='BK NL'!$M$11),"x","")</f>
        <v/>
      </c>
    </row>
    <row r="445" spans="1:33" ht="15.75" hidden="1" customHeight="1">
      <c r="A445" s="397" t="str">
        <f>IF(B445&lt;&gt;"",IF(AND(B445&gt;=_TM1,B445&lt;=_TM2,OR(TH!N445="1111",TH!O445="1111")),TH!D445,""),"")</f>
        <v/>
      </c>
      <c r="B445" s="63" t="str">
        <f t="shared" si="53"/>
        <v/>
      </c>
      <c r="C445" s="64"/>
      <c r="D445" s="64"/>
      <c r="E445" s="64"/>
      <c r="F445" s="67"/>
      <c r="G445" s="361"/>
      <c r="H445" s="74"/>
      <c r="I445" s="514"/>
      <c r="J445" s="514"/>
      <c r="K445" s="506"/>
      <c r="L445" s="514"/>
      <c r="M445" s="65"/>
      <c r="N445" s="66"/>
      <c r="O445" s="66"/>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49"/>
        <v/>
      </c>
      <c r="AD445" s="66" t="str">
        <f>IF(AND(MONTH(E445)='IN-NX'!$J$5,'IN-NX'!$D$7=D445,OR(LEFT(TH!N445,2)="15",LEFT(TH!O445,2)="15")),"x","")</f>
        <v/>
      </c>
      <c r="AE445" s="66" t="str">
        <f>IF(AND(OR(LEFT(TH!N445,2)="15",LEFT(TH!O445,2)="15"),'152-CT'!$J$8=TH!F445),"x","")</f>
        <v/>
      </c>
      <c r="AF445" s="66" t="str">
        <f>IF(AND(OR(LEFT(TH!N445,2)="15",LEFT(TH!O445,2)="15"),'THE KHO'!$E$7=TH!F445),"x","")</f>
        <v/>
      </c>
      <c r="AG445" s="66" t="str">
        <f>IF(AND(N445="1521",MONTH(C445)='BK NL'!$M$11),"x","")</f>
        <v/>
      </c>
    </row>
    <row r="446" spans="1:33" ht="15.75" hidden="1" customHeight="1">
      <c r="A446" s="397" t="str">
        <f>IF(B446&lt;&gt;"",IF(AND(B446&gt;=_TM1,B446&lt;=_TM2,OR(TH!N446="1111",TH!O446="1111")),TH!D446,""),"")</f>
        <v/>
      </c>
      <c r="B446" s="63" t="str">
        <f t="shared" si="53"/>
        <v/>
      </c>
      <c r="C446" s="64"/>
      <c r="D446" s="64"/>
      <c r="E446" s="64"/>
      <c r="F446" s="67"/>
      <c r="G446" s="361"/>
      <c r="H446" s="74"/>
      <c r="I446" s="514"/>
      <c r="J446" s="514"/>
      <c r="K446" s="506"/>
      <c r="L446" s="514"/>
      <c r="M446" s="65"/>
      <c r="N446" s="66"/>
      <c r="O446" s="66"/>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49"/>
        <v/>
      </c>
      <c r="AD446" s="66" t="str">
        <f>IF(AND(MONTH(E446)='IN-NX'!$J$5,'IN-NX'!$D$7=D446,OR(LEFT(TH!N446,2)="15",LEFT(TH!O446,2)="15")),"x","")</f>
        <v/>
      </c>
      <c r="AE446" s="66" t="str">
        <f>IF(AND(OR(LEFT(TH!N446,2)="15",LEFT(TH!O446,2)="15"),'152-CT'!$J$8=TH!F446),"x","")</f>
        <v/>
      </c>
      <c r="AF446" s="66" t="str">
        <f>IF(AND(OR(LEFT(TH!N446,2)="15",LEFT(TH!O446,2)="15"),'THE KHO'!$E$7=TH!F446),"x","")</f>
        <v/>
      </c>
      <c r="AG446" s="66" t="str">
        <f>IF(AND(N446="1521",MONTH(C446)='BK NL'!$M$11),"x","")</f>
        <v/>
      </c>
    </row>
    <row r="447" spans="1:33" ht="15.75" hidden="1" customHeight="1">
      <c r="A447" s="397" t="str">
        <f>IF(B447&lt;&gt;"",IF(AND(B447&gt;=_TM1,B447&lt;=_TM2,OR(TH!N447="1111",TH!O447="1111")),TH!D447,""),"")</f>
        <v/>
      </c>
      <c r="B447" s="63" t="str">
        <f t="shared" si="53"/>
        <v/>
      </c>
      <c r="C447" s="64"/>
      <c r="D447" s="64"/>
      <c r="E447" s="64"/>
      <c r="F447" s="67"/>
      <c r="G447" s="361"/>
      <c r="H447" s="74"/>
      <c r="I447" s="514"/>
      <c r="J447" s="514"/>
      <c r="K447" s="506"/>
      <c r="L447" s="514"/>
      <c r="M447" s="65"/>
      <c r="N447" s="66"/>
      <c r="O447" s="66"/>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49"/>
        <v/>
      </c>
      <c r="AD447" s="66" t="str">
        <f>IF(AND(MONTH(E447)='IN-NX'!$J$5,'IN-NX'!$D$7=D447,OR(LEFT(TH!N447,2)="15",LEFT(TH!O447,2)="15")),"x","")</f>
        <v/>
      </c>
      <c r="AE447" s="66" t="str">
        <f>IF(AND(OR(LEFT(TH!N447,2)="15",LEFT(TH!O447,2)="15"),'152-CT'!$J$8=TH!F447),"x","")</f>
        <v/>
      </c>
      <c r="AF447" s="66" t="str">
        <f>IF(AND(OR(LEFT(TH!N447,2)="15",LEFT(TH!O447,2)="15"),'THE KHO'!$E$7=TH!F447),"x","")</f>
        <v/>
      </c>
      <c r="AG447" s="66" t="str">
        <f>IF(AND(N447="1521",MONTH(C447)='BK NL'!$M$11),"x","")</f>
        <v/>
      </c>
    </row>
    <row r="448" spans="1:33" ht="15.75" hidden="1" customHeight="1">
      <c r="A448" s="397" t="str">
        <f>IF(B448&lt;&gt;"",IF(AND(B448&gt;=_TM1,B448&lt;=_TM2,OR(TH!N448="1111",TH!O448="1111")),TH!D448,""),"")</f>
        <v/>
      </c>
      <c r="B448" s="63" t="str">
        <f t="shared" si="53"/>
        <v/>
      </c>
      <c r="C448" s="64"/>
      <c r="D448" s="64"/>
      <c r="E448" s="64"/>
      <c r="F448" s="67"/>
      <c r="G448" s="361"/>
      <c r="H448" s="74"/>
      <c r="I448" s="514"/>
      <c r="J448" s="514"/>
      <c r="K448" s="506"/>
      <c r="L448" s="514"/>
      <c r="M448" s="65"/>
      <c r="N448" s="66"/>
      <c r="O448" s="66"/>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49"/>
        <v/>
      </c>
      <c r="AD448" s="66" t="str">
        <f>IF(AND(MONTH(E448)='IN-NX'!$J$5,'IN-NX'!$D$7=D448,OR(LEFT(TH!N448,2)="15",LEFT(TH!O448,2)="15")),"x","")</f>
        <v/>
      </c>
      <c r="AE448" s="66" t="str">
        <f>IF(AND(OR(LEFT(TH!N448,2)="15",LEFT(TH!O448,2)="15"),'152-CT'!$J$8=TH!F448),"x","")</f>
        <v/>
      </c>
      <c r="AF448" s="66" t="str">
        <f>IF(AND(OR(LEFT(TH!N448,2)="15",LEFT(TH!O448,2)="15"),'THE KHO'!$E$7=TH!F448),"x","")</f>
        <v/>
      </c>
      <c r="AG448" s="66" t="str">
        <f>IF(AND(N448="1521",MONTH(C448)='BK NL'!$M$11),"x","")</f>
        <v/>
      </c>
    </row>
    <row r="449" spans="1:33" ht="15.75" hidden="1" customHeight="1">
      <c r="A449" s="397" t="str">
        <f>IF(B449&lt;&gt;"",IF(AND(B449&gt;=_TM1,B449&lt;=_TM2,OR(TH!N449="1111",TH!O449="1111")),TH!D449,""),"")</f>
        <v/>
      </c>
      <c r="B449" s="63" t="str">
        <f t="shared" si="53"/>
        <v/>
      </c>
      <c r="C449" s="64"/>
      <c r="D449" s="64"/>
      <c r="E449" s="64"/>
      <c r="F449" s="67"/>
      <c r="G449" s="361"/>
      <c r="H449" s="74"/>
      <c r="I449" s="514"/>
      <c r="J449" s="514"/>
      <c r="K449" s="506"/>
      <c r="L449" s="514"/>
      <c r="M449" s="65"/>
      <c r="N449" s="66"/>
      <c r="O449" s="66"/>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49"/>
        <v/>
      </c>
      <c r="AD449" s="66" t="str">
        <f>IF(AND(MONTH(E449)='IN-NX'!$J$5,'IN-NX'!$D$7=D449,OR(LEFT(TH!N449,2)="15",LEFT(TH!O449,2)="15")),"x","")</f>
        <v/>
      </c>
      <c r="AE449" s="66" t="str">
        <f>IF(AND(OR(LEFT(TH!N449,2)="15",LEFT(TH!O449,2)="15"),'152-CT'!$J$8=TH!F449),"x","")</f>
        <v/>
      </c>
      <c r="AF449" s="66" t="str">
        <f>IF(AND(OR(LEFT(TH!N449,2)="15",LEFT(TH!O449,2)="15"),'THE KHO'!$E$7=TH!F449),"x","")</f>
        <v/>
      </c>
      <c r="AG449" s="66" t="str">
        <f>IF(AND(N449="1521",MONTH(C449)='BK NL'!$M$11),"x","")</f>
        <v/>
      </c>
    </row>
    <row r="450" spans="1:33" ht="15.75" hidden="1" customHeight="1">
      <c r="A450" s="397" t="str">
        <f>IF(B450&lt;&gt;"",IF(AND(B450&gt;=_TM1,B450&lt;=_TM2,OR(TH!N450="1111",TH!O450="1111")),TH!D450,""),"")</f>
        <v/>
      </c>
      <c r="B450" s="63" t="str">
        <f t="shared" si="53"/>
        <v/>
      </c>
      <c r="C450" s="64"/>
      <c r="D450" s="64"/>
      <c r="E450" s="64"/>
      <c r="F450" s="67"/>
      <c r="G450" s="361"/>
      <c r="H450" s="74"/>
      <c r="I450" s="514"/>
      <c r="J450" s="514"/>
      <c r="K450" s="506"/>
      <c r="L450" s="514"/>
      <c r="M450" s="65"/>
      <c r="N450" s="66"/>
      <c r="O450" s="66"/>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49"/>
        <v/>
      </c>
      <c r="AD450" s="66" t="str">
        <f>IF(AND(MONTH(E450)='IN-NX'!$J$5,'IN-NX'!$D$7=D450,OR(LEFT(TH!N450,2)="15",LEFT(TH!O450,2)="15")),"x","")</f>
        <v/>
      </c>
      <c r="AE450" s="66" t="str">
        <f>IF(AND(OR(LEFT(TH!N450,2)="15",LEFT(TH!O450,2)="15"),'152-CT'!$J$8=TH!F450),"x","")</f>
        <v/>
      </c>
      <c r="AF450" s="66" t="str">
        <f>IF(AND(OR(LEFT(TH!N450,2)="15",LEFT(TH!O450,2)="15"),'THE KHO'!$E$7=TH!F450),"x","")</f>
        <v/>
      </c>
      <c r="AG450" s="66" t="str">
        <f>IF(AND(N450="1521",MONTH(C450)='BK NL'!$M$11),"x","")</f>
        <v/>
      </c>
    </row>
    <row r="451" spans="1:33" ht="15.75" hidden="1" customHeight="1">
      <c r="A451" s="397" t="str">
        <f>IF(B451&lt;&gt;"",IF(AND(B451&gt;=_TM1,B451&lt;=_TM2,OR(TH!N451="1111",TH!O451="1111")),TH!D451,""),"")</f>
        <v/>
      </c>
      <c r="B451" s="63" t="str">
        <f t="shared" si="53"/>
        <v/>
      </c>
      <c r="C451" s="64"/>
      <c r="D451" s="64"/>
      <c r="E451" s="64"/>
      <c r="F451" s="67"/>
      <c r="G451" s="361"/>
      <c r="H451" s="74"/>
      <c r="I451" s="514"/>
      <c r="J451" s="514"/>
      <c r="K451" s="506"/>
      <c r="L451" s="514"/>
      <c r="M451" s="65"/>
      <c r="N451" s="66"/>
      <c r="O451" s="66"/>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49"/>
        <v/>
      </c>
      <c r="AD451" s="66" t="str">
        <f>IF(AND(MONTH(E451)='IN-NX'!$J$5,'IN-NX'!$D$7=D451,OR(LEFT(TH!N451,2)="15",LEFT(TH!O451,2)="15")),"x","")</f>
        <v/>
      </c>
      <c r="AE451" s="66" t="str">
        <f>IF(AND(OR(LEFT(TH!N451,2)="15",LEFT(TH!O451,2)="15"),'152-CT'!$J$8=TH!F451),"x","")</f>
        <v/>
      </c>
      <c r="AF451" s="66" t="str">
        <f>IF(AND(OR(LEFT(TH!N451,2)="15",LEFT(TH!O451,2)="15"),'THE KHO'!$E$7=TH!F451),"x","")</f>
        <v/>
      </c>
      <c r="AG451" s="66" t="str">
        <f>IF(AND(N451="1521",MONTH(C451)='BK NL'!$M$11),"x","")</f>
        <v/>
      </c>
    </row>
    <row r="452" spans="1:33" ht="15.75" hidden="1" customHeight="1">
      <c r="A452" s="397" t="str">
        <f>IF(B452&lt;&gt;"",IF(AND(B452&gt;=_TM1,B452&lt;=_TM2,OR(TH!N452="1111",TH!O452="1111")),TH!D452,""),"")</f>
        <v/>
      </c>
      <c r="B452" s="63" t="str">
        <f t="shared" si="53"/>
        <v/>
      </c>
      <c r="C452" s="64"/>
      <c r="D452" s="64"/>
      <c r="E452" s="64"/>
      <c r="F452" s="67"/>
      <c r="G452" s="361"/>
      <c r="H452" s="74"/>
      <c r="I452" s="514"/>
      <c r="J452" s="514"/>
      <c r="K452" s="506"/>
      <c r="L452" s="514"/>
      <c r="M452" s="65"/>
      <c r="N452" s="66"/>
      <c r="O452" s="66"/>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49"/>
        <v/>
      </c>
      <c r="AD452" s="66" t="str">
        <f>IF(AND(MONTH(E452)='IN-NX'!$J$5,'IN-NX'!$D$7=D452,OR(LEFT(TH!N452,2)="15",LEFT(TH!O452,2)="15")),"x","")</f>
        <v/>
      </c>
      <c r="AE452" s="66" t="str">
        <f>IF(AND(OR(LEFT(TH!N452,2)="15",LEFT(TH!O452,2)="15"),'152-CT'!$J$8=TH!F452),"x","")</f>
        <v/>
      </c>
      <c r="AF452" s="66" t="str">
        <f>IF(AND(OR(LEFT(TH!N452,2)="15",LEFT(TH!O452,2)="15"),'THE KHO'!$E$7=TH!F452),"x","")</f>
        <v/>
      </c>
      <c r="AG452" s="66" t="str">
        <f>IF(AND(N452="1521",MONTH(C452)='BK NL'!$M$11),"x","")</f>
        <v/>
      </c>
    </row>
    <row r="453" spans="1:33" ht="15.75" hidden="1" customHeight="1">
      <c r="A453" s="397" t="str">
        <f>IF(B453&lt;&gt;"",IF(AND(B453&gt;=_TM1,B453&lt;=_TM2,OR(TH!N453="1111",TH!O453="1111")),TH!D453,""),"")</f>
        <v/>
      </c>
      <c r="B453" s="63" t="str">
        <f t="shared" si="53"/>
        <v/>
      </c>
      <c r="C453" s="64"/>
      <c r="D453" s="64"/>
      <c r="E453" s="64"/>
      <c r="F453" s="67"/>
      <c r="G453" s="361"/>
      <c r="H453" s="74"/>
      <c r="I453" s="514"/>
      <c r="J453" s="514"/>
      <c r="K453" s="506"/>
      <c r="L453" s="514"/>
      <c r="M453" s="65"/>
      <c r="N453" s="66"/>
      <c r="O453" s="66"/>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49"/>
        <v/>
      </c>
      <c r="AD453" s="66" t="str">
        <f>IF(AND(MONTH(E453)='IN-NX'!$J$5,'IN-NX'!$D$7=D453,OR(LEFT(TH!N453,2)="15",LEFT(TH!O453,2)="15")),"x","")</f>
        <v/>
      </c>
      <c r="AE453" s="66" t="str">
        <f>IF(AND(OR(LEFT(TH!N453,2)="15",LEFT(TH!O453,2)="15"),'152-CT'!$J$8=TH!F453),"x","")</f>
        <v/>
      </c>
      <c r="AF453" s="66" t="str">
        <f>IF(AND(OR(LEFT(TH!N453,2)="15",LEFT(TH!O453,2)="15"),'THE KHO'!$E$7=TH!F453),"x","")</f>
        <v/>
      </c>
      <c r="AG453" s="66" t="str">
        <f>IF(AND(N453="1521",MONTH(C453)='BK NL'!$M$11),"x","")</f>
        <v/>
      </c>
    </row>
    <row r="454" spans="1:33" ht="15.75" hidden="1" customHeight="1">
      <c r="A454" s="397" t="str">
        <f>IF(B454&lt;&gt;"",IF(AND(B454&gt;=_TM1,B454&lt;=_TM2,OR(TH!N454="1111",TH!O454="1111")),TH!D454,""),"")</f>
        <v/>
      </c>
      <c r="B454" s="63" t="str">
        <f t="shared" si="53"/>
        <v/>
      </c>
      <c r="C454" s="64"/>
      <c r="D454" s="64"/>
      <c r="E454" s="64"/>
      <c r="F454" s="67"/>
      <c r="G454" s="361"/>
      <c r="H454" s="74"/>
      <c r="I454" s="514"/>
      <c r="J454" s="514"/>
      <c r="K454" s="506"/>
      <c r="L454" s="514"/>
      <c r="M454" s="65"/>
      <c r="N454" s="66"/>
      <c r="O454" s="66"/>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49"/>
        <v/>
      </c>
      <c r="AD454" s="66" t="str">
        <f>IF(AND(MONTH(E454)='IN-NX'!$J$5,'IN-NX'!$D$7=D454,OR(LEFT(TH!N454,2)="15",LEFT(TH!O454,2)="15")),"x","")</f>
        <v/>
      </c>
      <c r="AE454" s="66" t="str">
        <f>IF(AND(OR(LEFT(TH!N454,2)="15",LEFT(TH!O454,2)="15"),'152-CT'!$J$8=TH!F454),"x","")</f>
        <v/>
      </c>
      <c r="AF454" s="66" t="str">
        <f>IF(AND(OR(LEFT(TH!N454,2)="15",LEFT(TH!O454,2)="15"),'THE KHO'!$E$7=TH!F454),"x","")</f>
        <v/>
      </c>
      <c r="AG454" s="66" t="str">
        <f>IF(AND(N454="1521",MONTH(C454)='BK NL'!$M$11),"x","")</f>
        <v/>
      </c>
    </row>
    <row r="455" spans="1:33" ht="15.75" hidden="1" customHeight="1">
      <c r="A455" s="397" t="str">
        <f>IF(B455&lt;&gt;"",IF(AND(B455&gt;=_TM1,B455&lt;=_TM2,OR(TH!N455="1111",TH!O455="1111")),TH!D455,""),"")</f>
        <v/>
      </c>
      <c r="B455" s="63" t="str">
        <f t="shared" si="53"/>
        <v/>
      </c>
      <c r="C455" s="64"/>
      <c r="D455" s="64"/>
      <c r="E455" s="64"/>
      <c r="F455" s="67"/>
      <c r="G455" s="361"/>
      <c r="H455" s="74"/>
      <c r="I455" s="514"/>
      <c r="J455" s="514"/>
      <c r="K455" s="506"/>
      <c r="L455" s="514"/>
      <c r="M455" s="65"/>
      <c r="N455" s="66"/>
      <c r="O455" s="66"/>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49"/>
        <v/>
      </c>
      <c r="AD455" s="66" t="str">
        <f>IF(AND(MONTH(E455)='IN-NX'!$J$5,'IN-NX'!$D$7=D455,OR(LEFT(TH!N455,2)="15",LEFT(TH!O455,2)="15")),"x","")</f>
        <v/>
      </c>
      <c r="AE455" s="66" t="str">
        <f>IF(AND(OR(LEFT(TH!N455,2)="15",LEFT(TH!O455,2)="15"),'152-CT'!$J$8=TH!F455),"x","")</f>
        <v/>
      </c>
      <c r="AF455" s="66" t="str">
        <f>IF(AND(OR(LEFT(TH!N455,2)="15",LEFT(TH!O455,2)="15"),'THE KHO'!$E$7=TH!F455),"x","")</f>
        <v/>
      </c>
      <c r="AG455" s="66" t="str">
        <f>IF(AND(N455="1521",MONTH(C455)='BK NL'!$M$11),"x","")</f>
        <v/>
      </c>
    </row>
    <row r="456" spans="1:33" ht="15.75" hidden="1" customHeight="1">
      <c r="A456" s="397" t="str">
        <f>IF(B456&lt;&gt;"",IF(AND(B456&gt;=_TM1,B456&lt;=_TM2,OR(TH!N456="1111",TH!O456="1111")),TH!D456,""),"")</f>
        <v/>
      </c>
      <c r="B456" s="63" t="str">
        <f>IF(C456&lt;&gt;"",MONTH(C456),"")</f>
        <v/>
      </c>
      <c r="C456" s="64"/>
      <c r="D456" s="64"/>
      <c r="E456" s="64"/>
      <c r="F456" s="67"/>
      <c r="G456" s="361"/>
      <c r="H456" s="74"/>
      <c r="I456" s="514"/>
      <c r="J456" s="514"/>
      <c r="K456" s="506"/>
      <c r="L456" s="514"/>
      <c r="M456" s="65"/>
      <c r="N456" s="66"/>
      <c r="O456" s="66"/>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49"/>
        <v/>
      </c>
      <c r="AD456" s="66" t="str">
        <f>IF(AND(MONTH(E456)='IN-NX'!$J$5,'IN-NX'!$D$7=D456,OR(LEFT(TH!N456,2)="15",LEFT(TH!O456,2)="15")),"x","")</f>
        <v/>
      </c>
      <c r="AE456" s="66" t="str">
        <f>IF(AND(OR(LEFT(TH!N456,2)="15",LEFT(TH!O456,2)="15"),'152-CT'!$J$8=TH!F456),"x","")</f>
        <v/>
      </c>
      <c r="AF456" s="66" t="str">
        <f>IF(AND(OR(LEFT(TH!N456,2)="15",LEFT(TH!O456,2)="15"),'THE KHO'!$E$7=TH!F456),"x","")</f>
        <v/>
      </c>
      <c r="AG456" s="66" t="str">
        <f>IF(AND(N456="1521",MONTH(C456)='BK NL'!$M$11),"x","")</f>
        <v/>
      </c>
    </row>
    <row r="457" spans="1:33" ht="15.75" hidden="1" customHeight="1">
      <c r="A457" s="397" t="str">
        <f>IF(B457&lt;&gt;"",IF(AND(B457&gt;=_TM1,B457&lt;=_TM2,OR(TH!N457="1111",TH!O457="1111")),TH!D457,""),"")</f>
        <v/>
      </c>
      <c r="B457" s="63" t="str">
        <f>IF(C457&lt;&gt;"",MONTH(C457),"")</f>
        <v/>
      </c>
      <c r="C457" s="64"/>
      <c r="D457" s="64"/>
      <c r="E457" s="64"/>
      <c r="F457" s="67"/>
      <c r="G457" s="361"/>
      <c r="H457" s="74"/>
      <c r="I457" s="514"/>
      <c r="J457" s="514"/>
      <c r="K457" s="506"/>
      <c r="L457" s="514"/>
      <c r="M457" s="65"/>
      <c r="N457" s="66"/>
      <c r="O457" s="66"/>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49"/>
        <v/>
      </c>
      <c r="AD457" s="66" t="str">
        <f>IF(AND(MONTH(E457)='IN-NX'!$J$5,'IN-NX'!$D$7=D457,OR(LEFT(TH!N457,2)="15",LEFT(TH!O457,2)="15")),"x","")</f>
        <v/>
      </c>
      <c r="AE457" s="66" t="str">
        <f>IF(AND(OR(LEFT(TH!N457,2)="15",LEFT(TH!O457,2)="15"),'152-CT'!$J$8=TH!F457),"x","")</f>
        <v/>
      </c>
      <c r="AF457" s="66" t="str">
        <f>IF(AND(OR(LEFT(TH!N457,2)="15",LEFT(TH!O457,2)="15"),'THE KHO'!$E$7=TH!F457),"x","")</f>
        <v/>
      </c>
      <c r="AG457" s="66" t="str">
        <f>IF(AND(N457="1521",MONTH(C457)='BK NL'!$M$11),"x","")</f>
        <v/>
      </c>
    </row>
    <row r="458" spans="1:33" ht="15.75" hidden="1" customHeight="1">
      <c r="A458" s="397" t="str">
        <f>IF(B458&lt;&gt;"",IF(AND(B458&gt;=_TM1,B458&lt;=_TM2,OR(TH!N458="1111",TH!O458="1111")),TH!D458,""),"")</f>
        <v/>
      </c>
      <c r="B458" s="63" t="str">
        <f>IF(C458&lt;&gt;"",MONTH(C458),"")</f>
        <v/>
      </c>
      <c r="C458" s="64"/>
      <c r="D458" s="64"/>
      <c r="E458" s="64"/>
      <c r="F458" s="67"/>
      <c r="G458" s="361"/>
      <c r="H458" s="74"/>
      <c r="I458" s="514"/>
      <c r="J458" s="514"/>
      <c r="K458" s="506"/>
      <c r="L458" s="514"/>
      <c r="M458" s="65"/>
      <c r="N458" s="66"/>
      <c r="O458" s="66"/>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49"/>
        <v/>
      </c>
      <c r="AD458" s="66" t="str">
        <f>IF(AND(MONTH(E458)='IN-NX'!$J$5,'IN-NX'!$D$7=D458,OR(LEFT(TH!N458,2)="15",LEFT(TH!O458,2)="15")),"x","")</f>
        <v/>
      </c>
      <c r="AE458" s="66" t="str">
        <f>IF(AND(OR(LEFT(TH!N458,2)="15",LEFT(TH!O458,2)="15"),'152-CT'!$J$8=TH!F458),"x","")</f>
        <v/>
      </c>
      <c r="AF458" s="66" t="str">
        <f>IF(AND(OR(LEFT(TH!N458,2)="15",LEFT(TH!O458,2)="15"),'THE KHO'!$E$7=TH!F458),"x","")</f>
        <v/>
      </c>
      <c r="AG458" s="66" t="str">
        <f>IF(AND(N458="1521",MONTH(C458)='BK NL'!$M$11),"x","")</f>
        <v/>
      </c>
    </row>
    <row r="459" spans="1:33" ht="15.75" hidden="1" customHeight="1">
      <c r="A459" s="397" t="str">
        <f>IF(B459&lt;&gt;"",IF(AND(B459&gt;=_TM1,B459&lt;=_TM2,OR(TH!N459="1111",TH!O459="1111")),TH!D459,""),"")</f>
        <v/>
      </c>
      <c r="B459" s="63" t="str">
        <f>IF(C459&lt;&gt;"",MONTH(C459),"")</f>
        <v/>
      </c>
      <c r="C459" s="64"/>
      <c r="D459" s="64"/>
      <c r="E459" s="64"/>
      <c r="F459" s="67"/>
      <c r="G459" s="361"/>
      <c r="H459" s="74"/>
      <c r="I459" s="514"/>
      <c r="J459" s="514"/>
      <c r="K459" s="506"/>
      <c r="L459" s="514"/>
      <c r="M459" s="65"/>
      <c r="N459" s="66"/>
      <c r="O459" s="66"/>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49"/>
        <v/>
      </c>
      <c r="AD459" s="66" t="str">
        <f>IF(AND(MONTH(E459)='IN-NX'!$J$5,'IN-NX'!$D$7=D459,OR(LEFT(TH!N459,2)="15",LEFT(TH!O459,2)="15")),"x","")</f>
        <v/>
      </c>
      <c r="AE459" s="66" t="str">
        <f>IF(AND(OR(LEFT(TH!N459,2)="15",LEFT(TH!O459,2)="15"),'152-CT'!$J$8=TH!F459),"x","")</f>
        <v/>
      </c>
      <c r="AF459" s="66" t="str">
        <f>IF(AND(OR(LEFT(TH!N459,2)="15",LEFT(TH!O459,2)="15"),'THE KHO'!$E$7=TH!F459),"x","")</f>
        <v/>
      </c>
      <c r="AG459" s="66" t="str">
        <f>IF(AND(N459="1521",MONTH(C459)='BK NL'!$M$11),"x","")</f>
        <v/>
      </c>
    </row>
    <row r="460" spans="1:33" ht="15.75" hidden="1" customHeight="1">
      <c r="A460" s="397" t="str">
        <f>IF(B460&lt;&gt;"",IF(AND(B460&gt;=_TM1,B460&lt;=_TM2,OR(TH!N460="1111",TH!O460="1111")),TH!D460,""),"")</f>
        <v/>
      </c>
      <c r="B460" s="63" t="str">
        <f>IF(C460&lt;&gt;"",MONTH(C460),"")</f>
        <v/>
      </c>
      <c r="C460" s="64"/>
      <c r="D460" s="64"/>
      <c r="E460" s="64"/>
      <c r="F460" s="67"/>
      <c r="G460" s="361"/>
      <c r="H460" s="74"/>
      <c r="I460" s="514"/>
      <c r="J460" s="514"/>
      <c r="K460" s="506"/>
      <c r="L460" s="514"/>
      <c r="M460" s="65"/>
      <c r="N460" s="66"/>
      <c r="O460" s="66"/>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49"/>
        <v/>
      </c>
      <c r="AD460" s="66" t="str">
        <f>IF(AND(MONTH(E460)='IN-NX'!$J$5,'IN-NX'!$D$7=D460,OR(LEFT(TH!N460,2)="15",LEFT(TH!O460,2)="15")),"x","")</f>
        <v/>
      </c>
      <c r="AE460" s="66" t="str">
        <f>IF(AND(OR(LEFT(TH!N460,2)="15",LEFT(TH!O460,2)="15"),'152-CT'!$J$8=TH!F460),"x","")</f>
        <v/>
      </c>
      <c r="AF460" s="66" t="str">
        <f>IF(AND(OR(LEFT(TH!N460,2)="15",LEFT(TH!O460,2)="15"),'THE KHO'!$E$7=TH!F460),"x","")</f>
        <v/>
      </c>
      <c r="AG460" s="66" t="str">
        <f>IF(AND(N460="1521",MONTH(C460)='BK NL'!$M$11),"x","")</f>
        <v/>
      </c>
    </row>
    <row r="461" spans="1:33" ht="15.75" hidden="1" customHeight="1">
      <c r="A461" s="397" t="str">
        <f>IF(B461&lt;&gt;"",IF(AND(B461&gt;=_TM1,B461&lt;=_TM2,OR(TH!N461="1111",TH!O461="1111")),TH!D461,""),"")</f>
        <v/>
      </c>
      <c r="B461" s="63" t="str">
        <f t="shared" ref="B461:B524" si="54">IF(C461&lt;&gt;"",MONTH(C461),"")</f>
        <v/>
      </c>
      <c r="C461" s="362"/>
      <c r="D461" s="362"/>
      <c r="E461" s="362"/>
      <c r="F461" s="363"/>
      <c r="G461" s="379"/>
      <c r="H461" s="364"/>
      <c r="I461" s="514"/>
      <c r="J461" s="514"/>
      <c r="K461" s="506"/>
      <c r="L461" s="514"/>
      <c r="M461" s="65"/>
      <c r="N461" s="365"/>
      <c r="O461" s="365"/>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49"/>
        <v/>
      </c>
      <c r="AD461" s="66" t="str">
        <f>IF(AND(MONTH(E461)='IN-NX'!$J$5,'IN-NX'!$D$7=D461,OR(LEFT(TH!N461,2)="15",LEFT(TH!O461,2)="15")),"x","")</f>
        <v/>
      </c>
      <c r="AE461" s="66" t="str">
        <f>IF(AND(OR(LEFT(TH!N461,2)="15",LEFT(TH!O461,2)="15"),'152-CT'!$J$8=TH!F461),"x","")</f>
        <v/>
      </c>
      <c r="AF461" s="66" t="str">
        <f>IF(AND(OR(LEFT(TH!N461,2)="15",LEFT(TH!O461,2)="15"),'THE KHO'!$E$7=TH!F461),"x","")</f>
        <v/>
      </c>
      <c r="AG461" s="66" t="str">
        <f>IF(AND(N461="1521",MONTH(C461)='BK NL'!$M$11),"x","")</f>
        <v/>
      </c>
    </row>
    <row r="462" spans="1:33" ht="15.75" hidden="1" customHeight="1">
      <c r="A462" s="397" t="str">
        <f>IF(B462&lt;&gt;"",IF(AND(B462&gt;=_TM1,B462&lt;=_TM2,OR(TH!N462="1111",TH!O462="1111")),TH!D462,""),"")</f>
        <v/>
      </c>
      <c r="B462" s="63" t="str">
        <f t="shared" si="54"/>
        <v/>
      </c>
      <c r="C462" s="362"/>
      <c r="D462" s="362"/>
      <c r="E462" s="362"/>
      <c r="F462" s="363"/>
      <c r="G462" s="379"/>
      <c r="H462" s="364"/>
      <c r="I462" s="514"/>
      <c r="J462" s="514"/>
      <c r="K462" s="506"/>
      <c r="L462" s="514"/>
      <c r="M462" s="65"/>
      <c r="N462" s="365"/>
      <c r="O462" s="365"/>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49"/>
        <v/>
      </c>
      <c r="AD462" s="66" t="str">
        <f>IF(AND(MONTH(E462)='IN-NX'!$J$5,'IN-NX'!$D$7=D462,OR(LEFT(TH!N462,2)="15",LEFT(TH!O462,2)="15")),"x","")</f>
        <v/>
      </c>
      <c r="AE462" s="66" t="str">
        <f>IF(AND(OR(LEFT(TH!N462,2)="15",LEFT(TH!O462,2)="15"),'152-CT'!$J$8=TH!F462),"x","")</f>
        <v/>
      </c>
      <c r="AF462" s="66" t="str">
        <f>IF(AND(OR(LEFT(TH!N462,2)="15",LEFT(TH!O462,2)="15"),'THE KHO'!$E$7=TH!F462),"x","")</f>
        <v/>
      </c>
      <c r="AG462" s="66" t="str">
        <f>IF(AND(N462="1521",MONTH(C462)='BK NL'!$M$11),"x","")</f>
        <v/>
      </c>
    </row>
    <row r="463" spans="1:33" ht="15.75" hidden="1" customHeight="1">
      <c r="A463" s="397" t="str">
        <f>IF(B463&lt;&gt;"",IF(AND(B463&gt;=_TM1,B463&lt;=_TM2,OR(TH!N463="1111",TH!O463="1111")),TH!D463,""),"")</f>
        <v/>
      </c>
      <c r="B463" s="63" t="str">
        <f t="shared" si="54"/>
        <v/>
      </c>
      <c r="C463" s="362"/>
      <c r="D463" s="362"/>
      <c r="E463" s="362"/>
      <c r="F463" s="363"/>
      <c r="G463" s="379"/>
      <c r="H463" s="364"/>
      <c r="I463" s="514"/>
      <c r="J463" s="514"/>
      <c r="K463" s="506"/>
      <c r="L463" s="514"/>
      <c r="M463" s="65"/>
      <c r="N463" s="365"/>
      <c r="O463" s="365"/>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49"/>
        <v/>
      </c>
      <c r="AD463" s="66" t="str">
        <f>IF(AND(MONTH(E463)='IN-NX'!$J$5,'IN-NX'!$D$7=D463,OR(LEFT(TH!N463,2)="15",LEFT(TH!O463,2)="15")),"x","")</f>
        <v/>
      </c>
      <c r="AE463" s="66" t="str">
        <f>IF(AND(OR(LEFT(TH!N463,2)="15",LEFT(TH!O463,2)="15"),'152-CT'!$J$8=TH!F463),"x","")</f>
        <v/>
      </c>
      <c r="AF463" s="66" t="str">
        <f>IF(AND(OR(LEFT(TH!N463,2)="15",LEFT(TH!O463,2)="15"),'THE KHO'!$E$7=TH!F463),"x","")</f>
        <v/>
      </c>
      <c r="AG463" s="66" t="str">
        <f>IF(AND(N463="1521",MONTH(C463)='BK NL'!$M$11),"x","")</f>
        <v/>
      </c>
    </row>
    <row r="464" spans="1:33" ht="15.75" hidden="1" customHeight="1">
      <c r="A464" s="397" t="str">
        <f>IF(B464&lt;&gt;"",IF(AND(B464&gt;=_TM1,B464&lt;=_TM2,OR(TH!N464="1111",TH!O464="1111")),TH!D464,""),"")</f>
        <v/>
      </c>
      <c r="B464" s="63" t="str">
        <f t="shared" si="54"/>
        <v/>
      </c>
      <c r="C464" s="362"/>
      <c r="D464" s="362"/>
      <c r="E464" s="362"/>
      <c r="F464" s="363"/>
      <c r="G464" s="379"/>
      <c r="H464" s="364"/>
      <c r="I464" s="514"/>
      <c r="J464" s="514"/>
      <c r="K464" s="506"/>
      <c r="L464" s="514"/>
      <c r="M464" s="65"/>
      <c r="N464" s="365"/>
      <c r="O464" s="365"/>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49"/>
        <v/>
      </c>
      <c r="AD464" s="66" t="str">
        <f>IF(AND(MONTH(E464)='IN-NX'!$J$5,'IN-NX'!$D$7=D464,OR(LEFT(TH!N464,2)="15",LEFT(TH!O464,2)="15")),"x","")</f>
        <v/>
      </c>
      <c r="AE464" s="66" t="str">
        <f>IF(AND(OR(LEFT(TH!N464,2)="15",LEFT(TH!O464,2)="15"),'152-CT'!$J$8=TH!F464),"x","")</f>
        <v/>
      </c>
      <c r="AF464" s="66" t="str">
        <f>IF(AND(OR(LEFT(TH!N464,2)="15",LEFT(TH!O464,2)="15"),'THE KHO'!$E$7=TH!F464),"x","")</f>
        <v/>
      </c>
      <c r="AG464" s="66" t="str">
        <f>IF(AND(N464="1521",MONTH(C464)='BK NL'!$M$11),"x","")</f>
        <v/>
      </c>
    </row>
    <row r="465" spans="1:33" ht="15.75" hidden="1" customHeight="1">
      <c r="A465" s="397" t="str">
        <f>IF(B465&lt;&gt;"",IF(AND(B465&gt;=_TM1,B465&lt;=_TM2,OR(TH!N465="1111",TH!O465="1111")),TH!D465,""),"")</f>
        <v/>
      </c>
      <c r="B465" s="63" t="str">
        <f t="shared" si="54"/>
        <v/>
      </c>
      <c r="C465" s="362"/>
      <c r="D465" s="362"/>
      <c r="E465" s="362"/>
      <c r="F465" s="363"/>
      <c r="G465" s="379"/>
      <c r="H465" s="364"/>
      <c r="I465" s="514"/>
      <c r="J465" s="514"/>
      <c r="K465" s="506"/>
      <c r="L465" s="514"/>
      <c r="M465" s="65"/>
      <c r="N465" s="365"/>
      <c r="O465" s="365"/>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49"/>
        <v/>
      </c>
      <c r="AD465" s="66" t="str">
        <f>IF(AND(MONTH(E465)='IN-NX'!$J$5,'IN-NX'!$D$7=D465,OR(LEFT(TH!N465,2)="15",LEFT(TH!O465,2)="15")),"x","")</f>
        <v/>
      </c>
      <c r="AE465" s="66" t="str">
        <f>IF(AND(OR(LEFT(TH!N465,2)="15",LEFT(TH!O465,2)="15"),'152-CT'!$J$8=TH!F465),"x","")</f>
        <v/>
      </c>
      <c r="AF465" s="66" t="str">
        <f>IF(AND(OR(LEFT(TH!N465,2)="15",LEFT(TH!O465,2)="15"),'THE KHO'!$E$7=TH!F465),"x","")</f>
        <v/>
      </c>
      <c r="AG465" s="66" t="str">
        <f>IF(AND(N465="1521",MONTH(C465)='BK NL'!$M$11),"x","")</f>
        <v/>
      </c>
    </row>
    <row r="466" spans="1:33" ht="15.75" hidden="1" customHeight="1">
      <c r="A466" s="397" t="str">
        <f>IF(B466&lt;&gt;"",IF(AND(B466&gt;=_TM1,B466&lt;=_TM2,OR(TH!N466="1111",TH!O466="1111")),TH!D466,""),"")</f>
        <v/>
      </c>
      <c r="B466" s="63" t="str">
        <f t="shared" si="54"/>
        <v/>
      </c>
      <c r="C466" s="362"/>
      <c r="D466" s="362"/>
      <c r="E466" s="362"/>
      <c r="F466" s="363"/>
      <c r="G466" s="379"/>
      <c r="H466" s="364"/>
      <c r="I466" s="514"/>
      <c r="J466" s="514"/>
      <c r="K466" s="506"/>
      <c r="L466" s="514"/>
      <c r="M466" s="65"/>
      <c r="N466" s="365"/>
      <c r="O466" s="365"/>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ref="AC466:AC529" si="55">IF(AND(1&lt;=$B466,$B466&lt;=3),"1",IF(AND(4&lt;=$B466,$B466&lt;=6),"2",IF(AND(7&lt;=$B466,$B466&lt;=9),"3",IF(AND(10&lt;=$B466,$B466&lt;=12),"4",""))))</f>
        <v/>
      </c>
      <c r="AD466" s="66" t="str">
        <f>IF(AND(MONTH(E466)='IN-NX'!$J$5,'IN-NX'!$D$7=D466,OR(LEFT(TH!N466,2)="15",LEFT(TH!O466,2)="15")),"x","")</f>
        <v/>
      </c>
      <c r="AE466" s="66" t="str">
        <f>IF(AND(OR(LEFT(TH!N466,2)="15",LEFT(TH!O466,2)="15"),'152-CT'!$J$8=TH!F466),"x","")</f>
        <v/>
      </c>
      <c r="AF466" s="66" t="str">
        <f>IF(AND(OR(LEFT(TH!N466,2)="15",LEFT(TH!O466,2)="15"),'THE KHO'!$E$7=TH!F466),"x","")</f>
        <v/>
      </c>
      <c r="AG466" s="66" t="str">
        <f>IF(AND(N466="1521",MONTH(C466)='BK NL'!$M$11),"x","")</f>
        <v/>
      </c>
    </row>
    <row r="467" spans="1:33" ht="15.75" hidden="1" customHeight="1">
      <c r="A467" s="397" t="str">
        <f>IF(B467&lt;&gt;"",IF(AND(B467&gt;=_TM1,B467&lt;=_TM2,OR(TH!N467="1111",TH!O467="1111")),TH!D467,""),"")</f>
        <v/>
      </c>
      <c r="B467" s="63" t="str">
        <f t="shared" si="54"/>
        <v/>
      </c>
      <c r="C467" s="362"/>
      <c r="D467" s="362"/>
      <c r="E467" s="362"/>
      <c r="F467" s="363"/>
      <c r="G467" s="379"/>
      <c r="H467" s="364"/>
      <c r="I467" s="514"/>
      <c r="J467" s="514"/>
      <c r="K467" s="506"/>
      <c r="L467" s="514"/>
      <c r="M467" s="65"/>
      <c r="N467" s="365"/>
      <c r="O467" s="365"/>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5"/>
        <v/>
      </c>
      <c r="AD467" s="66" t="str">
        <f>IF(AND(MONTH(E467)='IN-NX'!$J$5,'IN-NX'!$D$7=D467,OR(LEFT(TH!N467,2)="15",LEFT(TH!O467,2)="15")),"x","")</f>
        <v/>
      </c>
      <c r="AE467" s="66" t="str">
        <f>IF(AND(OR(LEFT(TH!N467,2)="15",LEFT(TH!O467,2)="15"),'152-CT'!$J$8=TH!F467),"x","")</f>
        <v/>
      </c>
      <c r="AF467" s="66" t="str">
        <f>IF(AND(OR(LEFT(TH!N467,2)="15",LEFT(TH!O467,2)="15"),'THE KHO'!$E$7=TH!F467),"x","")</f>
        <v/>
      </c>
      <c r="AG467" s="66" t="str">
        <f>IF(AND(N467="1521",MONTH(C467)='BK NL'!$M$11),"x","")</f>
        <v/>
      </c>
    </row>
    <row r="468" spans="1:33" ht="15.75" hidden="1" customHeight="1">
      <c r="A468" s="397" t="str">
        <f>IF(B468&lt;&gt;"",IF(AND(B468&gt;=_TM1,B468&lt;=_TM2,OR(TH!N468="1111",TH!O468="1111")),TH!D468,""),"")</f>
        <v/>
      </c>
      <c r="B468" s="63" t="str">
        <f t="shared" si="54"/>
        <v/>
      </c>
      <c r="C468" s="362"/>
      <c r="D468" s="362"/>
      <c r="E468" s="362"/>
      <c r="F468" s="363"/>
      <c r="G468" s="379"/>
      <c r="H468" s="364"/>
      <c r="I468" s="514"/>
      <c r="J468" s="514"/>
      <c r="K468" s="506"/>
      <c r="L468" s="514"/>
      <c r="M468" s="65"/>
      <c r="N468" s="365"/>
      <c r="O468" s="365"/>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5"/>
        <v/>
      </c>
      <c r="AD468" s="66" t="str">
        <f>IF(AND(MONTH(E468)='IN-NX'!$J$5,'IN-NX'!$D$7=D468,OR(LEFT(TH!N468,2)="15",LEFT(TH!O468,2)="15")),"x","")</f>
        <v/>
      </c>
      <c r="AE468" s="66" t="str">
        <f>IF(AND(OR(LEFT(TH!N468,2)="15",LEFT(TH!O468,2)="15"),'152-CT'!$J$8=TH!F468),"x","")</f>
        <v/>
      </c>
      <c r="AF468" s="66" t="str">
        <f>IF(AND(OR(LEFT(TH!N468,2)="15",LEFT(TH!O468,2)="15"),'THE KHO'!$E$7=TH!F468),"x","")</f>
        <v/>
      </c>
      <c r="AG468" s="66" t="str">
        <f>IF(AND(N468="1521",MONTH(C468)='BK NL'!$M$11),"x","")</f>
        <v/>
      </c>
    </row>
    <row r="469" spans="1:33" ht="15.75" hidden="1" customHeight="1">
      <c r="A469" s="397" t="str">
        <f>IF(B469&lt;&gt;"",IF(AND(B469&gt;=_TM1,B469&lt;=_TM2,OR(TH!N469="1111",TH!O469="1111")),TH!D469,""),"")</f>
        <v/>
      </c>
      <c r="B469" s="63" t="str">
        <f t="shared" si="54"/>
        <v/>
      </c>
      <c r="C469" s="362"/>
      <c r="D469" s="362"/>
      <c r="E469" s="362"/>
      <c r="F469" s="363"/>
      <c r="G469" s="379"/>
      <c r="H469" s="364"/>
      <c r="I469" s="514"/>
      <c r="J469" s="514"/>
      <c r="K469" s="506"/>
      <c r="L469" s="514"/>
      <c r="M469" s="65"/>
      <c r="N469" s="365"/>
      <c r="O469" s="365"/>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5"/>
        <v/>
      </c>
      <c r="AD469" s="66" t="str">
        <f>IF(AND(MONTH(E469)='IN-NX'!$J$5,'IN-NX'!$D$7=D469,OR(LEFT(TH!N469,2)="15",LEFT(TH!O469,2)="15")),"x","")</f>
        <v/>
      </c>
      <c r="AE469" s="66" t="str">
        <f>IF(AND(OR(LEFT(TH!N469,2)="15",LEFT(TH!O469,2)="15"),'152-CT'!$J$8=TH!F469),"x","")</f>
        <v/>
      </c>
      <c r="AF469" s="66" t="str">
        <f>IF(AND(OR(LEFT(TH!N469,2)="15",LEFT(TH!O469,2)="15"),'THE KHO'!$E$7=TH!F469),"x","")</f>
        <v/>
      </c>
      <c r="AG469" s="66" t="str">
        <f>IF(AND(N469="1521",MONTH(C469)='BK NL'!$M$11),"x","")</f>
        <v/>
      </c>
    </row>
    <row r="470" spans="1:33" ht="15.75" hidden="1" customHeight="1">
      <c r="A470" s="397" t="str">
        <f>IF(B470&lt;&gt;"",IF(AND(B470&gt;=_TM1,B470&lt;=_TM2,OR(TH!N470="1111",TH!O470="1111")),TH!D470,""),"")</f>
        <v/>
      </c>
      <c r="B470" s="63" t="str">
        <f t="shared" si="54"/>
        <v/>
      </c>
      <c r="C470" s="362"/>
      <c r="D470" s="362"/>
      <c r="E470" s="362"/>
      <c r="F470" s="363"/>
      <c r="G470" s="379"/>
      <c r="H470" s="364"/>
      <c r="I470" s="514"/>
      <c r="J470" s="514"/>
      <c r="K470" s="506"/>
      <c r="L470" s="514"/>
      <c r="M470" s="65"/>
      <c r="N470" s="365"/>
      <c r="O470" s="365"/>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
      </c>
      <c r="AC470" s="66" t="str">
        <f t="shared" si="55"/>
        <v/>
      </c>
      <c r="AD470" s="66" t="str">
        <f>IF(AND(MONTH(E470)='IN-NX'!$J$5,'IN-NX'!$D$7=D470,OR(LEFT(TH!N470,2)="15",LEFT(TH!O470,2)="15")),"x","")</f>
        <v/>
      </c>
      <c r="AE470" s="66" t="str">
        <f>IF(AND(OR(LEFT(TH!N470,2)="15",LEFT(TH!O470,2)="15"),'152-CT'!$J$8=TH!F470),"x","")</f>
        <v/>
      </c>
      <c r="AF470" s="66" t="str">
        <f>IF(AND(OR(LEFT(TH!N470,2)="15",LEFT(TH!O470,2)="15"),'THE KHO'!$E$7=TH!F470),"x","")</f>
        <v/>
      </c>
      <c r="AG470" s="66" t="str">
        <f>IF(AND(N470="1521",MONTH(C470)='BK NL'!$M$11),"x","")</f>
        <v/>
      </c>
    </row>
    <row r="471" spans="1:33" ht="15.75" hidden="1" customHeight="1">
      <c r="A471" s="397" t="str">
        <f>IF(B471&lt;&gt;"",IF(AND(B471&gt;=_TM1,B471&lt;=_TM2,OR(TH!N471="1111",TH!O471="1111")),TH!D471,""),"")</f>
        <v/>
      </c>
      <c r="B471" s="63" t="str">
        <f t="shared" si="54"/>
        <v/>
      </c>
      <c r="C471" s="362"/>
      <c r="D471" s="362"/>
      <c r="E471" s="362"/>
      <c r="F471" s="363"/>
      <c r="G471" s="379"/>
      <c r="H471" s="364"/>
      <c r="I471" s="514"/>
      <c r="J471" s="514"/>
      <c r="K471" s="506"/>
      <c r="L471" s="514"/>
      <c r="M471" s="65"/>
      <c r="N471" s="365"/>
      <c r="O471" s="365"/>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
      </c>
      <c r="AC471" s="66" t="str">
        <f t="shared" si="55"/>
        <v/>
      </c>
      <c r="AD471" s="66" t="str">
        <f>IF(AND(MONTH(E471)='IN-NX'!$J$5,'IN-NX'!$D$7=D471,OR(LEFT(TH!N471,2)="15",LEFT(TH!O471,2)="15")),"x","")</f>
        <v/>
      </c>
      <c r="AE471" s="66" t="str">
        <f>IF(AND(OR(LEFT(TH!N471,2)="15",LEFT(TH!O471,2)="15"),'152-CT'!$J$8=TH!F471),"x","")</f>
        <v/>
      </c>
      <c r="AF471" s="66" t="str">
        <f>IF(AND(OR(LEFT(TH!N471,2)="15",LEFT(TH!O471,2)="15"),'THE KHO'!$E$7=TH!F471),"x","")</f>
        <v/>
      </c>
      <c r="AG471" s="66" t="str">
        <f>IF(AND(N471="1521",MONTH(C471)='BK NL'!$M$11),"x","")</f>
        <v/>
      </c>
    </row>
    <row r="472" spans="1:33" ht="15.75" hidden="1" customHeight="1">
      <c r="A472" s="397" t="str">
        <f>IF(B472&lt;&gt;"",IF(AND(B472&gt;=_TM1,B472&lt;=_TM2,OR(TH!N472="1111",TH!O472="1111")),TH!D472,""),"")</f>
        <v/>
      </c>
      <c r="B472" s="63" t="str">
        <f t="shared" si="54"/>
        <v/>
      </c>
      <c r="C472" s="362"/>
      <c r="D472" s="362"/>
      <c r="E472" s="362"/>
      <c r="F472" s="363"/>
      <c r="G472" s="379"/>
      <c r="H472" s="364"/>
      <c r="I472" s="514"/>
      <c r="J472" s="514"/>
      <c r="K472" s="506"/>
      <c r="L472" s="514"/>
      <c r="M472" s="65"/>
      <c r="N472" s="365"/>
      <c r="O472" s="365"/>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
      </c>
      <c r="AC472" s="66" t="str">
        <f t="shared" si="55"/>
        <v/>
      </c>
      <c r="AD472" s="66" t="str">
        <f>IF(AND(MONTH(E472)='IN-NX'!$J$5,'IN-NX'!$D$7=D472,OR(LEFT(TH!N472,2)="15",LEFT(TH!O472,2)="15")),"x","")</f>
        <v/>
      </c>
      <c r="AE472" s="66" t="str">
        <f>IF(AND(OR(LEFT(TH!N472,2)="15",LEFT(TH!O472,2)="15"),'152-CT'!$J$8=TH!F472),"x","")</f>
        <v/>
      </c>
      <c r="AF472" s="66" t="str">
        <f>IF(AND(OR(LEFT(TH!N472,2)="15",LEFT(TH!O472,2)="15"),'THE KHO'!$E$7=TH!F472),"x","")</f>
        <v/>
      </c>
      <c r="AG472" s="66" t="str">
        <f>IF(AND(N472="1521",MONTH(C472)='BK NL'!$M$11),"x","")</f>
        <v/>
      </c>
    </row>
    <row r="473" spans="1:33" ht="15.75" hidden="1" customHeight="1">
      <c r="A473" s="397" t="str">
        <f>IF(B473&lt;&gt;"",IF(AND(B473&gt;=_TM1,B473&lt;=_TM2,OR(TH!N473="1111",TH!O473="1111")),TH!D473,""),"")</f>
        <v/>
      </c>
      <c r="B473" s="63" t="str">
        <f t="shared" si="54"/>
        <v/>
      </c>
      <c r="C473" s="362"/>
      <c r="D473" s="362"/>
      <c r="E473" s="362"/>
      <c r="F473" s="363"/>
      <c r="G473" s="379"/>
      <c r="H473" s="364"/>
      <c r="I473" s="514"/>
      <c r="J473" s="514"/>
      <c r="K473" s="506"/>
      <c r="L473" s="514"/>
      <c r="M473" s="65"/>
      <c r="N473" s="365"/>
      <c r="O473" s="365"/>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
      </c>
      <c r="AC473" s="66" t="str">
        <f t="shared" si="55"/>
        <v/>
      </c>
      <c r="AD473" s="66" t="str">
        <f>IF(AND(MONTH(E473)='IN-NX'!$J$5,'IN-NX'!$D$7=D473,OR(LEFT(TH!N473,2)="15",LEFT(TH!O473,2)="15")),"x","")</f>
        <v/>
      </c>
      <c r="AE473" s="66" t="str">
        <f>IF(AND(OR(LEFT(TH!N473,2)="15",LEFT(TH!O473,2)="15"),'152-CT'!$J$8=TH!F473),"x","")</f>
        <v/>
      </c>
      <c r="AF473" s="66" t="str">
        <f>IF(AND(OR(LEFT(TH!N473,2)="15",LEFT(TH!O473,2)="15"),'THE KHO'!$E$7=TH!F473),"x","")</f>
        <v/>
      </c>
      <c r="AG473" s="66" t="str">
        <f>IF(AND(N473="1521",MONTH(C473)='BK NL'!$M$11),"x","")</f>
        <v/>
      </c>
    </row>
    <row r="474" spans="1:33" ht="15.75" hidden="1" customHeight="1">
      <c r="A474" s="397" t="str">
        <f>IF(B474&lt;&gt;"",IF(AND(B474&gt;=_TM1,B474&lt;=_TM2,OR(TH!N474="1111",TH!O474="1111")),TH!D474,""),"")</f>
        <v/>
      </c>
      <c r="B474" s="63" t="str">
        <f t="shared" si="54"/>
        <v/>
      </c>
      <c r="C474" s="362"/>
      <c r="D474" s="362"/>
      <c r="E474" s="362"/>
      <c r="F474" s="363"/>
      <c r="G474" s="379"/>
      <c r="H474" s="364"/>
      <c r="I474" s="514"/>
      <c r="J474" s="514"/>
      <c r="K474" s="506"/>
      <c r="L474" s="514"/>
      <c r="M474" s="65"/>
      <c r="N474" s="365"/>
      <c r="O474" s="365"/>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5"/>
        <v/>
      </c>
      <c r="AD474" s="66" t="str">
        <f>IF(AND(MONTH(E474)='IN-NX'!$J$5,'IN-NX'!$D$7=D474,OR(LEFT(TH!N474,2)="15",LEFT(TH!O474,2)="15")),"x","")</f>
        <v/>
      </c>
      <c r="AE474" s="66" t="str">
        <f>IF(AND(OR(LEFT(TH!N474,2)="15",LEFT(TH!O474,2)="15"),'152-CT'!$J$8=TH!F474),"x","")</f>
        <v/>
      </c>
      <c r="AF474" s="66" t="str">
        <f>IF(AND(OR(LEFT(TH!N474,2)="15",LEFT(TH!O474,2)="15"),'THE KHO'!$E$7=TH!F474),"x","")</f>
        <v/>
      </c>
      <c r="AG474" s="66" t="str">
        <f>IF(AND(N474="1521",MONTH(C474)='BK NL'!$M$11),"x","")</f>
        <v/>
      </c>
    </row>
    <row r="475" spans="1:33" ht="15.75" hidden="1" customHeight="1">
      <c r="A475" s="397" t="str">
        <f>IF(B475&lt;&gt;"",IF(AND(B475&gt;=_TM1,B475&lt;=_TM2,OR(TH!N475="1111",TH!O475="1111")),TH!D475,""),"")</f>
        <v/>
      </c>
      <c r="B475" s="63" t="str">
        <f t="shared" si="54"/>
        <v/>
      </c>
      <c r="C475" s="362"/>
      <c r="D475" s="362"/>
      <c r="E475" s="362"/>
      <c r="F475" s="363"/>
      <c r="G475" s="380"/>
      <c r="H475" s="364"/>
      <c r="I475" s="514"/>
      <c r="J475" s="514"/>
      <c r="K475" s="506"/>
      <c r="L475" s="514"/>
      <c r="M475" s="65"/>
      <c r="N475" s="365"/>
      <c r="O475" s="365"/>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5"/>
        <v/>
      </c>
      <c r="AD475" s="66" t="str">
        <f>IF(AND(MONTH(E475)='IN-NX'!$J$5,'IN-NX'!$D$7=D475,OR(LEFT(TH!N475,2)="15",LEFT(TH!O475,2)="15")),"x","")</f>
        <v/>
      </c>
      <c r="AE475" s="66" t="str">
        <f>IF(AND(OR(LEFT(TH!N475,2)="15",LEFT(TH!O475,2)="15"),'152-CT'!$J$8=TH!F475),"x","")</f>
        <v/>
      </c>
      <c r="AF475" s="66" t="str">
        <f>IF(AND(OR(LEFT(TH!N475,2)="15",LEFT(TH!O475,2)="15"),'THE KHO'!$E$7=TH!F475),"x","")</f>
        <v/>
      </c>
      <c r="AG475" s="66" t="str">
        <f>IF(AND(N475="1521",MONTH(C475)='BK NL'!$M$11),"x","")</f>
        <v/>
      </c>
    </row>
    <row r="476" spans="1:33" ht="15.75" hidden="1" customHeight="1">
      <c r="A476" s="397" t="str">
        <f>IF(B476&lt;&gt;"",IF(AND(B476&gt;=_TM1,B476&lt;=_TM2,OR(TH!N476="1111",TH!O476="1111")),TH!D476,""),"")</f>
        <v/>
      </c>
      <c r="B476" s="63" t="str">
        <f t="shared" si="54"/>
        <v/>
      </c>
      <c r="C476" s="362"/>
      <c r="D476" s="362"/>
      <c r="E476" s="362"/>
      <c r="F476" s="363"/>
      <c r="G476" s="380"/>
      <c r="H476" s="364"/>
      <c r="I476" s="514"/>
      <c r="J476" s="514"/>
      <c r="K476" s="506"/>
      <c r="L476" s="514"/>
      <c r="M476" s="65"/>
      <c r="N476" s="365"/>
      <c r="O476" s="365"/>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si="55"/>
        <v/>
      </c>
      <c r="AD476" s="66" t="str">
        <f>IF(AND(MONTH(E476)='IN-NX'!$J$5,'IN-NX'!$D$7=D476,OR(LEFT(TH!N476,2)="15",LEFT(TH!O476,2)="15")),"x","")</f>
        <v/>
      </c>
      <c r="AE476" s="66" t="str">
        <f>IF(AND(OR(LEFT(TH!N476,2)="15",LEFT(TH!O476,2)="15"),'152-CT'!$J$8=TH!F476),"x","")</f>
        <v/>
      </c>
      <c r="AF476" s="66" t="str">
        <f>IF(AND(OR(LEFT(TH!N476,2)="15",LEFT(TH!O476,2)="15"),'THE KHO'!$E$7=TH!F476),"x","")</f>
        <v/>
      </c>
      <c r="AG476" s="66" t="str">
        <f>IF(AND(N476="1521",MONTH(C476)='BK NL'!$M$11),"x","")</f>
        <v/>
      </c>
    </row>
    <row r="477" spans="1:33" ht="15.75" hidden="1" customHeight="1">
      <c r="A477" s="397" t="str">
        <f>IF(B477&lt;&gt;"",IF(AND(B477&gt;=_TM1,B477&lt;=_TM2,OR(TH!N477="1111",TH!O477="1111")),TH!D477,""),"")</f>
        <v/>
      </c>
      <c r="B477" s="63" t="str">
        <f t="shared" si="54"/>
        <v/>
      </c>
      <c r="C477" s="362"/>
      <c r="D477" s="362"/>
      <c r="E477" s="362"/>
      <c r="F477" s="363"/>
      <c r="G477" s="380"/>
      <c r="H477" s="364"/>
      <c r="I477" s="514"/>
      <c r="J477" s="514"/>
      <c r="K477" s="506"/>
      <c r="L477" s="514"/>
      <c r="M477" s="65"/>
      <c r="N477" s="365"/>
      <c r="O477" s="365"/>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5"/>
        <v/>
      </c>
      <c r="AD477" s="66" t="str">
        <f>IF(AND(MONTH(E477)='IN-NX'!$J$5,'IN-NX'!$D$7=D477,OR(LEFT(TH!N477,2)="15",LEFT(TH!O477,2)="15")),"x","")</f>
        <v/>
      </c>
      <c r="AE477" s="66" t="str">
        <f>IF(AND(OR(LEFT(TH!N477,2)="15",LEFT(TH!O477,2)="15"),'152-CT'!$J$8=TH!F477),"x","")</f>
        <v/>
      </c>
      <c r="AF477" s="66" t="str">
        <f>IF(AND(OR(LEFT(TH!N477,2)="15",LEFT(TH!O477,2)="15"),'THE KHO'!$E$7=TH!F477),"x","")</f>
        <v/>
      </c>
      <c r="AG477" s="66" t="str">
        <f>IF(AND(N477="1521",MONTH(C477)='BK NL'!$M$11),"x","")</f>
        <v/>
      </c>
    </row>
    <row r="478" spans="1:33" ht="15.75" hidden="1" customHeight="1">
      <c r="A478" s="397" t="str">
        <f>IF(B478&lt;&gt;"",IF(AND(B478&gt;=_TM1,B478&lt;=_TM2,OR(TH!N478="1111",TH!O478="1111")),TH!D478,""),"")</f>
        <v/>
      </c>
      <c r="B478" s="63" t="str">
        <f t="shared" si="54"/>
        <v/>
      </c>
      <c r="C478" s="362"/>
      <c r="D478" s="362"/>
      <c r="E478" s="362"/>
      <c r="F478" s="363"/>
      <c r="G478" s="380"/>
      <c r="H478" s="364"/>
      <c r="I478" s="514"/>
      <c r="J478" s="514"/>
      <c r="K478" s="506"/>
      <c r="L478" s="514"/>
      <c r="M478" s="65"/>
      <c r="N478" s="365"/>
      <c r="O478" s="365"/>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5"/>
        <v/>
      </c>
      <c r="AD478" s="66" t="str">
        <f>IF(AND(MONTH(E478)='IN-NX'!$J$5,'IN-NX'!$D$7=D478,OR(LEFT(TH!N478,2)="15",LEFT(TH!O478,2)="15")),"x","")</f>
        <v/>
      </c>
      <c r="AE478" s="66" t="str">
        <f>IF(AND(OR(LEFT(TH!N478,2)="15",LEFT(TH!O478,2)="15"),'152-CT'!$J$8=TH!F478),"x","")</f>
        <v/>
      </c>
      <c r="AF478" s="66" t="str">
        <f>IF(AND(OR(LEFT(TH!N478,2)="15",LEFT(TH!O478,2)="15"),'THE KHO'!$E$7=TH!F478),"x","")</f>
        <v/>
      </c>
      <c r="AG478" s="66" t="str">
        <f>IF(AND(N478="1521",MONTH(C478)='BK NL'!$M$11),"x","")</f>
        <v/>
      </c>
    </row>
    <row r="479" spans="1:33" ht="15.75" hidden="1" customHeight="1">
      <c r="A479" s="397" t="str">
        <f>IF(B479&lt;&gt;"",IF(AND(B479&gt;=_TM1,B479&lt;=_TM2,OR(TH!N479="1111",TH!O479="1111")),TH!D479,""),"")</f>
        <v/>
      </c>
      <c r="B479" s="63" t="str">
        <f t="shared" si="54"/>
        <v/>
      </c>
      <c r="C479" s="362"/>
      <c r="D479" s="362"/>
      <c r="E479" s="362"/>
      <c r="F479" s="363"/>
      <c r="G479" s="380"/>
      <c r="H479" s="364"/>
      <c r="I479" s="514"/>
      <c r="J479" s="514"/>
      <c r="K479" s="506"/>
      <c r="L479" s="514"/>
      <c r="M479" s="65"/>
      <c r="N479" s="365"/>
      <c r="O479" s="365"/>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5"/>
        <v/>
      </c>
      <c r="AD479" s="66" t="str">
        <f>IF(AND(MONTH(E479)='IN-NX'!$J$5,'IN-NX'!$D$7=D479,OR(LEFT(TH!N479,2)="15",LEFT(TH!O479,2)="15")),"x","")</f>
        <v/>
      </c>
      <c r="AE479" s="66" t="str">
        <f>IF(AND(OR(LEFT(TH!N479,2)="15",LEFT(TH!O479,2)="15"),'152-CT'!$J$8=TH!F479),"x","")</f>
        <v/>
      </c>
      <c r="AF479" s="66" t="str">
        <f>IF(AND(OR(LEFT(TH!N479,2)="15",LEFT(TH!O479,2)="15"),'THE KHO'!$E$7=TH!F479),"x","")</f>
        <v/>
      </c>
      <c r="AG479" s="66" t="str">
        <f>IF(AND(N479="1521",MONTH(C479)='BK NL'!$M$11),"x","")</f>
        <v/>
      </c>
    </row>
    <row r="480" spans="1:33" ht="15.75" hidden="1" customHeight="1">
      <c r="A480" s="397" t="str">
        <f>IF(B480&lt;&gt;"",IF(AND(B480&gt;=_TM1,B480&lt;=_TM2,OR(TH!N480="1111",TH!O480="1111")),TH!D480,""),"")</f>
        <v/>
      </c>
      <c r="B480" s="63" t="str">
        <f t="shared" si="54"/>
        <v/>
      </c>
      <c r="C480" s="362"/>
      <c r="D480" s="362"/>
      <c r="E480" s="362"/>
      <c r="F480" s="363"/>
      <c r="G480" s="380"/>
      <c r="H480" s="405"/>
      <c r="I480" s="517"/>
      <c r="J480" s="517"/>
      <c r="K480" s="509"/>
      <c r="L480" s="517"/>
      <c r="M480" s="65"/>
      <c r="N480" s="365"/>
      <c r="O480" s="365"/>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5"/>
        <v/>
      </c>
      <c r="AD480" s="66" t="str">
        <f>IF(AND(MONTH(E480)='IN-NX'!$J$5,'IN-NX'!$D$7=D480,OR(LEFT(TH!N480,2)="15",LEFT(TH!O480,2)="15")),"x","")</f>
        <v/>
      </c>
      <c r="AE480" s="66" t="str">
        <f>IF(AND(OR(LEFT(TH!N480,2)="15",LEFT(TH!O480,2)="15"),'152-CT'!$J$8=TH!F480),"x","")</f>
        <v/>
      </c>
      <c r="AF480" s="66" t="str">
        <f>IF(AND(OR(LEFT(TH!N480,2)="15",LEFT(TH!O480,2)="15"),'THE KHO'!$E$7=TH!F480),"x","")</f>
        <v/>
      </c>
      <c r="AG480" s="66" t="str">
        <f>IF(AND(N480="1521",MONTH(C480)='BK NL'!$M$11),"x","")</f>
        <v/>
      </c>
    </row>
    <row r="481" spans="1:33" ht="15.75" hidden="1" customHeight="1">
      <c r="A481" s="397" t="str">
        <f>IF(B481&lt;&gt;"",IF(AND(B481&gt;=_TM1,B481&lt;=_TM2,OR(TH!N481="1111",TH!O481="1111")),TH!D481,""),"")</f>
        <v/>
      </c>
      <c r="B481" s="63" t="str">
        <f t="shared" si="54"/>
        <v/>
      </c>
      <c r="C481" s="362"/>
      <c r="D481" s="362"/>
      <c r="E481" s="362"/>
      <c r="F481" s="363"/>
      <c r="G481" s="380"/>
      <c r="H481" s="364"/>
      <c r="I481" s="514"/>
      <c r="J481" s="514"/>
      <c r="K481" s="506"/>
      <c r="L481" s="514"/>
      <c r="M481" s="65"/>
      <c r="N481" s="365"/>
      <c r="O481" s="365"/>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5"/>
        <v/>
      </c>
      <c r="AD481" s="66" t="str">
        <f>IF(AND(MONTH(E481)='IN-NX'!$J$5,'IN-NX'!$D$7=D481,OR(LEFT(TH!N481,2)="15",LEFT(TH!O481,2)="15")),"x","")</f>
        <v/>
      </c>
      <c r="AE481" s="66" t="str">
        <f>IF(AND(OR(LEFT(TH!N481,2)="15",LEFT(TH!O481,2)="15"),'152-CT'!$J$8=TH!F481),"x","")</f>
        <v/>
      </c>
      <c r="AF481" s="66" t="str">
        <f>IF(AND(OR(LEFT(TH!N481,2)="15",LEFT(TH!O481,2)="15"),'THE KHO'!$E$7=TH!F481),"x","")</f>
        <v/>
      </c>
      <c r="AG481" s="66" t="str">
        <f>IF(AND(N481="1521",MONTH(C481)='BK NL'!$M$11),"x","")</f>
        <v/>
      </c>
    </row>
    <row r="482" spans="1:33" ht="15.75" hidden="1" customHeight="1">
      <c r="A482" s="397" t="str">
        <f>IF(B482&lt;&gt;"",IF(AND(B482&gt;=_TM1,B482&lt;=_TM2,OR(TH!N482="1111",TH!O482="1111")),TH!D482,""),"")</f>
        <v/>
      </c>
      <c r="B482" s="63" t="str">
        <f t="shared" si="54"/>
        <v/>
      </c>
      <c r="C482" s="362"/>
      <c r="D482" s="362"/>
      <c r="E482" s="362"/>
      <c r="F482" s="363"/>
      <c r="G482" s="380"/>
      <c r="H482" s="364"/>
      <c r="I482" s="514"/>
      <c r="J482" s="514"/>
      <c r="K482" s="506"/>
      <c r="L482" s="514"/>
      <c r="M482" s="65"/>
      <c r="N482" s="365"/>
      <c r="O482" s="365"/>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5"/>
        <v/>
      </c>
      <c r="AD482" s="66" t="str">
        <f>IF(AND(MONTH(E482)='IN-NX'!$J$5,'IN-NX'!$D$7=D482,OR(LEFT(TH!N482,2)="15",LEFT(TH!O482,2)="15")),"x","")</f>
        <v/>
      </c>
      <c r="AE482" s="66" t="str">
        <f>IF(AND(OR(LEFT(TH!N482,2)="15",LEFT(TH!O482,2)="15"),'152-CT'!$J$8=TH!F482),"x","")</f>
        <v/>
      </c>
      <c r="AF482" s="66" t="str">
        <f>IF(AND(OR(LEFT(TH!N482,2)="15",LEFT(TH!O482,2)="15"),'THE KHO'!$E$7=TH!F482),"x","")</f>
        <v/>
      </c>
      <c r="AG482" s="66" t="str">
        <f>IF(AND(N482="1521",MONTH(C482)='BK NL'!$M$11),"x","")</f>
        <v/>
      </c>
    </row>
    <row r="483" spans="1:33" ht="15.75" hidden="1" customHeight="1">
      <c r="A483" s="397" t="str">
        <f>IF(B483&lt;&gt;"",IF(AND(B483&gt;=_TM1,B483&lt;=_TM2,OR(TH!N483="1111",TH!O483="1111")),TH!D483,""),"")</f>
        <v/>
      </c>
      <c r="B483" s="63" t="str">
        <f t="shared" si="54"/>
        <v/>
      </c>
      <c r="C483" s="64"/>
      <c r="D483" s="362"/>
      <c r="E483" s="64"/>
      <c r="F483" s="67"/>
      <c r="G483" s="375"/>
      <c r="H483" s="74"/>
      <c r="I483" s="514"/>
      <c r="J483" s="514"/>
      <c r="K483" s="506"/>
      <c r="L483" s="514"/>
      <c r="M483" s="65"/>
      <c r="N483" s="66"/>
      <c r="O483" s="66"/>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5"/>
        <v/>
      </c>
      <c r="AD483" s="66" t="str">
        <f>IF(AND(MONTH(E483)='IN-NX'!$J$5,'IN-NX'!$D$7=D483,OR(LEFT(TH!N483,2)="15",LEFT(TH!O483,2)="15")),"x","")</f>
        <v/>
      </c>
      <c r="AE483" s="66" t="str">
        <f>IF(AND(OR(LEFT(TH!N483,2)="15",LEFT(TH!O483,2)="15"),'152-CT'!$J$8=TH!F483),"x","")</f>
        <v/>
      </c>
      <c r="AF483" s="66" t="str">
        <f>IF(AND(OR(LEFT(TH!N483,2)="15",LEFT(TH!O483,2)="15"),'THE KHO'!$E$7=TH!F483),"x","")</f>
        <v/>
      </c>
      <c r="AG483" s="66" t="str">
        <f>IF(AND(N483="1521",MONTH(C483)='BK NL'!$M$11),"x","")</f>
        <v/>
      </c>
    </row>
    <row r="484" spans="1:33" ht="15.75" hidden="1" customHeight="1">
      <c r="A484" s="397" t="str">
        <f>IF(B484&lt;&gt;"",IF(AND(B484&gt;=_TM1,B484&lt;=_TM2,OR(TH!N484="1111",TH!O484="1111")),TH!D484,""),"")</f>
        <v/>
      </c>
      <c r="B484" s="63" t="str">
        <f t="shared" si="54"/>
        <v/>
      </c>
      <c r="C484" s="64"/>
      <c r="D484" s="362"/>
      <c r="E484" s="64"/>
      <c r="F484" s="67"/>
      <c r="G484" s="375"/>
      <c r="H484" s="74"/>
      <c r="I484" s="514"/>
      <c r="J484" s="514"/>
      <c r="K484" s="506"/>
      <c r="L484" s="514"/>
      <c r="M484" s="65"/>
      <c r="N484" s="66"/>
      <c r="O484" s="66"/>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5"/>
        <v/>
      </c>
      <c r="AD484" s="66" t="str">
        <f>IF(AND(MONTH(E484)='IN-NX'!$J$5,'IN-NX'!$D$7=D484,OR(LEFT(TH!N484,2)="15",LEFT(TH!O484,2)="15")),"x","")</f>
        <v/>
      </c>
      <c r="AE484" s="66" t="str">
        <f>IF(AND(OR(LEFT(TH!N484,2)="15",LEFT(TH!O484,2)="15"),'152-CT'!$J$8=TH!F484),"x","")</f>
        <v/>
      </c>
      <c r="AF484" s="66" t="str">
        <f>IF(AND(OR(LEFT(TH!N484,2)="15",LEFT(TH!O484,2)="15"),'THE KHO'!$E$7=TH!F484),"x","")</f>
        <v/>
      </c>
      <c r="AG484" s="66" t="str">
        <f>IF(AND(N484="1521",MONTH(C484)='BK NL'!$M$11),"x","")</f>
        <v/>
      </c>
    </row>
    <row r="485" spans="1:33" ht="15.75" hidden="1" customHeight="1">
      <c r="A485" s="397" t="str">
        <f>IF(B485&lt;&gt;"",IF(AND(B485&gt;=_TM1,B485&lt;=_TM2,OR(TH!N485="1111",TH!O485="1111")),TH!D485,""),"")</f>
        <v/>
      </c>
      <c r="B485" s="63" t="str">
        <f t="shared" si="54"/>
        <v/>
      </c>
      <c r="C485" s="362"/>
      <c r="D485" s="362"/>
      <c r="E485" s="362"/>
      <c r="F485" s="363"/>
      <c r="G485" s="380"/>
      <c r="H485" s="364"/>
      <c r="I485" s="514"/>
      <c r="J485" s="514"/>
      <c r="K485" s="506"/>
      <c r="L485" s="514"/>
      <c r="M485" s="65"/>
      <c r="N485" s="365"/>
      <c r="O485" s="365"/>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5"/>
        <v/>
      </c>
      <c r="AD485" s="66" t="str">
        <f>IF(AND(MONTH(E485)='IN-NX'!$J$5,'IN-NX'!$D$7=D485,OR(LEFT(TH!N485,2)="15",LEFT(TH!O485,2)="15")),"x","")</f>
        <v/>
      </c>
      <c r="AE485" s="66" t="str">
        <f>IF(AND(OR(LEFT(TH!N485,2)="15",LEFT(TH!O485,2)="15"),'152-CT'!$J$8=TH!F485),"x","")</f>
        <v/>
      </c>
      <c r="AF485" s="66" t="str">
        <f>IF(AND(OR(LEFT(TH!N485,2)="15",LEFT(TH!O485,2)="15"),'THE KHO'!$E$7=TH!F485),"x","")</f>
        <v/>
      </c>
      <c r="AG485" s="66" t="str">
        <f>IF(AND(N485="1521",MONTH(C485)='BK NL'!$M$11),"x","")</f>
        <v/>
      </c>
    </row>
    <row r="486" spans="1:33" ht="15.75" hidden="1" customHeight="1">
      <c r="A486" s="397" t="str">
        <f>IF(B486&lt;&gt;"",IF(AND(B486&gt;=_TM1,B486&lt;=_TM2,OR(TH!N486="1111",TH!O486="1111")),TH!D486,""),"")</f>
        <v/>
      </c>
      <c r="B486" s="63" t="str">
        <f t="shared" si="54"/>
        <v/>
      </c>
      <c r="C486" s="362"/>
      <c r="D486" s="362"/>
      <c r="E486" s="362"/>
      <c r="F486" s="363"/>
      <c r="G486" s="379"/>
      <c r="H486" s="364"/>
      <c r="I486" s="514"/>
      <c r="J486" s="514"/>
      <c r="K486" s="506"/>
      <c r="L486" s="514"/>
      <c r="M486" s="65"/>
      <c r="N486" s="365"/>
      <c r="O486" s="365"/>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5"/>
        <v/>
      </c>
      <c r="AD486" s="66" t="str">
        <f>IF(AND(MONTH(E486)='IN-NX'!$J$5,'IN-NX'!$D$7=D486,OR(LEFT(TH!N486,2)="15",LEFT(TH!O486,2)="15")),"x","")</f>
        <v/>
      </c>
      <c r="AE486" s="66" t="str">
        <f>IF(AND(OR(LEFT(TH!N486,2)="15",LEFT(TH!O486,2)="15"),'152-CT'!$J$8=TH!F486),"x","")</f>
        <v/>
      </c>
      <c r="AF486" s="66" t="str">
        <f>IF(AND(OR(LEFT(TH!N486,2)="15",LEFT(TH!O486,2)="15"),'THE KHO'!$E$7=TH!F486),"x","")</f>
        <v/>
      </c>
      <c r="AG486" s="66" t="str">
        <f>IF(AND(N486="1521",MONTH(C486)='BK NL'!$M$11),"x","")</f>
        <v/>
      </c>
    </row>
    <row r="487" spans="1:33" ht="15.75" hidden="1" customHeight="1">
      <c r="A487" s="397" t="str">
        <f>IF(B487&lt;&gt;"",IF(AND(B487&gt;=_TM1,B487&lt;=_TM2,OR(TH!N487="1111",TH!O487="1111")),TH!D487,""),"")</f>
        <v/>
      </c>
      <c r="B487" s="63" t="str">
        <f t="shared" si="54"/>
        <v/>
      </c>
      <c r="C487" s="362"/>
      <c r="D487" s="362"/>
      <c r="E487" s="362"/>
      <c r="F487" s="363"/>
      <c r="G487" s="379"/>
      <c r="H487" s="364"/>
      <c r="I487" s="514"/>
      <c r="J487" s="514"/>
      <c r="K487" s="506"/>
      <c r="L487" s="514"/>
      <c r="M487" s="65"/>
      <c r="N487" s="365"/>
      <c r="O487" s="365"/>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55"/>
        <v/>
      </c>
      <c r="AD487" s="66" t="str">
        <f>IF(AND(MONTH(E487)='IN-NX'!$J$5,'IN-NX'!$D$7=D487,OR(LEFT(TH!N487,2)="15",LEFT(TH!O487,2)="15")),"x","")</f>
        <v/>
      </c>
      <c r="AE487" s="66" t="str">
        <f>IF(AND(OR(LEFT(TH!N487,2)="15",LEFT(TH!O487,2)="15"),'152-CT'!$J$8=TH!F487),"x","")</f>
        <v/>
      </c>
      <c r="AF487" s="66" t="str">
        <f>IF(AND(OR(LEFT(TH!N487,2)="15",LEFT(TH!O487,2)="15"),'THE KHO'!$E$7=TH!F487),"x","")</f>
        <v/>
      </c>
      <c r="AG487" s="66" t="str">
        <f>IF(AND(N487="1521",MONTH(C487)='BK NL'!$M$11),"x","")</f>
        <v/>
      </c>
    </row>
    <row r="488" spans="1:33" ht="15.75" hidden="1" customHeight="1">
      <c r="A488" s="397" t="str">
        <f>IF(B488&lt;&gt;"",IF(AND(B488&gt;=_TM1,B488&lt;=_TM2,OR(TH!N488="1111",TH!O488="1111")),TH!D488,""),"")</f>
        <v/>
      </c>
      <c r="B488" s="63" t="str">
        <f t="shared" si="54"/>
        <v/>
      </c>
      <c r="C488" s="362"/>
      <c r="D488" s="362"/>
      <c r="E488" s="362"/>
      <c r="F488" s="363"/>
      <c r="G488" s="379"/>
      <c r="H488" s="364"/>
      <c r="I488" s="514"/>
      <c r="J488" s="514"/>
      <c r="K488" s="506"/>
      <c r="L488" s="514"/>
      <c r="M488" s="65"/>
      <c r="N488" s="365"/>
      <c r="O488" s="365"/>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5"/>
        <v/>
      </c>
      <c r="AD488" s="66" t="str">
        <f>IF(AND(MONTH(E488)='IN-NX'!$J$5,'IN-NX'!$D$7=D488,OR(LEFT(TH!N488,2)="15",LEFT(TH!O488,2)="15")),"x","")</f>
        <v/>
      </c>
      <c r="AE488" s="66" t="str">
        <f>IF(AND(OR(LEFT(TH!N488,2)="15",LEFT(TH!O488,2)="15"),'152-CT'!$J$8=TH!F488),"x","")</f>
        <v/>
      </c>
      <c r="AF488" s="66" t="str">
        <f>IF(AND(OR(LEFT(TH!N488,2)="15",LEFT(TH!O488,2)="15"),'THE KHO'!$E$7=TH!F488),"x","")</f>
        <v/>
      </c>
      <c r="AG488" s="66" t="str">
        <f>IF(AND(N488="1521",MONTH(C488)='BK NL'!$M$11),"x","")</f>
        <v/>
      </c>
    </row>
    <row r="489" spans="1:33" ht="15.75" hidden="1" customHeight="1">
      <c r="A489" s="397" t="str">
        <f>IF(B489&lt;&gt;"",IF(AND(B489&gt;=_TM1,B489&lt;=_TM2,OR(TH!N489="1111",TH!O489="1111")),TH!D489,""),"")</f>
        <v/>
      </c>
      <c r="B489" s="63" t="str">
        <f t="shared" si="54"/>
        <v/>
      </c>
      <c r="C489" s="362"/>
      <c r="D489" s="362"/>
      <c r="E489" s="362"/>
      <c r="F489" s="363"/>
      <c r="G489" s="379"/>
      <c r="H489" s="364"/>
      <c r="I489" s="514"/>
      <c r="J489" s="514"/>
      <c r="K489" s="506"/>
      <c r="L489" s="514"/>
      <c r="M489" s="65"/>
      <c r="N489" s="365"/>
      <c r="O489" s="365"/>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5"/>
        <v/>
      </c>
      <c r="AD489" s="66" t="str">
        <f>IF(AND(MONTH(E489)='IN-NX'!$J$5,'IN-NX'!$D$7=D489,OR(LEFT(TH!N489,2)="15",LEFT(TH!O489,2)="15")),"x","")</f>
        <v/>
      </c>
      <c r="AE489" s="66" t="str">
        <f>IF(AND(OR(LEFT(TH!N489,2)="15",LEFT(TH!O489,2)="15"),'152-CT'!$J$8=TH!F489),"x","")</f>
        <v/>
      </c>
      <c r="AF489" s="66" t="str">
        <f>IF(AND(OR(LEFT(TH!N489,2)="15",LEFT(TH!O489,2)="15"),'THE KHO'!$E$7=TH!F489),"x","")</f>
        <v/>
      </c>
      <c r="AG489" s="66" t="str">
        <f>IF(AND(N489="1521",MONTH(C489)='BK NL'!$M$11),"x","")</f>
        <v/>
      </c>
    </row>
    <row r="490" spans="1:33" ht="15.75" hidden="1" customHeight="1">
      <c r="A490" s="397" t="str">
        <f>IF(B490&lt;&gt;"",IF(AND(B490&gt;=_TM1,B490&lt;=_TM2,OR(TH!N490="1111",TH!O490="1111")),TH!D490,""),"")</f>
        <v/>
      </c>
      <c r="B490" s="63" t="str">
        <f t="shared" si="54"/>
        <v/>
      </c>
      <c r="C490" s="362"/>
      <c r="D490" s="362"/>
      <c r="E490" s="362"/>
      <c r="F490" s="363"/>
      <c r="G490" s="380"/>
      <c r="H490" s="405"/>
      <c r="I490" s="517"/>
      <c r="J490" s="517"/>
      <c r="K490" s="509"/>
      <c r="L490" s="517"/>
      <c r="M490" s="65"/>
      <c r="N490" s="365"/>
      <c r="O490" s="365"/>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si="55"/>
        <v/>
      </c>
      <c r="AD490" s="66" t="str">
        <f>IF(AND(MONTH(E490)='IN-NX'!$J$5,'IN-NX'!$D$7=D490,OR(LEFT(TH!N490,2)="15",LEFT(TH!O490,2)="15")),"x","")</f>
        <v/>
      </c>
      <c r="AE490" s="66" t="str">
        <f>IF(AND(OR(LEFT(TH!N490,2)="15",LEFT(TH!O490,2)="15"),'152-CT'!$J$8=TH!F490),"x","")</f>
        <v/>
      </c>
      <c r="AF490" s="66" t="str">
        <f>IF(AND(OR(LEFT(TH!N490,2)="15",LEFT(TH!O490,2)="15"),'THE KHO'!$E$7=TH!F490),"x","")</f>
        <v/>
      </c>
      <c r="AG490" s="66" t="str">
        <f>IF(AND(N490="1521",MONTH(C490)='BK NL'!$M$11),"x","")</f>
        <v/>
      </c>
    </row>
    <row r="491" spans="1:33" ht="15.75" hidden="1" customHeight="1">
      <c r="A491" s="397" t="str">
        <f>IF(B491&lt;&gt;"",IF(AND(B491&gt;=_TM1,B491&lt;=_TM2,OR(TH!N491="1111",TH!O491="1111")),TH!D491,""),"")</f>
        <v/>
      </c>
      <c r="B491" s="63" t="str">
        <f t="shared" si="54"/>
        <v/>
      </c>
      <c r="C491" s="362"/>
      <c r="D491" s="362"/>
      <c r="E491" s="362"/>
      <c r="F491" s="363"/>
      <c r="G491" s="380"/>
      <c r="H491" s="364"/>
      <c r="I491" s="514"/>
      <c r="J491" s="514"/>
      <c r="K491" s="506"/>
      <c r="L491" s="514"/>
      <c r="M491" s="65"/>
      <c r="N491" s="365"/>
      <c r="O491" s="365"/>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55"/>
        <v/>
      </c>
      <c r="AD491" s="66" t="str">
        <f>IF(AND(MONTH(E491)='IN-NX'!$J$5,'IN-NX'!$D$7=D491,OR(LEFT(TH!N491,2)="15",LEFT(TH!O491,2)="15")),"x","")</f>
        <v/>
      </c>
      <c r="AE491" s="66" t="str">
        <f>IF(AND(OR(LEFT(TH!N491,2)="15",LEFT(TH!O491,2)="15"),'152-CT'!$J$8=TH!F491),"x","")</f>
        <v/>
      </c>
      <c r="AF491" s="66" t="str">
        <f>IF(AND(OR(LEFT(TH!N491,2)="15",LEFT(TH!O491,2)="15"),'THE KHO'!$E$7=TH!F491),"x","")</f>
        <v/>
      </c>
      <c r="AG491" s="66" t="str">
        <f>IF(AND(N491="1521",MONTH(C491)='BK NL'!$M$11),"x","")</f>
        <v/>
      </c>
    </row>
    <row r="492" spans="1:33" ht="15.75" hidden="1" customHeight="1">
      <c r="A492" s="397" t="str">
        <f>IF(B492&lt;&gt;"",IF(AND(B492&gt;=_TM1,B492&lt;=_TM2,OR(TH!N492="1111",TH!O492="1111")),TH!D492,""),"")</f>
        <v/>
      </c>
      <c r="B492" s="63" t="str">
        <f t="shared" si="54"/>
        <v/>
      </c>
      <c r="C492" s="362"/>
      <c r="D492" s="362"/>
      <c r="E492" s="362"/>
      <c r="F492" s="363"/>
      <c r="G492" s="380"/>
      <c r="H492" s="364"/>
      <c r="I492" s="514"/>
      <c r="J492" s="514"/>
      <c r="K492" s="506"/>
      <c r="L492" s="514"/>
      <c r="M492" s="65"/>
      <c r="N492" s="365"/>
      <c r="O492" s="365"/>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55"/>
        <v/>
      </c>
      <c r="AD492" s="66" t="str">
        <f>IF(AND(MONTH(E492)='IN-NX'!$J$5,'IN-NX'!$D$7=D492,OR(LEFT(TH!N492,2)="15",LEFT(TH!O492,2)="15")),"x","")</f>
        <v/>
      </c>
      <c r="AE492" s="66" t="str">
        <f>IF(AND(OR(LEFT(TH!N492,2)="15",LEFT(TH!O492,2)="15"),'152-CT'!$J$8=TH!F492),"x","")</f>
        <v/>
      </c>
      <c r="AF492" s="66" t="str">
        <f>IF(AND(OR(LEFT(TH!N492,2)="15",LEFT(TH!O492,2)="15"),'THE KHO'!$E$7=TH!F492),"x","")</f>
        <v/>
      </c>
      <c r="AG492" s="66" t="str">
        <f>IF(AND(N492="1521",MONTH(C492)='BK NL'!$M$11),"x","")</f>
        <v/>
      </c>
    </row>
    <row r="493" spans="1:33" ht="15.75" hidden="1" customHeight="1">
      <c r="A493" s="397" t="str">
        <f>IF(B493&lt;&gt;"",IF(AND(B493&gt;=_TM1,B493&lt;=_TM2,OR(TH!N493="1111",TH!O493="1111")),TH!D493,""),"")</f>
        <v/>
      </c>
      <c r="B493" s="63" t="str">
        <f t="shared" si="54"/>
        <v/>
      </c>
      <c r="C493" s="362"/>
      <c r="D493" s="362"/>
      <c r="E493" s="362"/>
      <c r="F493" s="363"/>
      <c r="G493" s="380"/>
      <c r="H493" s="405"/>
      <c r="I493" s="517"/>
      <c r="J493" s="517"/>
      <c r="K493" s="509"/>
      <c r="L493" s="517"/>
      <c r="M493" s="65"/>
      <c r="N493" s="365"/>
      <c r="O493" s="365"/>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55"/>
        <v/>
      </c>
      <c r="AD493" s="66" t="str">
        <f>IF(AND(MONTH(E493)='IN-NX'!$J$5,'IN-NX'!$D$7=D493,OR(LEFT(TH!N493,2)="15",LEFT(TH!O493,2)="15")),"x","")</f>
        <v/>
      </c>
      <c r="AE493" s="66" t="str">
        <f>IF(AND(OR(LEFT(TH!N493,2)="15",LEFT(TH!O493,2)="15"),'152-CT'!$J$8=TH!F493),"x","")</f>
        <v/>
      </c>
      <c r="AF493" s="66" t="str">
        <f>IF(AND(OR(LEFT(TH!N493,2)="15",LEFT(TH!O493,2)="15"),'THE KHO'!$E$7=TH!F493),"x","")</f>
        <v/>
      </c>
      <c r="AG493" s="66" t="str">
        <f>IF(AND(N493="1521",MONTH(C493)='BK NL'!$M$11),"x","")</f>
        <v/>
      </c>
    </row>
    <row r="494" spans="1:33" ht="15.75" hidden="1" customHeight="1">
      <c r="A494" s="397" t="str">
        <f>IF(B494&lt;&gt;"",IF(AND(B494&gt;=_TM1,B494&lt;=_TM2,OR(TH!N494="1111",TH!O494="1111")),TH!D494,""),"")</f>
        <v/>
      </c>
      <c r="B494" s="63" t="str">
        <f t="shared" si="54"/>
        <v/>
      </c>
      <c r="C494" s="362"/>
      <c r="D494" s="362"/>
      <c r="E494" s="362"/>
      <c r="F494" s="363"/>
      <c r="G494" s="380"/>
      <c r="H494" s="364"/>
      <c r="I494" s="514"/>
      <c r="J494" s="514"/>
      <c r="K494" s="506"/>
      <c r="L494" s="514"/>
      <c r="M494" s="65"/>
      <c r="N494" s="365"/>
      <c r="O494" s="365"/>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55"/>
        <v/>
      </c>
      <c r="AD494" s="66" t="str">
        <f>IF(AND(MONTH(E494)='IN-NX'!$J$5,'IN-NX'!$D$7=D494,OR(LEFT(TH!N494,2)="15",LEFT(TH!O494,2)="15")),"x","")</f>
        <v/>
      </c>
      <c r="AE494" s="66" t="str">
        <f>IF(AND(OR(LEFT(TH!N494,2)="15",LEFT(TH!O494,2)="15"),'152-CT'!$J$8=TH!F494),"x","")</f>
        <v/>
      </c>
      <c r="AF494" s="66" t="str">
        <f>IF(AND(OR(LEFT(TH!N494,2)="15",LEFT(TH!O494,2)="15"),'THE KHO'!$E$7=TH!F494),"x","")</f>
        <v/>
      </c>
      <c r="AG494" s="66" t="str">
        <f>IF(AND(N494="1521",MONTH(C494)='BK NL'!$M$11),"x","")</f>
        <v/>
      </c>
    </row>
    <row r="495" spans="1:33" ht="15.75" hidden="1" customHeight="1">
      <c r="A495" s="397" t="str">
        <f>IF(B495&lt;&gt;"",IF(AND(B495&gt;=_TM1,B495&lt;=_TM2,OR(TH!N495="1111",TH!O495="1111")),TH!D495,""),"")</f>
        <v/>
      </c>
      <c r="B495" s="63" t="str">
        <f t="shared" si="54"/>
        <v/>
      </c>
      <c r="C495" s="362"/>
      <c r="D495" s="362"/>
      <c r="E495" s="362"/>
      <c r="F495" s="363"/>
      <c r="G495" s="380"/>
      <c r="H495" s="364"/>
      <c r="I495" s="514"/>
      <c r="J495" s="514"/>
      <c r="K495" s="506"/>
      <c r="L495" s="514"/>
      <c r="M495" s="65"/>
      <c r="N495" s="365"/>
      <c r="O495" s="365"/>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55"/>
        <v/>
      </c>
      <c r="AD495" s="66" t="str">
        <f>IF(AND(MONTH(E495)='IN-NX'!$J$5,'IN-NX'!$D$7=D495,OR(LEFT(TH!N495,2)="15",LEFT(TH!O495,2)="15")),"x","")</f>
        <v/>
      </c>
      <c r="AE495" s="66" t="str">
        <f>IF(AND(OR(LEFT(TH!N495,2)="15",LEFT(TH!O495,2)="15"),'152-CT'!$J$8=TH!F495),"x","")</f>
        <v/>
      </c>
      <c r="AF495" s="66" t="str">
        <f>IF(AND(OR(LEFT(TH!N495,2)="15",LEFT(TH!O495,2)="15"),'THE KHO'!$E$7=TH!F495),"x","")</f>
        <v/>
      </c>
      <c r="AG495" s="66" t="str">
        <f>IF(AND(N495="1521",MONTH(C495)='BK NL'!$M$11),"x","")</f>
        <v/>
      </c>
    </row>
    <row r="496" spans="1:33" ht="15.75" hidden="1" customHeight="1">
      <c r="A496" s="397" t="str">
        <f>IF(B496&lt;&gt;"",IF(AND(B496&gt;=_TM1,B496&lt;=_TM2,OR(TH!N496="1111",TH!O496="1111")),TH!D496,""),"")</f>
        <v/>
      </c>
      <c r="B496" s="63" t="str">
        <f t="shared" si="54"/>
        <v/>
      </c>
      <c r="C496" s="362"/>
      <c r="D496" s="362"/>
      <c r="E496" s="362"/>
      <c r="F496" s="363"/>
      <c r="G496" s="379"/>
      <c r="H496" s="364"/>
      <c r="I496" s="514"/>
      <c r="J496" s="514"/>
      <c r="K496" s="506"/>
      <c r="L496" s="514"/>
      <c r="M496" s="65"/>
      <c r="N496" s="365"/>
      <c r="O496" s="365"/>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55"/>
        <v/>
      </c>
      <c r="AD496" s="66" t="str">
        <f>IF(AND(MONTH(E496)='IN-NX'!$J$5,'IN-NX'!$D$7=D496,OR(LEFT(TH!N496,2)="15",LEFT(TH!O496,2)="15")),"x","")</f>
        <v/>
      </c>
      <c r="AE496" s="66" t="str">
        <f>IF(AND(OR(LEFT(TH!N496,2)="15",LEFT(TH!O496,2)="15"),'152-CT'!$J$8=TH!F496),"x","")</f>
        <v/>
      </c>
      <c r="AF496" s="66" t="str">
        <f>IF(AND(OR(LEFT(TH!N496,2)="15",LEFT(TH!O496,2)="15"),'THE KHO'!$E$7=TH!F496),"x","")</f>
        <v/>
      </c>
      <c r="AG496" s="66" t="str">
        <f>IF(AND(N496="1521",MONTH(C496)='BK NL'!$M$11),"x","")</f>
        <v/>
      </c>
    </row>
    <row r="497" spans="1:33" ht="15.75" hidden="1" customHeight="1">
      <c r="A497" s="397" t="str">
        <f>IF(B497&lt;&gt;"",IF(AND(B497&gt;=_TM1,B497&lt;=_TM2,OR(TH!N497="1111",TH!O497="1111")),TH!D497,""),"")</f>
        <v/>
      </c>
      <c r="B497" s="63" t="str">
        <f t="shared" si="54"/>
        <v/>
      </c>
      <c r="C497" s="362"/>
      <c r="D497" s="362"/>
      <c r="E497" s="362"/>
      <c r="F497" s="363"/>
      <c r="G497" s="379"/>
      <c r="H497" s="364"/>
      <c r="I497" s="514"/>
      <c r="J497" s="514"/>
      <c r="K497" s="506"/>
      <c r="L497" s="514"/>
      <c r="M497" s="65"/>
      <c r="N497" s="365"/>
      <c r="O497" s="365"/>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
      </c>
      <c r="AC497" s="66" t="str">
        <f t="shared" si="55"/>
        <v/>
      </c>
      <c r="AD497" s="66" t="str">
        <f>IF(AND(MONTH(E497)='IN-NX'!$J$5,'IN-NX'!$D$7=D497,OR(LEFT(TH!N497,2)="15",LEFT(TH!O497,2)="15")),"x","")</f>
        <v/>
      </c>
      <c r="AE497" s="66" t="str">
        <f>IF(AND(OR(LEFT(TH!N497,2)="15",LEFT(TH!O497,2)="15"),'152-CT'!$J$8=TH!F497),"x","")</f>
        <v/>
      </c>
      <c r="AF497" s="66" t="str">
        <f>IF(AND(OR(LEFT(TH!N497,2)="15",LEFT(TH!O497,2)="15"),'THE KHO'!$E$7=TH!F497),"x","")</f>
        <v/>
      </c>
      <c r="AG497" s="66" t="str">
        <f>IF(AND(N497="1521",MONTH(C497)='BK NL'!$M$11),"x","")</f>
        <v/>
      </c>
    </row>
    <row r="498" spans="1:33" ht="15.75" hidden="1" customHeight="1">
      <c r="A498" s="397" t="str">
        <f>IF(B498&lt;&gt;"",IF(AND(B498&gt;=_TM1,B498&lt;=_TM2,OR(TH!N498="1111",TH!O498="1111")),TH!D498,""),"")</f>
        <v/>
      </c>
      <c r="B498" s="63" t="str">
        <f t="shared" si="54"/>
        <v/>
      </c>
      <c r="C498" s="362"/>
      <c r="D498" s="362"/>
      <c r="E498" s="362"/>
      <c r="F498" s="363"/>
      <c r="G498" s="379"/>
      <c r="H498" s="364"/>
      <c r="I498" s="514"/>
      <c r="J498" s="514"/>
      <c r="K498" s="506"/>
      <c r="L498" s="514"/>
      <c r="M498" s="65"/>
      <c r="N498" s="365"/>
      <c r="O498" s="365"/>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
      </c>
      <c r="AC498" s="66" t="str">
        <f t="shared" si="55"/>
        <v/>
      </c>
      <c r="AD498" s="66" t="str">
        <f>IF(AND(MONTH(E498)='IN-NX'!$J$5,'IN-NX'!$D$7=D498,OR(LEFT(TH!N498,2)="15",LEFT(TH!O498,2)="15")),"x","")</f>
        <v/>
      </c>
      <c r="AE498" s="66" t="str">
        <f>IF(AND(OR(LEFT(TH!N498,2)="15",LEFT(TH!O498,2)="15"),'152-CT'!$J$8=TH!F498),"x","")</f>
        <v/>
      </c>
      <c r="AF498" s="66" t="str">
        <f>IF(AND(OR(LEFT(TH!N498,2)="15",LEFT(TH!O498,2)="15"),'THE KHO'!$E$7=TH!F498),"x","")</f>
        <v/>
      </c>
      <c r="AG498" s="66" t="str">
        <f>IF(AND(N498="1521",MONTH(C498)='BK NL'!$M$11),"x","")</f>
        <v/>
      </c>
    </row>
    <row r="499" spans="1:33" ht="15.75" hidden="1" customHeight="1">
      <c r="A499" s="397" t="str">
        <f>IF(B499&lt;&gt;"",IF(AND(B499&gt;=_TM1,B499&lt;=_TM2,OR(TH!N499="1111",TH!O499="1111")),TH!D499,""),"")</f>
        <v/>
      </c>
      <c r="B499" s="63" t="str">
        <f t="shared" si="54"/>
        <v/>
      </c>
      <c r="C499" s="362"/>
      <c r="D499" s="362"/>
      <c r="E499" s="362"/>
      <c r="F499" s="363"/>
      <c r="G499" s="379"/>
      <c r="H499" s="364"/>
      <c r="I499" s="514"/>
      <c r="J499" s="514"/>
      <c r="K499" s="506"/>
      <c r="L499" s="514"/>
      <c r="M499" s="65"/>
      <c r="N499" s="365"/>
      <c r="O499" s="365"/>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55"/>
        <v/>
      </c>
      <c r="AD499" s="66" t="str">
        <f>IF(AND(MONTH(E499)='IN-NX'!$J$5,'IN-NX'!$D$7=D499,OR(LEFT(TH!N499,2)="15",LEFT(TH!O499,2)="15")),"x","")</f>
        <v/>
      </c>
      <c r="AE499" s="66" t="str">
        <f>IF(AND(OR(LEFT(TH!N499,2)="15",LEFT(TH!O499,2)="15"),'152-CT'!$J$8=TH!F499),"x","")</f>
        <v/>
      </c>
      <c r="AF499" s="66" t="str">
        <f>IF(AND(OR(LEFT(TH!N499,2)="15",LEFT(TH!O499,2)="15"),'THE KHO'!$E$7=TH!F499),"x","")</f>
        <v/>
      </c>
      <c r="AG499" s="66" t="str">
        <f>IF(AND(N499="1521",MONTH(C499)='BK NL'!$M$11),"x","")</f>
        <v/>
      </c>
    </row>
    <row r="500" spans="1:33" ht="15.75" hidden="1" customHeight="1">
      <c r="A500" s="397" t="str">
        <f>IF(B500&lt;&gt;"",IF(AND(B500&gt;=_TM1,B500&lt;=_TM2,OR(TH!N500="1111",TH!O500="1111")),TH!D500,""),"")</f>
        <v/>
      </c>
      <c r="B500" s="63" t="str">
        <f t="shared" si="54"/>
        <v/>
      </c>
      <c r="C500" s="362"/>
      <c r="D500" s="362"/>
      <c r="E500" s="362"/>
      <c r="F500" s="363"/>
      <c r="G500" s="379"/>
      <c r="H500" s="364"/>
      <c r="I500" s="514"/>
      <c r="J500" s="514"/>
      <c r="K500" s="506"/>
      <c r="L500" s="514"/>
      <c r="M500" s="65"/>
      <c r="N500" s="365"/>
      <c r="O500" s="365"/>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55"/>
        <v/>
      </c>
      <c r="AD500" s="66" t="str">
        <f>IF(AND(MONTH(E500)='IN-NX'!$J$5,'IN-NX'!$D$7=D500,OR(LEFT(TH!N500,2)="15",LEFT(TH!O500,2)="15")),"x","")</f>
        <v/>
      </c>
      <c r="AE500" s="66" t="str">
        <f>IF(AND(OR(LEFT(TH!N500,2)="15",LEFT(TH!O500,2)="15"),'152-CT'!$J$8=TH!F500),"x","")</f>
        <v/>
      </c>
      <c r="AF500" s="66" t="str">
        <f>IF(AND(OR(LEFT(TH!N500,2)="15",LEFT(TH!O500,2)="15"),'THE KHO'!$E$7=TH!F500),"x","")</f>
        <v/>
      </c>
      <c r="AG500" s="66" t="str">
        <f>IF(AND(N500="1521",MONTH(C500)='BK NL'!$M$11),"x","")</f>
        <v/>
      </c>
    </row>
    <row r="501" spans="1:33" ht="15.75" hidden="1" customHeight="1">
      <c r="A501" s="397" t="str">
        <f>IF(B501&lt;&gt;"",IF(AND(B501&gt;=_TM1,B501&lt;=_TM2,OR(TH!N501="1111",TH!O501="1111")),TH!D501,""),"")</f>
        <v/>
      </c>
      <c r="B501" s="63" t="str">
        <f t="shared" si="54"/>
        <v/>
      </c>
      <c r="C501" s="362"/>
      <c r="D501" s="362"/>
      <c r="E501" s="362"/>
      <c r="F501" s="363"/>
      <c r="G501" s="379"/>
      <c r="H501" s="364"/>
      <c r="I501" s="514"/>
      <c r="J501" s="514"/>
      <c r="K501" s="506"/>
      <c r="L501" s="514"/>
      <c r="M501" s="65"/>
      <c r="N501" s="365"/>
      <c r="O501" s="365"/>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55"/>
        <v/>
      </c>
      <c r="AD501" s="66" t="str">
        <f>IF(AND(MONTH(E501)='IN-NX'!$J$5,'IN-NX'!$D$7=D501,OR(LEFT(TH!N501,2)="15",LEFT(TH!O501,2)="15")),"x","")</f>
        <v/>
      </c>
      <c r="AE501" s="66" t="str">
        <f>IF(AND(OR(LEFT(TH!N501,2)="15",LEFT(TH!O501,2)="15"),'152-CT'!$J$8=TH!F501),"x","")</f>
        <v/>
      </c>
      <c r="AF501" s="66" t="str">
        <f>IF(AND(OR(LEFT(TH!N501,2)="15",LEFT(TH!O501,2)="15"),'THE KHO'!$E$7=TH!F501),"x","")</f>
        <v/>
      </c>
      <c r="AG501" s="66" t="str">
        <f>IF(AND(N501="1521",MONTH(C501)='BK NL'!$M$11),"x","")</f>
        <v/>
      </c>
    </row>
    <row r="502" spans="1:33" ht="15.75" hidden="1" customHeight="1">
      <c r="A502" s="397" t="str">
        <f>IF(B502&lt;&gt;"",IF(AND(B502&gt;=_TM1,B502&lt;=_TM2,OR(TH!N502="1111",TH!O502="1111")),TH!D502,""),"")</f>
        <v/>
      </c>
      <c r="B502" s="63" t="str">
        <f t="shared" si="54"/>
        <v/>
      </c>
      <c r="C502" s="362"/>
      <c r="D502" s="362"/>
      <c r="E502" s="362"/>
      <c r="F502" s="363"/>
      <c r="G502" s="379"/>
      <c r="H502" s="364"/>
      <c r="I502" s="514"/>
      <c r="J502" s="514"/>
      <c r="K502" s="506"/>
      <c r="L502" s="514"/>
      <c r="M502" s="65"/>
      <c r="N502" s="365"/>
      <c r="O502" s="365"/>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55"/>
        <v/>
      </c>
      <c r="AD502" s="66" t="str">
        <f>IF(AND(MONTH(E502)='IN-NX'!$J$5,'IN-NX'!$D$7=D502,OR(LEFT(TH!N502,2)="15",LEFT(TH!O502,2)="15")),"x","")</f>
        <v/>
      </c>
      <c r="AE502" s="66" t="str">
        <f>IF(AND(OR(LEFT(TH!N502,2)="15",LEFT(TH!O502,2)="15"),'152-CT'!$J$8=TH!F502),"x","")</f>
        <v/>
      </c>
      <c r="AF502" s="66" t="str">
        <f>IF(AND(OR(LEFT(TH!N502,2)="15",LEFT(TH!O502,2)="15"),'THE KHO'!$E$7=TH!F502),"x","")</f>
        <v/>
      </c>
      <c r="AG502" s="66" t="str">
        <f>IF(AND(N502="1521",MONTH(C502)='BK NL'!$M$11),"x","")</f>
        <v/>
      </c>
    </row>
    <row r="503" spans="1:33" ht="15.75" hidden="1" customHeight="1">
      <c r="A503" s="397" t="str">
        <f>IF(B503&lt;&gt;"",IF(AND(B503&gt;=_TM1,B503&lt;=_TM2,OR(TH!N503="1111",TH!O503="1111")),TH!D503,""),"")</f>
        <v/>
      </c>
      <c r="B503" s="63" t="str">
        <f t="shared" si="54"/>
        <v/>
      </c>
      <c r="C503" s="362"/>
      <c r="D503" s="362"/>
      <c r="E503" s="362"/>
      <c r="F503" s="363"/>
      <c r="G503" s="379"/>
      <c r="H503" s="364"/>
      <c r="I503" s="514"/>
      <c r="J503" s="514"/>
      <c r="K503" s="506"/>
      <c r="L503" s="514"/>
      <c r="M503" s="65"/>
      <c r="N503" s="365"/>
      <c r="O503" s="365"/>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55"/>
        <v/>
      </c>
      <c r="AD503" s="66" t="str">
        <f>IF(AND(MONTH(E503)='IN-NX'!$J$5,'IN-NX'!$D$7=D503,OR(LEFT(TH!N503,2)="15",LEFT(TH!O503,2)="15")),"x","")</f>
        <v/>
      </c>
      <c r="AE503" s="66" t="str">
        <f>IF(AND(OR(LEFT(TH!N503,2)="15",LEFT(TH!O503,2)="15"),'152-CT'!$J$8=TH!F503),"x","")</f>
        <v/>
      </c>
      <c r="AF503" s="66" t="str">
        <f>IF(AND(OR(LEFT(TH!N503,2)="15",LEFT(TH!O503,2)="15"),'THE KHO'!$E$7=TH!F503),"x","")</f>
        <v/>
      </c>
      <c r="AG503" s="66" t="str">
        <f>IF(AND(N503="1521",MONTH(C503)='BK NL'!$M$11),"x","")</f>
        <v/>
      </c>
    </row>
    <row r="504" spans="1:33" ht="15.75" hidden="1" customHeight="1">
      <c r="A504" s="397" t="str">
        <f>IF(B504&lt;&gt;"",IF(AND(B504&gt;=_TM1,B504&lt;=_TM2,OR(TH!N504="1111",TH!O504="1111")),TH!D504,""),"")</f>
        <v/>
      </c>
      <c r="B504" s="63" t="str">
        <f t="shared" si="54"/>
        <v/>
      </c>
      <c r="C504" s="362"/>
      <c r="D504" s="362"/>
      <c r="E504" s="362"/>
      <c r="F504" s="363"/>
      <c r="G504" s="379"/>
      <c r="H504" s="364"/>
      <c r="I504" s="514"/>
      <c r="J504" s="514"/>
      <c r="K504" s="506"/>
      <c r="L504" s="514"/>
      <c r="M504" s="65"/>
      <c r="N504" s="365"/>
      <c r="O504" s="365"/>
      <c r="P504" s="66" t="str">
        <f>IF(AND('331-CT'!$E$7=TH!H504,OR(N504="331",O504="331")),"x","")</f>
        <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55"/>
        <v/>
      </c>
      <c r="AD504" s="66" t="str">
        <f>IF(AND(MONTH(E504)='IN-NX'!$J$5,'IN-NX'!$D$7=D504,OR(LEFT(TH!N504,2)="15",LEFT(TH!O504,2)="15")),"x","")</f>
        <v/>
      </c>
      <c r="AE504" s="66" t="str">
        <f>IF(AND(OR(LEFT(TH!N504,2)="15",LEFT(TH!O504,2)="15"),'152-CT'!$J$8=TH!F504),"x","")</f>
        <v/>
      </c>
      <c r="AF504" s="66" t="str">
        <f>IF(AND(OR(LEFT(TH!N504,2)="15",LEFT(TH!O504,2)="15"),'THE KHO'!$E$7=TH!F504),"x","")</f>
        <v/>
      </c>
      <c r="AG504" s="66" t="str">
        <f>IF(AND(N504="1521",MONTH(C504)='BK NL'!$M$11),"x","")</f>
        <v/>
      </c>
    </row>
    <row r="505" spans="1:33" ht="15.75" hidden="1" customHeight="1">
      <c r="A505" s="397" t="str">
        <f>IF(B505&lt;&gt;"",IF(AND(B505&gt;=_TM1,B505&lt;=_TM2,OR(TH!N505="1111",TH!O505="1111")),TH!D505,""),"")</f>
        <v/>
      </c>
      <c r="B505" s="63" t="str">
        <f t="shared" si="54"/>
        <v/>
      </c>
      <c r="C505" s="362"/>
      <c r="D505" s="362"/>
      <c r="E505" s="362"/>
      <c r="F505" s="363"/>
      <c r="G505" s="379"/>
      <c r="H505" s="364"/>
      <c r="I505" s="514"/>
      <c r="J505" s="514"/>
      <c r="K505" s="506"/>
      <c r="L505" s="514"/>
      <c r="M505" s="65"/>
      <c r="N505" s="365"/>
      <c r="O505" s="365"/>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55"/>
        <v/>
      </c>
      <c r="AD505" s="66" t="str">
        <f>IF(AND(MONTH(E505)='IN-NX'!$J$5,'IN-NX'!$D$7=D505,OR(LEFT(TH!N505,2)="15",LEFT(TH!O505,2)="15")),"x","")</f>
        <v/>
      </c>
      <c r="AE505" s="66" t="str">
        <f>IF(AND(OR(LEFT(TH!N505,2)="15",LEFT(TH!O505,2)="15"),'152-CT'!$J$8=TH!F505),"x","")</f>
        <v/>
      </c>
      <c r="AF505" s="66" t="str">
        <f>IF(AND(OR(LEFT(TH!N505,2)="15",LEFT(TH!O505,2)="15"),'THE KHO'!$E$7=TH!F505),"x","")</f>
        <v/>
      </c>
      <c r="AG505" s="66" t="str">
        <f>IF(AND(N505="1521",MONTH(C505)='BK NL'!$M$11),"x","")</f>
        <v/>
      </c>
    </row>
    <row r="506" spans="1:33" ht="15.75" hidden="1" customHeight="1">
      <c r="A506" s="397" t="str">
        <f>IF(B506&lt;&gt;"",IF(AND(B506&gt;=_TM1,B506&lt;=_TM2,OR(TH!N506="1111",TH!O506="1111")),TH!D506,""),"")</f>
        <v/>
      </c>
      <c r="B506" s="63" t="str">
        <f t="shared" si="54"/>
        <v/>
      </c>
      <c r="C506" s="362"/>
      <c r="D506" s="362"/>
      <c r="E506" s="362"/>
      <c r="F506" s="363"/>
      <c r="G506" s="379"/>
      <c r="H506" s="364"/>
      <c r="I506" s="514"/>
      <c r="J506" s="514"/>
      <c r="K506" s="506"/>
      <c r="L506" s="514"/>
      <c r="M506" s="65"/>
      <c r="N506" s="365"/>
      <c r="O506" s="365"/>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55"/>
        <v/>
      </c>
      <c r="AD506" s="66" t="str">
        <f>IF(AND(MONTH(E506)='IN-NX'!$J$5,'IN-NX'!$D$7=D506,OR(LEFT(TH!N506,2)="15",LEFT(TH!O506,2)="15")),"x","")</f>
        <v/>
      </c>
      <c r="AE506" s="66" t="str">
        <f>IF(AND(OR(LEFT(TH!N506,2)="15",LEFT(TH!O506,2)="15"),'152-CT'!$J$8=TH!F506),"x","")</f>
        <v/>
      </c>
      <c r="AF506" s="66" t="str">
        <f>IF(AND(OR(LEFT(TH!N506,2)="15",LEFT(TH!O506,2)="15"),'THE KHO'!$E$7=TH!F506),"x","")</f>
        <v/>
      </c>
      <c r="AG506" s="66" t="str">
        <f>IF(AND(N506="1521",MONTH(C506)='BK NL'!$M$11),"x","")</f>
        <v/>
      </c>
    </row>
    <row r="507" spans="1:33" ht="15.75" hidden="1" customHeight="1">
      <c r="A507" s="397" t="str">
        <f>IF(B507&lt;&gt;"",IF(AND(B507&gt;=_TM1,B507&lt;=_TM2,OR(TH!N507="1111",TH!O507="1111")),TH!D507,""),"")</f>
        <v/>
      </c>
      <c r="B507" s="63" t="str">
        <f t="shared" si="54"/>
        <v/>
      </c>
      <c r="C507" s="362"/>
      <c r="D507" s="362"/>
      <c r="E507" s="362"/>
      <c r="F507" s="363"/>
      <c r="G507" s="379"/>
      <c r="H507" s="364"/>
      <c r="I507" s="514"/>
      <c r="J507" s="514"/>
      <c r="K507" s="506"/>
      <c r="L507" s="514"/>
      <c r="M507" s="65"/>
      <c r="N507" s="365"/>
      <c r="O507" s="365"/>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55"/>
        <v/>
      </c>
      <c r="AD507" s="66" t="str">
        <f>IF(AND(MONTH(E507)='IN-NX'!$J$5,'IN-NX'!$D$7=D507,OR(LEFT(TH!N507,2)="15",LEFT(TH!O507,2)="15")),"x","")</f>
        <v/>
      </c>
      <c r="AE507" s="66" t="str">
        <f>IF(AND(OR(LEFT(TH!N507,2)="15",LEFT(TH!O507,2)="15"),'152-CT'!$J$8=TH!F507),"x","")</f>
        <v/>
      </c>
      <c r="AF507" s="66" t="str">
        <f>IF(AND(OR(LEFT(TH!N507,2)="15",LEFT(TH!O507,2)="15"),'THE KHO'!$E$7=TH!F507),"x","")</f>
        <v/>
      </c>
      <c r="AG507" s="66" t="str">
        <f>IF(AND(N507="1521",MONTH(C507)='BK NL'!$M$11),"x","")</f>
        <v/>
      </c>
    </row>
    <row r="508" spans="1:33" ht="15.75" hidden="1" customHeight="1">
      <c r="A508" s="397" t="str">
        <f>IF(B508&lt;&gt;"",IF(AND(B508&gt;=_TM1,B508&lt;=_TM2,OR(TH!N508="1111",TH!O508="1111")),TH!D508,""),"")</f>
        <v/>
      </c>
      <c r="B508" s="63" t="str">
        <f t="shared" si="54"/>
        <v/>
      </c>
      <c r="C508" s="362"/>
      <c r="D508" s="362"/>
      <c r="E508" s="362"/>
      <c r="F508" s="363"/>
      <c r="G508" s="379"/>
      <c r="H508" s="364"/>
      <c r="I508" s="514"/>
      <c r="J508" s="514"/>
      <c r="K508" s="506"/>
      <c r="L508" s="514"/>
      <c r="M508" s="65"/>
      <c r="N508" s="365"/>
      <c r="O508" s="365"/>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55"/>
        <v/>
      </c>
      <c r="AD508" s="66" t="str">
        <f>IF(AND(MONTH(E508)='IN-NX'!$J$5,'IN-NX'!$D$7=D508,OR(LEFT(TH!N508,2)="15",LEFT(TH!O508,2)="15")),"x","")</f>
        <v/>
      </c>
      <c r="AE508" s="66" t="str">
        <f>IF(AND(OR(LEFT(TH!N508,2)="15",LEFT(TH!O508,2)="15"),'152-CT'!$J$8=TH!F508),"x","")</f>
        <v/>
      </c>
      <c r="AF508" s="66" t="str">
        <f>IF(AND(OR(LEFT(TH!N508,2)="15",LEFT(TH!O508,2)="15"),'THE KHO'!$E$7=TH!F508),"x","")</f>
        <v/>
      </c>
      <c r="AG508" s="66" t="str">
        <f>IF(AND(N508="1521",MONTH(C508)='BK NL'!$M$11),"x","")</f>
        <v/>
      </c>
    </row>
    <row r="509" spans="1:33" ht="15.75" hidden="1" customHeight="1">
      <c r="A509" s="397" t="str">
        <f>IF(B509&lt;&gt;"",IF(AND(B509&gt;=_TM1,B509&lt;=_TM2,OR(TH!N509="1111",TH!O509="1111")),TH!D509,""),"")</f>
        <v/>
      </c>
      <c r="B509" s="63" t="str">
        <f t="shared" si="54"/>
        <v/>
      </c>
      <c r="C509" s="64"/>
      <c r="D509" s="362"/>
      <c r="E509" s="64"/>
      <c r="F509" s="67"/>
      <c r="G509" s="375"/>
      <c r="H509" s="74"/>
      <c r="I509" s="514"/>
      <c r="J509" s="514"/>
      <c r="K509" s="506"/>
      <c r="L509" s="514"/>
      <c r="M509" s="65"/>
      <c r="N509" s="66"/>
      <c r="O509" s="66"/>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55"/>
        <v/>
      </c>
      <c r="AD509" s="66" t="str">
        <f>IF(AND(MONTH(E509)='IN-NX'!$J$5,'IN-NX'!$D$7=D509,OR(LEFT(TH!N509,2)="15",LEFT(TH!O509,2)="15")),"x","")</f>
        <v/>
      </c>
      <c r="AE509" s="66" t="str">
        <f>IF(AND(OR(LEFT(TH!N509,2)="15",LEFT(TH!O509,2)="15"),'152-CT'!$J$8=TH!F509),"x","")</f>
        <v/>
      </c>
      <c r="AF509" s="66" t="str">
        <f>IF(AND(OR(LEFT(TH!N509,2)="15",LEFT(TH!O509,2)="15"),'THE KHO'!$E$7=TH!F509),"x","")</f>
        <v/>
      </c>
      <c r="AG509" s="66" t="str">
        <f>IF(AND(N509="1521",MONTH(C509)='BK NL'!$M$11),"x","")</f>
        <v/>
      </c>
    </row>
    <row r="510" spans="1:33" ht="15.75" hidden="1" customHeight="1">
      <c r="A510" s="397" t="str">
        <f>IF(B510&lt;&gt;"",IF(AND(B510&gt;=_TM1,B510&lt;=_TM2,OR(TH!N510="1111",TH!O510="1111")),TH!D510,""),"")</f>
        <v/>
      </c>
      <c r="B510" s="63" t="str">
        <f t="shared" si="54"/>
        <v/>
      </c>
      <c r="C510" s="64"/>
      <c r="D510" s="362"/>
      <c r="E510" s="64"/>
      <c r="F510" s="67"/>
      <c r="G510" s="375"/>
      <c r="H510" s="74"/>
      <c r="I510" s="514"/>
      <c r="J510" s="514"/>
      <c r="K510" s="506"/>
      <c r="L510" s="514"/>
      <c r="M510" s="65"/>
      <c r="N510" s="66"/>
      <c r="O510" s="66"/>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55"/>
        <v/>
      </c>
      <c r="AD510" s="66" t="str">
        <f>IF(AND(MONTH(E510)='IN-NX'!$J$5,'IN-NX'!$D$7=D510,OR(LEFT(TH!N510,2)="15",LEFT(TH!O510,2)="15")),"x","")</f>
        <v/>
      </c>
      <c r="AE510" s="66" t="str">
        <f>IF(AND(OR(LEFT(TH!N510,2)="15",LEFT(TH!O510,2)="15"),'152-CT'!$J$8=TH!F510),"x","")</f>
        <v/>
      </c>
      <c r="AF510" s="66" t="str">
        <f>IF(AND(OR(LEFT(TH!N510,2)="15",LEFT(TH!O510,2)="15"),'THE KHO'!$E$7=TH!F510),"x","")</f>
        <v/>
      </c>
      <c r="AG510" s="66" t="str">
        <f>IF(AND(N510="1521",MONTH(C510)='BK NL'!$M$11),"x","")</f>
        <v/>
      </c>
    </row>
    <row r="511" spans="1:33" ht="15.75" hidden="1" customHeight="1">
      <c r="A511" s="397" t="str">
        <f>IF(B511&lt;&gt;"",IF(AND(B511&gt;=_TM1,B511&lt;=_TM2,OR(TH!N511="1111",TH!O511="1111")),TH!D511,""),"")</f>
        <v/>
      </c>
      <c r="B511" s="63" t="str">
        <f t="shared" si="54"/>
        <v/>
      </c>
      <c r="C511" s="362"/>
      <c r="D511" s="362"/>
      <c r="E511" s="362"/>
      <c r="F511" s="363"/>
      <c r="G511" s="379"/>
      <c r="H511" s="364"/>
      <c r="I511" s="514"/>
      <c r="J511" s="514"/>
      <c r="K511" s="506"/>
      <c r="L511" s="514"/>
      <c r="M511" s="65"/>
      <c r="N511" s="365"/>
      <c r="O511" s="365"/>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55"/>
        <v/>
      </c>
      <c r="AD511" s="66" t="str">
        <f>IF(AND(MONTH(E511)='IN-NX'!$J$5,'IN-NX'!$D$7=D511,OR(LEFT(TH!N511,2)="15",LEFT(TH!O511,2)="15")),"x","")</f>
        <v/>
      </c>
      <c r="AE511" s="66" t="str">
        <f>IF(AND(OR(LEFT(TH!N511,2)="15",LEFT(TH!O511,2)="15"),'152-CT'!$J$8=TH!F511),"x","")</f>
        <v/>
      </c>
      <c r="AF511" s="66" t="str">
        <f>IF(AND(OR(LEFT(TH!N511,2)="15",LEFT(TH!O511,2)="15"),'THE KHO'!$E$7=TH!F511),"x","")</f>
        <v/>
      </c>
      <c r="AG511" s="66" t="str">
        <f>IF(AND(N511="1521",MONTH(C511)='BK NL'!$M$11),"x","")</f>
        <v/>
      </c>
    </row>
    <row r="512" spans="1:33" ht="15.75" hidden="1" customHeight="1">
      <c r="A512" s="397" t="str">
        <f>IF(B512&lt;&gt;"",IF(AND(B512&gt;=_TM1,B512&lt;=_TM2,OR(TH!N512="1111",TH!O512="1111")),TH!D512,""),"")</f>
        <v/>
      </c>
      <c r="B512" s="63" t="str">
        <f t="shared" si="54"/>
        <v/>
      </c>
      <c r="C512" s="362"/>
      <c r="D512" s="362"/>
      <c r="E512" s="362"/>
      <c r="F512" s="363"/>
      <c r="G512" s="379"/>
      <c r="H512" s="364"/>
      <c r="I512" s="514"/>
      <c r="J512" s="514"/>
      <c r="K512" s="506"/>
      <c r="L512" s="514"/>
      <c r="M512" s="65"/>
      <c r="N512" s="365"/>
      <c r="O512" s="365"/>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55"/>
        <v/>
      </c>
      <c r="AD512" s="66" t="str">
        <f>IF(AND(MONTH(E512)='IN-NX'!$J$5,'IN-NX'!$D$7=D512,OR(LEFT(TH!N512,2)="15",LEFT(TH!O512,2)="15")),"x","")</f>
        <v/>
      </c>
      <c r="AE512" s="66" t="str">
        <f>IF(AND(OR(LEFT(TH!N512,2)="15",LEFT(TH!O512,2)="15"),'152-CT'!$J$8=TH!F512),"x","")</f>
        <v/>
      </c>
      <c r="AF512" s="66" t="str">
        <f>IF(AND(OR(LEFT(TH!N512,2)="15",LEFT(TH!O512,2)="15"),'THE KHO'!$E$7=TH!F512),"x","")</f>
        <v/>
      </c>
      <c r="AG512" s="66" t="str">
        <f>IF(AND(N512="1521",MONTH(C512)='BK NL'!$M$11),"x","")</f>
        <v/>
      </c>
    </row>
    <row r="513" spans="1:33" ht="15.75" hidden="1" customHeight="1">
      <c r="A513" s="397" t="str">
        <f>IF(B513&lt;&gt;"",IF(AND(B513&gt;=_TM1,B513&lt;=_TM2,OR(TH!N513="1111",TH!O513="1111")),TH!D513,""),"")</f>
        <v/>
      </c>
      <c r="B513" s="63" t="str">
        <f t="shared" si="54"/>
        <v/>
      </c>
      <c r="C513" s="362"/>
      <c r="D513" s="362"/>
      <c r="E513" s="362"/>
      <c r="F513" s="363"/>
      <c r="G513" s="379"/>
      <c r="H513" s="364"/>
      <c r="I513" s="514"/>
      <c r="J513" s="514"/>
      <c r="K513" s="506"/>
      <c r="L513" s="514"/>
      <c r="M513" s="65"/>
      <c r="N513" s="365"/>
      <c r="O513" s="365"/>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55"/>
        <v/>
      </c>
      <c r="AD513" s="66" t="str">
        <f>IF(AND(MONTH(E513)='IN-NX'!$J$5,'IN-NX'!$D$7=D513,OR(LEFT(TH!N513,2)="15",LEFT(TH!O513,2)="15")),"x","")</f>
        <v/>
      </c>
      <c r="AE513" s="66" t="str">
        <f>IF(AND(OR(LEFT(TH!N513,2)="15",LEFT(TH!O513,2)="15"),'152-CT'!$J$8=TH!F513),"x","")</f>
        <v/>
      </c>
      <c r="AF513" s="66" t="str">
        <f>IF(AND(OR(LEFT(TH!N513,2)="15",LEFT(TH!O513,2)="15"),'THE KHO'!$E$7=TH!F513),"x","")</f>
        <v/>
      </c>
      <c r="AG513" s="66" t="str">
        <f>IF(AND(N513="1521",MONTH(C513)='BK NL'!$M$11),"x","")</f>
        <v/>
      </c>
    </row>
    <row r="514" spans="1:33" ht="15.75" hidden="1" customHeight="1">
      <c r="A514" s="397" t="str">
        <f>IF(B514&lt;&gt;"",IF(AND(B514&gt;=_TM1,B514&lt;=_TM2,OR(TH!N514="1111",TH!O514="1111")),TH!D514,""),"")</f>
        <v/>
      </c>
      <c r="B514" s="63" t="str">
        <f t="shared" si="54"/>
        <v/>
      </c>
      <c r="C514" s="362"/>
      <c r="D514" s="362"/>
      <c r="E514" s="362"/>
      <c r="F514" s="363"/>
      <c r="G514" s="379"/>
      <c r="H514" s="364"/>
      <c r="I514" s="514"/>
      <c r="J514" s="514"/>
      <c r="K514" s="506"/>
      <c r="L514" s="514"/>
      <c r="M514" s="65"/>
      <c r="N514" s="365"/>
      <c r="O514" s="365"/>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55"/>
        <v/>
      </c>
      <c r="AD514" s="66" t="str">
        <f>IF(AND(MONTH(E514)='IN-NX'!$J$5,'IN-NX'!$D$7=D514,OR(LEFT(TH!N514,2)="15",LEFT(TH!O514,2)="15")),"x","")</f>
        <v/>
      </c>
      <c r="AE514" s="66" t="str">
        <f>IF(AND(OR(LEFT(TH!N514,2)="15",LEFT(TH!O514,2)="15"),'152-CT'!$J$8=TH!F514),"x","")</f>
        <v/>
      </c>
      <c r="AF514" s="66" t="str">
        <f>IF(AND(OR(LEFT(TH!N514,2)="15",LEFT(TH!O514,2)="15"),'THE KHO'!$E$7=TH!F514),"x","")</f>
        <v/>
      </c>
      <c r="AG514" s="66" t="str">
        <f>IF(AND(N514="1521",MONTH(C514)='BK NL'!$M$11),"x","")</f>
        <v/>
      </c>
    </row>
    <row r="515" spans="1:33" ht="15.75" hidden="1" customHeight="1">
      <c r="A515" s="397" t="str">
        <f>IF(B515&lt;&gt;"",IF(AND(B515&gt;=_TM1,B515&lt;=_TM2,OR(TH!N515="1111",TH!O515="1111")),TH!D515,""),"")</f>
        <v/>
      </c>
      <c r="B515" s="63" t="str">
        <f t="shared" si="54"/>
        <v/>
      </c>
      <c r="C515" s="362"/>
      <c r="D515" s="362"/>
      <c r="E515" s="362"/>
      <c r="F515" s="363"/>
      <c r="G515" s="379"/>
      <c r="H515" s="364"/>
      <c r="I515" s="514"/>
      <c r="J515" s="514"/>
      <c r="K515" s="506"/>
      <c r="L515" s="514"/>
      <c r="M515" s="65"/>
      <c r="N515" s="365"/>
      <c r="O515" s="365"/>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55"/>
        <v/>
      </c>
      <c r="AD515" s="66" t="str">
        <f>IF(AND(MONTH(E515)='IN-NX'!$J$5,'IN-NX'!$D$7=D515,OR(LEFT(TH!N515,2)="15",LEFT(TH!O515,2)="15")),"x","")</f>
        <v/>
      </c>
      <c r="AE515" s="66" t="str">
        <f>IF(AND(OR(LEFT(TH!N515,2)="15",LEFT(TH!O515,2)="15"),'152-CT'!$J$8=TH!F515),"x","")</f>
        <v/>
      </c>
      <c r="AF515" s="66" t="str">
        <f>IF(AND(OR(LEFT(TH!N515,2)="15",LEFT(TH!O515,2)="15"),'THE KHO'!$E$7=TH!F515),"x","")</f>
        <v/>
      </c>
      <c r="AG515" s="66" t="str">
        <f>IF(AND(N515="1521",MONTH(C515)='BK NL'!$M$11),"x","")</f>
        <v/>
      </c>
    </row>
    <row r="516" spans="1:33" ht="15.75" hidden="1" customHeight="1">
      <c r="A516" s="397" t="str">
        <f>IF(B516&lt;&gt;"",IF(AND(B516&gt;=_TM1,B516&lt;=_TM2,OR(TH!N516="1111",TH!O516="1111")),TH!D516,""),"")</f>
        <v/>
      </c>
      <c r="B516" s="63" t="str">
        <f t="shared" si="54"/>
        <v/>
      </c>
      <c r="C516" s="362"/>
      <c r="D516" s="362"/>
      <c r="E516" s="362"/>
      <c r="F516" s="363"/>
      <c r="G516" s="379"/>
      <c r="H516" s="364"/>
      <c r="I516" s="514"/>
      <c r="J516" s="514"/>
      <c r="K516" s="506"/>
      <c r="L516" s="514"/>
      <c r="M516" s="65"/>
      <c r="N516" s="365"/>
      <c r="O516" s="365"/>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55"/>
        <v/>
      </c>
      <c r="AD516" s="66" t="str">
        <f>IF(AND(MONTH(E516)='IN-NX'!$J$5,'IN-NX'!$D$7=D516,OR(LEFT(TH!N516,2)="15",LEFT(TH!O516,2)="15")),"x","")</f>
        <v/>
      </c>
      <c r="AE516" s="66" t="str">
        <f>IF(AND(OR(LEFT(TH!N516,2)="15",LEFT(TH!O516,2)="15"),'152-CT'!$J$8=TH!F516),"x","")</f>
        <v/>
      </c>
      <c r="AF516" s="66" t="str">
        <f>IF(AND(OR(LEFT(TH!N516,2)="15",LEFT(TH!O516,2)="15"),'THE KHO'!$E$7=TH!F516),"x","")</f>
        <v/>
      </c>
      <c r="AG516" s="66" t="str">
        <f>IF(AND(N516="1521",MONTH(C516)='BK NL'!$M$11),"x","")</f>
        <v/>
      </c>
    </row>
    <row r="517" spans="1:33" ht="15.75" hidden="1" customHeight="1">
      <c r="A517" s="397" t="str">
        <f>IF(B517&lt;&gt;"",IF(AND(B517&gt;=_TM1,B517&lt;=_TM2,OR(TH!N517="1111",TH!O517="1111")),TH!D517,""),"")</f>
        <v/>
      </c>
      <c r="B517" s="63" t="str">
        <f t="shared" si="54"/>
        <v/>
      </c>
      <c r="C517" s="362"/>
      <c r="D517" s="362"/>
      <c r="E517" s="362"/>
      <c r="F517" s="363"/>
      <c r="G517" s="379"/>
      <c r="H517" s="364"/>
      <c r="I517" s="514"/>
      <c r="J517" s="514"/>
      <c r="K517" s="506"/>
      <c r="L517" s="514"/>
      <c r="M517" s="65"/>
      <c r="N517" s="365"/>
      <c r="O517" s="365"/>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55"/>
        <v/>
      </c>
      <c r="AD517" s="66" t="str">
        <f>IF(AND(MONTH(E517)='IN-NX'!$J$5,'IN-NX'!$D$7=D517,OR(LEFT(TH!N517,2)="15",LEFT(TH!O517,2)="15")),"x","")</f>
        <v/>
      </c>
      <c r="AE517" s="66" t="str">
        <f>IF(AND(OR(LEFT(TH!N517,2)="15",LEFT(TH!O517,2)="15"),'152-CT'!$J$8=TH!F517),"x","")</f>
        <v/>
      </c>
      <c r="AF517" s="66" t="str">
        <f>IF(AND(OR(LEFT(TH!N517,2)="15",LEFT(TH!O517,2)="15"),'THE KHO'!$E$7=TH!F517),"x","")</f>
        <v/>
      </c>
      <c r="AG517" s="66" t="str">
        <f>IF(AND(N517="1521",MONTH(C517)='BK NL'!$M$11),"x","")</f>
        <v/>
      </c>
    </row>
    <row r="518" spans="1:33" ht="15.75" hidden="1" customHeight="1">
      <c r="A518" s="397" t="str">
        <f>IF(B518&lt;&gt;"",IF(AND(B518&gt;=_TM1,B518&lt;=_TM2,OR(TH!N518="1111",TH!O518="1111")),TH!D518,""),"")</f>
        <v/>
      </c>
      <c r="B518" s="63" t="str">
        <f t="shared" si="54"/>
        <v/>
      </c>
      <c r="C518" s="362"/>
      <c r="D518" s="362"/>
      <c r="E518" s="362"/>
      <c r="F518" s="363"/>
      <c r="G518" s="379"/>
      <c r="H518" s="364"/>
      <c r="I518" s="514"/>
      <c r="J518" s="514"/>
      <c r="K518" s="506"/>
      <c r="L518" s="514"/>
      <c r="M518" s="65"/>
      <c r="N518" s="365"/>
      <c r="O518" s="365"/>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55"/>
        <v/>
      </c>
      <c r="AD518" s="66" t="str">
        <f>IF(AND(MONTH(E518)='IN-NX'!$J$5,'IN-NX'!$D$7=D518,OR(LEFT(TH!N518,2)="15",LEFT(TH!O518,2)="15")),"x","")</f>
        <v/>
      </c>
      <c r="AE518" s="66" t="str">
        <f>IF(AND(OR(LEFT(TH!N518,2)="15",LEFT(TH!O518,2)="15"),'152-CT'!$J$8=TH!F518),"x","")</f>
        <v/>
      </c>
      <c r="AF518" s="66" t="str">
        <f>IF(AND(OR(LEFT(TH!N518,2)="15",LEFT(TH!O518,2)="15"),'THE KHO'!$E$7=TH!F518),"x","")</f>
        <v/>
      </c>
      <c r="AG518" s="66" t="str">
        <f>IF(AND(N518="1521",MONTH(C518)='BK NL'!$M$11),"x","")</f>
        <v/>
      </c>
    </row>
    <row r="519" spans="1:33" ht="15.75" hidden="1" customHeight="1">
      <c r="A519" s="397" t="str">
        <f>IF(B519&lt;&gt;"",IF(AND(B519&gt;=_TM1,B519&lt;=_TM2,OR(TH!N519="1111",TH!O519="1111")),TH!D519,""),"")</f>
        <v/>
      </c>
      <c r="B519" s="63" t="str">
        <f t="shared" si="54"/>
        <v/>
      </c>
      <c r="C519" s="362"/>
      <c r="D519" s="362"/>
      <c r="E519" s="362"/>
      <c r="F519" s="363"/>
      <c r="G519" s="379"/>
      <c r="H519" s="364"/>
      <c r="I519" s="514"/>
      <c r="J519" s="514"/>
      <c r="K519" s="506"/>
      <c r="L519" s="514"/>
      <c r="M519" s="65"/>
      <c r="N519" s="365"/>
      <c r="O519" s="365"/>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
      </c>
      <c r="AC519" s="66" t="str">
        <f t="shared" si="55"/>
        <v/>
      </c>
      <c r="AD519" s="66" t="str">
        <f>IF(AND(MONTH(E519)='IN-NX'!$J$5,'IN-NX'!$D$7=D519,OR(LEFT(TH!N519,2)="15",LEFT(TH!O519,2)="15")),"x","")</f>
        <v/>
      </c>
      <c r="AE519" s="66" t="str">
        <f>IF(AND(OR(LEFT(TH!N519,2)="15",LEFT(TH!O519,2)="15"),'152-CT'!$J$8=TH!F519),"x","")</f>
        <v/>
      </c>
      <c r="AF519" s="66" t="str">
        <f>IF(AND(OR(LEFT(TH!N519,2)="15",LEFT(TH!O519,2)="15"),'THE KHO'!$E$7=TH!F519),"x","")</f>
        <v/>
      </c>
      <c r="AG519" s="66" t="str">
        <f>IF(AND(N519="1521",MONTH(C519)='BK NL'!$M$11),"x","")</f>
        <v/>
      </c>
    </row>
    <row r="520" spans="1:33" ht="15.75" hidden="1" customHeight="1">
      <c r="A520" s="397" t="str">
        <f>IF(B520&lt;&gt;"",IF(AND(B520&gt;=_TM1,B520&lt;=_TM2,OR(TH!N520="1111",TH!O520="1111")),TH!D520,""),"")</f>
        <v/>
      </c>
      <c r="B520" s="63" t="str">
        <f t="shared" si="54"/>
        <v/>
      </c>
      <c r="C520" s="64"/>
      <c r="D520" s="362"/>
      <c r="E520" s="64"/>
      <c r="F520" s="67"/>
      <c r="G520" s="375"/>
      <c r="H520" s="74"/>
      <c r="I520" s="514"/>
      <c r="J520" s="514"/>
      <c r="K520" s="506"/>
      <c r="L520" s="514"/>
      <c r="M520" s="65"/>
      <c r="N520" s="66"/>
      <c r="O520" s="66"/>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
      </c>
      <c r="AC520" s="66" t="str">
        <f t="shared" si="55"/>
        <v/>
      </c>
      <c r="AD520" s="66" t="str">
        <f>IF(AND(MONTH(E520)='IN-NX'!$J$5,'IN-NX'!$D$7=D520,OR(LEFT(TH!N520,2)="15",LEFT(TH!O520,2)="15")),"x","")</f>
        <v/>
      </c>
      <c r="AE520" s="66" t="str">
        <f>IF(AND(OR(LEFT(TH!N520,2)="15",LEFT(TH!O520,2)="15"),'152-CT'!$J$8=TH!F520),"x","")</f>
        <v/>
      </c>
      <c r="AF520" s="66" t="str">
        <f>IF(AND(OR(LEFT(TH!N520,2)="15",LEFT(TH!O520,2)="15"),'THE KHO'!$E$7=TH!F520),"x","")</f>
        <v/>
      </c>
      <c r="AG520" s="66" t="str">
        <f>IF(AND(N520="1521",MONTH(C520)='BK NL'!$M$11),"x","")</f>
        <v/>
      </c>
    </row>
    <row r="521" spans="1:33" ht="15.75" hidden="1" customHeight="1">
      <c r="A521" s="397" t="str">
        <f>IF(B521&lt;&gt;"",IF(AND(B521&gt;=_TM1,B521&lt;=_TM2,OR(TH!N521="1111",TH!O521="1111")),TH!D521,""),"")</f>
        <v/>
      </c>
      <c r="B521" s="63" t="str">
        <f t="shared" si="54"/>
        <v/>
      </c>
      <c r="C521" s="64"/>
      <c r="D521" s="362"/>
      <c r="E521" s="64"/>
      <c r="F521" s="67"/>
      <c r="G521" s="375"/>
      <c r="H521" s="74"/>
      <c r="I521" s="514"/>
      <c r="J521" s="514"/>
      <c r="K521" s="506"/>
      <c r="L521" s="514"/>
      <c r="M521" s="65"/>
      <c r="N521" s="66"/>
      <c r="O521" s="66"/>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55"/>
        <v/>
      </c>
      <c r="AD521" s="66" t="str">
        <f>IF(AND(MONTH(E521)='IN-NX'!$J$5,'IN-NX'!$D$7=D521,OR(LEFT(TH!N521,2)="15",LEFT(TH!O521,2)="15")),"x","")</f>
        <v/>
      </c>
      <c r="AE521" s="66" t="str">
        <f>IF(AND(OR(LEFT(TH!N521,2)="15",LEFT(TH!O521,2)="15"),'152-CT'!$J$8=TH!F521),"x","")</f>
        <v/>
      </c>
      <c r="AF521" s="66" t="str">
        <f>IF(AND(OR(LEFT(TH!N521,2)="15",LEFT(TH!O521,2)="15"),'THE KHO'!$E$7=TH!F521),"x","")</f>
        <v/>
      </c>
      <c r="AG521" s="66" t="str">
        <f>IF(AND(N521="1521",MONTH(C521)='BK NL'!$M$11),"x","")</f>
        <v/>
      </c>
    </row>
    <row r="522" spans="1:33" ht="15.75" hidden="1" customHeight="1">
      <c r="A522" s="397" t="str">
        <f>IF(B522&lt;&gt;"",IF(AND(B522&gt;=_TM1,B522&lt;=_TM2,OR(TH!N522="1111",TH!O522="1111")),TH!D522,""),"")</f>
        <v/>
      </c>
      <c r="B522" s="63" t="str">
        <f t="shared" si="54"/>
        <v/>
      </c>
      <c r="C522" s="362"/>
      <c r="D522" s="362"/>
      <c r="E522" s="362"/>
      <c r="F522" s="363"/>
      <c r="G522" s="379"/>
      <c r="H522" s="364"/>
      <c r="I522" s="514"/>
      <c r="J522" s="514"/>
      <c r="K522" s="506"/>
      <c r="L522" s="514"/>
      <c r="M522" s="65"/>
      <c r="N522" s="365"/>
      <c r="O522" s="365"/>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55"/>
        <v/>
      </c>
      <c r="AD522" s="66" t="str">
        <f>IF(AND(MONTH(E522)='IN-NX'!$J$5,'IN-NX'!$D$7=D522,OR(LEFT(TH!N522,2)="15",LEFT(TH!O522,2)="15")),"x","")</f>
        <v/>
      </c>
      <c r="AE522" s="66" t="str">
        <f>IF(AND(OR(LEFT(TH!N522,2)="15",LEFT(TH!O522,2)="15"),'152-CT'!$J$8=TH!F522),"x","")</f>
        <v/>
      </c>
      <c r="AF522" s="66" t="str">
        <f>IF(AND(OR(LEFT(TH!N522,2)="15",LEFT(TH!O522,2)="15"),'THE KHO'!$E$7=TH!F522),"x","")</f>
        <v/>
      </c>
      <c r="AG522" s="66" t="str">
        <f>IF(AND(N522="1521",MONTH(C522)='BK NL'!$M$11),"x","")</f>
        <v/>
      </c>
    </row>
    <row r="523" spans="1:33" ht="15.75" hidden="1" customHeight="1">
      <c r="A523" s="397" t="str">
        <f>IF(B523&lt;&gt;"",IF(AND(B523&gt;=_TM1,B523&lt;=_TM2,OR(TH!N523="1111",TH!O523="1111")),TH!D523,""),"")</f>
        <v/>
      </c>
      <c r="B523" s="63" t="str">
        <f t="shared" si="54"/>
        <v/>
      </c>
      <c r="C523" s="64"/>
      <c r="D523" s="362"/>
      <c r="E523" s="64"/>
      <c r="F523" s="67"/>
      <c r="G523" s="375"/>
      <c r="H523" s="74"/>
      <c r="I523" s="514"/>
      <c r="J523" s="514"/>
      <c r="K523" s="506"/>
      <c r="L523" s="514"/>
      <c r="M523" s="65"/>
      <c r="N523" s="66"/>
      <c r="O523" s="66"/>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55"/>
        <v/>
      </c>
      <c r="AD523" s="66" t="str">
        <f>IF(AND(MONTH(E523)='IN-NX'!$J$5,'IN-NX'!$D$7=D523,OR(LEFT(TH!N523,2)="15",LEFT(TH!O523,2)="15")),"x","")</f>
        <v/>
      </c>
      <c r="AE523" s="66" t="str">
        <f>IF(AND(OR(LEFT(TH!N523,2)="15",LEFT(TH!O523,2)="15"),'152-CT'!$J$8=TH!F523),"x","")</f>
        <v/>
      </c>
      <c r="AF523" s="66" t="str">
        <f>IF(AND(OR(LEFT(TH!N523,2)="15",LEFT(TH!O523,2)="15"),'THE KHO'!$E$7=TH!F523),"x","")</f>
        <v/>
      </c>
      <c r="AG523" s="66" t="str">
        <f>IF(AND(N523="1521",MONTH(C523)='BK NL'!$M$11),"x","")</f>
        <v/>
      </c>
    </row>
    <row r="524" spans="1:33" ht="15.75" hidden="1" customHeight="1">
      <c r="A524" s="397" t="str">
        <f>IF(B524&lt;&gt;"",IF(AND(B524&gt;=_TM1,B524&lt;=_TM2,OR(TH!N524="1111",TH!O524="1111")),TH!D524,""),"")</f>
        <v/>
      </c>
      <c r="B524" s="63" t="str">
        <f t="shared" si="54"/>
        <v/>
      </c>
      <c r="C524" s="64"/>
      <c r="D524" s="362"/>
      <c r="E524" s="64"/>
      <c r="F524" s="67"/>
      <c r="G524" s="375"/>
      <c r="H524" s="74"/>
      <c r="I524" s="514"/>
      <c r="J524" s="514"/>
      <c r="K524" s="506"/>
      <c r="L524" s="514"/>
      <c r="M524" s="65"/>
      <c r="N524" s="66"/>
      <c r="O524" s="66"/>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55"/>
        <v/>
      </c>
      <c r="AD524" s="66" t="str">
        <f>IF(AND(MONTH(E524)='IN-NX'!$J$5,'IN-NX'!$D$7=D524,OR(LEFT(TH!N524,2)="15",LEFT(TH!O524,2)="15")),"x","")</f>
        <v/>
      </c>
      <c r="AE524" s="66" t="str">
        <f>IF(AND(OR(LEFT(TH!N524,2)="15",LEFT(TH!O524,2)="15"),'152-CT'!$J$8=TH!F524),"x","")</f>
        <v/>
      </c>
      <c r="AF524" s="66" t="str">
        <f>IF(AND(OR(LEFT(TH!N524,2)="15",LEFT(TH!O524,2)="15"),'THE KHO'!$E$7=TH!F524),"x","")</f>
        <v/>
      </c>
      <c r="AG524" s="66" t="str">
        <f>IF(AND(N524="1521",MONTH(C524)='BK NL'!$M$11),"x","")</f>
        <v/>
      </c>
    </row>
    <row r="525" spans="1:33" ht="15.75" hidden="1" customHeight="1">
      <c r="A525" s="397" t="str">
        <f>IF(B525&lt;&gt;"",IF(AND(B525&gt;=_TM1,B525&lt;=_TM2,OR(TH!N525="1111",TH!O525="1111")),TH!D525,""),"")</f>
        <v/>
      </c>
      <c r="B525" s="63" t="str">
        <f t="shared" ref="B525:B588" si="56">IF(C525&lt;&gt;"",MONTH(C525),"")</f>
        <v/>
      </c>
      <c r="C525" s="362"/>
      <c r="D525" s="362"/>
      <c r="E525" s="362"/>
      <c r="F525" s="363"/>
      <c r="G525" s="379"/>
      <c r="H525" s="364"/>
      <c r="I525" s="514"/>
      <c r="J525" s="514"/>
      <c r="K525" s="506"/>
      <c r="L525" s="514"/>
      <c r="M525" s="65"/>
      <c r="N525" s="365"/>
      <c r="O525" s="365"/>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55"/>
        <v/>
      </c>
      <c r="AD525" s="66" t="str">
        <f>IF(AND(MONTH(E525)='IN-NX'!$J$5,'IN-NX'!$D$7=D525,OR(LEFT(TH!N525,2)="15",LEFT(TH!O525,2)="15")),"x","")</f>
        <v/>
      </c>
      <c r="AE525" s="66" t="str">
        <f>IF(AND(OR(LEFT(TH!N525,2)="15",LEFT(TH!O525,2)="15"),'152-CT'!$J$8=TH!F525),"x","")</f>
        <v/>
      </c>
      <c r="AF525" s="66" t="str">
        <f>IF(AND(OR(LEFT(TH!N525,2)="15",LEFT(TH!O525,2)="15"),'THE KHO'!$E$7=TH!F525),"x","")</f>
        <v/>
      </c>
      <c r="AG525" s="66" t="str">
        <f>IF(AND(N525="1521",MONTH(C525)='BK NL'!$M$11),"x","")</f>
        <v/>
      </c>
    </row>
    <row r="526" spans="1:33" s="406" customFormat="1" ht="15.75" hidden="1" customHeight="1">
      <c r="A526" s="397" t="str">
        <f>IF(B526&lt;&gt;"",IF(AND(B526&gt;=_TM1,B526&lt;=_TM2,OR(TH!N526="1111",TH!O526="1111")),TH!D526,""),"")</f>
        <v/>
      </c>
      <c r="B526" s="63" t="str">
        <f t="shared" si="56"/>
        <v/>
      </c>
      <c r="C526" s="362"/>
      <c r="D526" s="362"/>
      <c r="E526" s="362"/>
      <c r="F526" s="363"/>
      <c r="G526" s="379"/>
      <c r="H526" s="364"/>
      <c r="I526" s="514"/>
      <c r="J526" s="514"/>
      <c r="K526" s="506"/>
      <c r="L526" s="514"/>
      <c r="M526" s="65"/>
      <c r="N526" s="365"/>
      <c r="O526" s="365"/>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55"/>
        <v/>
      </c>
      <c r="AD526" s="66" t="str">
        <f>IF(AND(MONTH(E526)='IN-NX'!$J$5,'IN-NX'!$D$7=D526,OR(LEFT(TH!N526,2)="15",LEFT(TH!O526,2)="15")),"x","")</f>
        <v/>
      </c>
      <c r="AE526" s="66" t="str">
        <f>IF(AND(OR(LEFT(TH!N526,2)="15",LEFT(TH!O526,2)="15"),'152-CT'!$J$8=TH!F526),"x","")</f>
        <v/>
      </c>
      <c r="AF526" s="66" t="str">
        <f>IF(AND(OR(LEFT(TH!N526,2)="15",LEFT(TH!O526,2)="15"),'THE KHO'!$E$7=TH!F526),"x","")</f>
        <v/>
      </c>
      <c r="AG526" s="66" t="str">
        <f>IF(AND(N526="1521",MONTH(C526)='BK NL'!$M$11),"x","")</f>
        <v/>
      </c>
    </row>
    <row r="527" spans="1:33" ht="15.75" hidden="1" customHeight="1">
      <c r="A527" s="397" t="str">
        <f>IF(B527&lt;&gt;"",IF(AND(B527&gt;=_TM1,B527&lt;=_TM2,OR(TH!N527="1111",TH!O527="1111")),TH!D527,""),"")</f>
        <v/>
      </c>
      <c r="B527" s="63" t="str">
        <f t="shared" si="56"/>
        <v/>
      </c>
      <c r="C527" s="362"/>
      <c r="D527" s="362"/>
      <c r="E527" s="362"/>
      <c r="F527" s="363"/>
      <c r="G527" s="379"/>
      <c r="H527" s="364"/>
      <c r="I527" s="514"/>
      <c r="J527" s="514"/>
      <c r="K527" s="506"/>
      <c r="L527" s="514"/>
      <c r="M527" s="65"/>
      <c r="N527" s="365"/>
      <c r="O527" s="365"/>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55"/>
        <v/>
      </c>
      <c r="AD527" s="66" t="str">
        <f>IF(AND(MONTH(E527)='IN-NX'!$J$5,'IN-NX'!$D$7=D527,OR(LEFT(TH!N527,2)="15",LEFT(TH!O527,2)="15")),"x","")</f>
        <v/>
      </c>
      <c r="AE527" s="66" t="str">
        <f>IF(AND(OR(LEFT(TH!N527,2)="15",LEFT(TH!O527,2)="15"),'152-CT'!$J$8=TH!F527),"x","")</f>
        <v/>
      </c>
      <c r="AF527" s="66" t="str">
        <f>IF(AND(OR(LEFT(TH!N527,2)="15",LEFT(TH!O527,2)="15"),'THE KHO'!$E$7=TH!F527),"x","")</f>
        <v/>
      </c>
      <c r="AG527" s="66" t="str">
        <f>IF(AND(N527="1521",MONTH(C527)='BK NL'!$M$11),"x","")</f>
        <v/>
      </c>
    </row>
    <row r="528" spans="1:33" ht="15.75" hidden="1" customHeight="1">
      <c r="A528" s="397" t="str">
        <f>IF(B528&lt;&gt;"",IF(AND(B528&gt;=_TM1,B528&lt;=_TM2,OR(TH!N528="1111",TH!O528="1111")),TH!D528,""),"")</f>
        <v/>
      </c>
      <c r="B528" s="63" t="str">
        <f t="shared" si="56"/>
        <v/>
      </c>
      <c r="C528" s="362"/>
      <c r="D528" s="362"/>
      <c r="E528" s="362"/>
      <c r="F528" s="363"/>
      <c r="G528" s="379"/>
      <c r="H528" s="364"/>
      <c r="I528" s="514"/>
      <c r="J528" s="514"/>
      <c r="K528" s="506"/>
      <c r="L528" s="514"/>
      <c r="M528" s="65"/>
      <c r="N528" s="365"/>
      <c r="O528" s="365"/>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55"/>
        <v/>
      </c>
      <c r="AD528" s="66" t="str">
        <f>IF(AND(MONTH(E528)='IN-NX'!$J$5,'IN-NX'!$D$7=D528,OR(LEFT(TH!N528,2)="15",LEFT(TH!O528,2)="15")),"x","")</f>
        <v/>
      </c>
      <c r="AE528" s="66" t="str">
        <f>IF(AND(OR(LEFT(TH!N528,2)="15",LEFT(TH!O528,2)="15"),'152-CT'!$J$8=TH!F528),"x","")</f>
        <v/>
      </c>
      <c r="AF528" s="66" t="str">
        <f>IF(AND(OR(LEFT(TH!N528,2)="15",LEFT(TH!O528,2)="15"),'THE KHO'!$E$7=TH!F528),"x","")</f>
        <v/>
      </c>
      <c r="AG528" s="66" t="str">
        <f>IF(AND(N528="1521",MONTH(C528)='BK NL'!$M$11),"x","")</f>
        <v/>
      </c>
    </row>
    <row r="529" spans="1:33" ht="15.75" hidden="1" customHeight="1">
      <c r="A529" s="397" t="str">
        <f>IF(B529&lt;&gt;"",IF(AND(B529&gt;=_TM1,B529&lt;=_TM2,OR(TH!N529="1111",TH!O529="1111")),TH!D529,""),"")</f>
        <v/>
      </c>
      <c r="B529" s="63" t="str">
        <f t="shared" si="56"/>
        <v/>
      </c>
      <c r="C529" s="362"/>
      <c r="D529" s="362"/>
      <c r="E529" s="362"/>
      <c r="F529" s="363"/>
      <c r="G529" s="380"/>
      <c r="H529" s="364"/>
      <c r="I529" s="514"/>
      <c r="J529" s="514"/>
      <c r="K529" s="506"/>
      <c r="L529" s="514"/>
      <c r="M529" s="65"/>
      <c r="N529" s="365"/>
      <c r="O529" s="365"/>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si="55"/>
        <v/>
      </c>
      <c r="AD529" s="66" t="str">
        <f>IF(AND(MONTH(E529)='IN-NX'!$J$5,'IN-NX'!$D$7=D529,OR(LEFT(TH!N529,2)="15",LEFT(TH!O529,2)="15")),"x","")</f>
        <v/>
      </c>
      <c r="AE529" s="66" t="str">
        <f>IF(AND(OR(LEFT(TH!N529,2)="15",LEFT(TH!O529,2)="15"),'152-CT'!$J$8=TH!F529),"x","")</f>
        <v/>
      </c>
      <c r="AF529" s="66" t="str">
        <f>IF(AND(OR(LEFT(TH!N529,2)="15",LEFT(TH!O529,2)="15"),'THE KHO'!$E$7=TH!F529),"x","")</f>
        <v/>
      </c>
      <c r="AG529" s="66" t="str">
        <f>IF(AND(N529="1521",MONTH(C529)='BK NL'!$M$11),"x","")</f>
        <v/>
      </c>
    </row>
    <row r="530" spans="1:33" s="409" customFormat="1" ht="15.75" hidden="1" customHeight="1">
      <c r="A530" s="397" t="str">
        <f>IF(B530&lt;&gt;"",IF(AND(B530&gt;=_TM1,B530&lt;=_TM2,OR(TH!N530="1111",TH!O530="1111")),TH!D530,""),"")</f>
        <v/>
      </c>
      <c r="B530" s="63" t="str">
        <f t="shared" si="56"/>
        <v/>
      </c>
      <c r="C530" s="362"/>
      <c r="D530" s="362"/>
      <c r="E530" s="362"/>
      <c r="F530" s="363"/>
      <c r="G530" s="380"/>
      <c r="H530" s="364"/>
      <c r="I530" s="514"/>
      <c r="J530" s="514"/>
      <c r="K530" s="506"/>
      <c r="L530" s="514"/>
      <c r="M530" s="65"/>
      <c r="N530" s="365"/>
      <c r="O530" s="365"/>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ref="AC530:AC593" si="57">IF(AND(1&lt;=$B530,$B530&lt;=3),"1",IF(AND(4&lt;=$B530,$B530&lt;=6),"2",IF(AND(7&lt;=$B530,$B530&lt;=9),"3",IF(AND(10&lt;=$B530,$B530&lt;=12),"4",""))))</f>
        <v/>
      </c>
      <c r="AD530" s="66" t="str">
        <f>IF(AND(MONTH(E530)='IN-NX'!$J$5,'IN-NX'!$D$7=D530,OR(LEFT(TH!N530,2)="15",LEFT(TH!O530,2)="15")),"x","")</f>
        <v/>
      </c>
      <c r="AE530" s="66" t="str">
        <f>IF(AND(OR(LEFT(TH!N530,2)="15",LEFT(TH!O530,2)="15"),'152-CT'!$J$8=TH!F530),"x","")</f>
        <v/>
      </c>
      <c r="AF530" s="66" t="str">
        <f>IF(AND(OR(LEFT(TH!N530,2)="15",LEFT(TH!O530,2)="15"),'THE KHO'!$E$7=TH!F530),"x","")</f>
        <v/>
      </c>
      <c r="AG530" s="66" t="str">
        <f>IF(AND(N530="1521",MONTH(C530)='BK NL'!$M$11),"x","")</f>
        <v/>
      </c>
    </row>
    <row r="531" spans="1:33" s="409" customFormat="1" ht="15.75" hidden="1" customHeight="1">
      <c r="A531" s="397" t="str">
        <f>IF(B531&lt;&gt;"",IF(AND(B531&gt;=_TM1,B531&lt;=_TM2,OR(TH!N531="1111",TH!O531="1111")),TH!D531,""),"")</f>
        <v/>
      </c>
      <c r="B531" s="63" t="str">
        <f t="shared" si="56"/>
        <v/>
      </c>
      <c r="C531" s="362"/>
      <c r="D531" s="362"/>
      <c r="E531" s="362"/>
      <c r="F531" s="363"/>
      <c r="G531" s="379"/>
      <c r="H531" s="364"/>
      <c r="I531" s="514"/>
      <c r="J531" s="514"/>
      <c r="K531" s="506"/>
      <c r="L531" s="514"/>
      <c r="M531" s="65"/>
      <c r="N531" s="365"/>
      <c r="O531" s="365"/>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57"/>
        <v/>
      </c>
      <c r="AD531" s="66" t="str">
        <f>IF(AND(MONTH(E531)='IN-NX'!$J$5,'IN-NX'!$D$7=D531,OR(LEFT(TH!N531,2)="15",LEFT(TH!O531,2)="15")),"x","")</f>
        <v/>
      </c>
      <c r="AE531" s="66" t="str">
        <f>IF(AND(OR(LEFT(TH!N531,2)="15",LEFT(TH!O531,2)="15"),'152-CT'!$J$8=TH!F531),"x","")</f>
        <v/>
      </c>
      <c r="AF531" s="66" t="str">
        <f>IF(AND(OR(LEFT(TH!N531,2)="15",LEFT(TH!O531,2)="15"),'THE KHO'!$E$7=TH!F531),"x","")</f>
        <v/>
      </c>
      <c r="AG531" s="66" t="str">
        <f>IF(AND(N531="1521",MONTH(C531)='BK NL'!$M$11),"x","")</f>
        <v/>
      </c>
    </row>
    <row r="532" spans="1:33" ht="15.75" hidden="1" customHeight="1">
      <c r="A532" s="397" t="str">
        <f>IF(B532&lt;&gt;"",IF(AND(B532&gt;=_TM1,B532&lt;=_TM2,OR(TH!N532="1111",TH!O532="1111")),TH!D532,""),"")</f>
        <v/>
      </c>
      <c r="B532" s="63" t="str">
        <f t="shared" si="56"/>
        <v/>
      </c>
      <c r="C532" s="64"/>
      <c r="D532" s="362"/>
      <c r="E532" s="64"/>
      <c r="F532" s="67"/>
      <c r="G532" s="375"/>
      <c r="H532" s="74"/>
      <c r="I532" s="514"/>
      <c r="J532" s="514"/>
      <c r="K532" s="506"/>
      <c r="L532" s="514"/>
      <c r="M532" s="65"/>
      <c r="N532" s="66"/>
      <c r="O532" s="66"/>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57"/>
        <v/>
      </c>
      <c r="AD532" s="66" t="str">
        <f>IF(AND(MONTH(E532)='IN-NX'!$J$5,'IN-NX'!$D$7=D532,OR(LEFT(TH!N532,2)="15",LEFT(TH!O532,2)="15")),"x","")</f>
        <v/>
      </c>
      <c r="AE532" s="66" t="str">
        <f>IF(AND(OR(LEFT(TH!N532,2)="15",LEFT(TH!O532,2)="15"),'152-CT'!$J$8=TH!F532),"x","")</f>
        <v/>
      </c>
      <c r="AF532" s="66" t="str">
        <f>IF(AND(OR(LEFT(TH!N532,2)="15",LEFT(TH!O532,2)="15"),'THE KHO'!$E$7=TH!F532),"x","")</f>
        <v/>
      </c>
      <c r="AG532" s="66" t="str">
        <f>IF(AND(N532="1521",MONTH(C532)='BK NL'!$M$11),"x","")</f>
        <v/>
      </c>
    </row>
    <row r="533" spans="1:33" s="406" customFormat="1" ht="15.75" hidden="1" customHeight="1">
      <c r="A533" s="397" t="str">
        <f>IF(B533&lt;&gt;"",IF(AND(B533&gt;=_TM1,B533&lt;=_TM2,OR(TH!N533="1111",TH!O533="1111")),TH!D533,""),"")</f>
        <v/>
      </c>
      <c r="B533" s="63" t="str">
        <f t="shared" si="56"/>
        <v/>
      </c>
      <c r="C533" s="64"/>
      <c r="D533" s="362"/>
      <c r="E533" s="64"/>
      <c r="F533" s="67"/>
      <c r="G533" s="375"/>
      <c r="H533" s="74"/>
      <c r="I533" s="514"/>
      <c r="J533" s="514"/>
      <c r="K533" s="506"/>
      <c r="L533" s="514"/>
      <c r="M533" s="65"/>
      <c r="N533" s="66"/>
      <c r="O533" s="66"/>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57"/>
        <v/>
      </c>
      <c r="AD533" s="66" t="str">
        <f>IF(AND(MONTH(E533)='IN-NX'!$J$5,'IN-NX'!$D$7=D533,OR(LEFT(TH!N533,2)="15",LEFT(TH!O533,2)="15")),"x","")</f>
        <v/>
      </c>
      <c r="AE533" s="66" t="str">
        <f>IF(AND(OR(LEFT(TH!N533,2)="15",LEFT(TH!O533,2)="15"),'152-CT'!$J$8=TH!F533),"x","")</f>
        <v/>
      </c>
      <c r="AF533" s="66" t="str">
        <f>IF(AND(OR(LEFT(TH!N533,2)="15",LEFT(TH!O533,2)="15"),'THE KHO'!$E$7=TH!F533),"x","")</f>
        <v/>
      </c>
      <c r="AG533" s="66" t="str">
        <f>IF(AND(N533="1521",MONTH(C533)='BK NL'!$M$11),"x","")</f>
        <v/>
      </c>
    </row>
    <row r="534" spans="1:33" s="409" customFormat="1" ht="15.75" hidden="1" customHeight="1">
      <c r="A534" s="397" t="str">
        <f>IF(B534&lt;&gt;"",IF(AND(B534&gt;=_TM1,B534&lt;=_TM2,OR(TH!N534="1111",TH!O534="1111")),TH!D534,""),"")</f>
        <v/>
      </c>
      <c r="B534" s="96" t="str">
        <f t="shared" si="56"/>
        <v/>
      </c>
      <c r="C534" s="381"/>
      <c r="D534" s="362"/>
      <c r="E534" s="381"/>
      <c r="F534" s="382"/>
      <c r="G534" s="383"/>
      <c r="H534" s="384"/>
      <c r="I534" s="519"/>
      <c r="J534" s="519"/>
      <c r="K534" s="511"/>
      <c r="L534" s="519"/>
      <c r="M534" s="100"/>
      <c r="N534" s="385"/>
      <c r="O534" s="385"/>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si="57"/>
        <v/>
      </c>
      <c r="AD534" s="66" t="str">
        <f>IF(AND(MONTH(E534)='IN-NX'!$J$5,'IN-NX'!$D$7=D534,OR(LEFT(TH!N534,2)="15",LEFT(TH!O534,2)="15")),"x","")</f>
        <v/>
      </c>
      <c r="AE534" s="66" t="str">
        <f>IF(AND(OR(LEFT(TH!N534,2)="15",LEFT(TH!O534,2)="15"),'152-CT'!$J$8=TH!F534),"x","")</f>
        <v/>
      </c>
      <c r="AF534" s="66" t="str">
        <f>IF(AND(OR(LEFT(TH!N534,2)="15",LEFT(TH!O534,2)="15"),'THE KHO'!$E$7=TH!F534),"x","")</f>
        <v/>
      </c>
      <c r="AG534" s="66" t="str">
        <f>IF(AND(N534="1521",MONTH(C534)='BK NL'!$M$11),"x","")</f>
        <v/>
      </c>
    </row>
    <row r="535" spans="1:33" s="409" customFormat="1" ht="15.75" hidden="1" customHeight="1">
      <c r="A535" s="397" t="str">
        <f>IF(B535&lt;&gt;"",IF(AND(B535&gt;=_TM1,B535&lt;=_TM2,OR(TH!N535="1111",TH!O535="1111")),TH!D535,""),"")</f>
        <v/>
      </c>
      <c r="B535" s="96" t="str">
        <f t="shared" si="56"/>
        <v/>
      </c>
      <c r="C535" s="381"/>
      <c r="D535" s="362"/>
      <c r="E535" s="381"/>
      <c r="F535" s="382"/>
      <c r="G535" s="383"/>
      <c r="H535" s="384"/>
      <c r="I535" s="519"/>
      <c r="J535" s="519"/>
      <c r="K535" s="511"/>
      <c r="L535" s="519"/>
      <c r="M535" s="100"/>
      <c r="N535" s="385"/>
      <c r="O535" s="385"/>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57"/>
        <v/>
      </c>
      <c r="AD535" s="66" t="str">
        <f>IF(AND(MONTH(E535)='IN-NX'!$J$5,'IN-NX'!$D$7=D535,OR(LEFT(TH!N535,2)="15",LEFT(TH!O535,2)="15")),"x","")</f>
        <v/>
      </c>
      <c r="AE535" s="66" t="str">
        <f>IF(AND(OR(LEFT(TH!N535,2)="15",LEFT(TH!O535,2)="15"),'152-CT'!$J$8=TH!F535),"x","")</f>
        <v/>
      </c>
      <c r="AF535" s="66" t="str">
        <f>IF(AND(OR(LEFT(TH!N535,2)="15",LEFT(TH!O535,2)="15"),'THE KHO'!$E$7=TH!F535),"x","")</f>
        <v/>
      </c>
      <c r="AG535" s="66" t="str">
        <f>IF(AND(N535="1521",MONTH(C535)='BK NL'!$M$11),"x","")</f>
        <v/>
      </c>
    </row>
    <row r="536" spans="1:33" s="410" customFormat="1" ht="15.75" hidden="1" customHeight="1">
      <c r="A536" s="397" t="str">
        <f>IF(B536&lt;&gt;"",IF(AND(B536&gt;=_TM1,B536&lt;=_TM2,OR(TH!N536="1111",TH!O536="1111")),TH!D536,""),"")</f>
        <v/>
      </c>
      <c r="B536" s="63" t="str">
        <f t="shared" si="56"/>
        <v/>
      </c>
      <c r="C536" s="362"/>
      <c r="D536" s="362"/>
      <c r="E536" s="362"/>
      <c r="F536" s="363"/>
      <c r="G536" s="379"/>
      <c r="H536" s="364"/>
      <c r="I536" s="514"/>
      <c r="J536" s="514"/>
      <c r="K536" s="506"/>
      <c r="L536" s="514"/>
      <c r="M536" s="65"/>
      <c r="N536" s="365"/>
      <c r="O536" s="365"/>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57"/>
        <v/>
      </c>
      <c r="AD536" s="66" t="str">
        <f>IF(AND(MONTH(E536)='IN-NX'!$J$5,'IN-NX'!$D$7=D536,OR(LEFT(TH!N536,2)="15",LEFT(TH!O536,2)="15")),"x","")</f>
        <v/>
      </c>
      <c r="AE536" s="66" t="str">
        <f>IF(AND(OR(LEFT(TH!N536,2)="15",LEFT(TH!O536,2)="15"),'152-CT'!$J$8=TH!F536),"x","")</f>
        <v/>
      </c>
      <c r="AF536" s="66" t="str">
        <f>IF(AND(OR(LEFT(TH!N536,2)="15",LEFT(TH!O536,2)="15"),'THE KHO'!$E$7=TH!F536),"x","")</f>
        <v/>
      </c>
      <c r="AG536" s="66" t="str">
        <f>IF(AND(N536="1521",MONTH(C536)='BK NL'!$M$11),"x","")</f>
        <v/>
      </c>
    </row>
    <row r="537" spans="1:33" s="410" customFormat="1" ht="15.75" hidden="1" customHeight="1">
      <c r="A537" s="397" t="str">
        <f>IF(B537&lt;&gt;"",IF(AND(B537&gt;=_TM1,B537&lt;=_TM2,OR(TH!N537="1111",TH!O537="1111")),TH!D537,""),"")</f>
        <v/>
      </c>
      <c r="B537" s="63" t="str">
        <f t="shared" si="56"/>
        <v/>
      </c>
      <c r="C537" s="362"/>
      <c r="D537" s="362"/>
      <c r="E537" s="362"/>
      <c r="F537" s="363"/>
      <c r="G537" s="379"/>
      <c r="H537" s="364"/>
      <c r="I537" s="514"/>
      <c r="J537" s="514"/>
      <c r="K537" s="506"/>
      <c r="L537" s="514"/>
      <c r="M537" s="65"/>
      <c r="N537" s="365"/>
      <c r="O537" s="365"/>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57"/>
        <v/>
      </c>
      <c r="AD537" s="66" t="str">
        <f>IF(AND(MONTH(E537)='IN-NX'!$J$5,'IN-NX'!$D$7=D537,OR(LEFT(TH!N537,2)="15",LEFT(TH!O537,2)="15")),"x","")</f>
        <v/>
      </c>
      <c r="AE537" s="66" t="str">
        <f>IF(AND(OR(LEFT(TH!N537,2)="15",LEFT(TH!O537,2)="15"),'152-CT'!$J$8=TH!F537),"x","")</f>
        <v/>
      </c>
      <c r="AF537" s="66" t="str">
        <f>IF(AND(OR(LEFT(TH!N537,2)="15",LEFT(TH!O537,2)="15"),'THE KHO'!$E$7=TH!F537),"x","")</f>
        <v/>
      </c>
      <c r="AG537" s="66" t="str">
        <f>IF(AND(N537="1521",MONTH(C537)='BK NL'!$M$11),"x","")</f>
        <v/>
      </c>
    </row>
    <row r="538" spans="1:33" s="410" customFormat="1" ht="15.75" hidden="1" customHeight="1">
      <c r="A538" s="397" t="str">
        <f>IF(B538&lt;&gt;"",IF(AND(B538&gt;=_TM1,B538&lt;=_TM2,OR(TH!N538="1111",TH!O538="1111")),TH!D538,""),"")</f>
        <v/>
      </c>
      <c r="B538" s="96" t="str">
        <f t="shared" si="56"/>
        <v/>
      </c>
      <c r="C538" s="381"/>
      <c r="D538" s="362"/>
      <c r="E538" s="381"/>
      <c r="F538" s="382"/>
      <c r="G538" s="383"/>
      <c r="H538" s="384"/>
      <c r="I538" s="519"/>
      <c r="J538" s="519"/>
      <c r="K538" s="511"/>
      <c r="L538" s="519"/>
      <c r="M538" s="100"/>
      <c r="N538" s="385"/>
      <c r="O538" s="385"/>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57"/>
        <v/>
      </c>
      <c r="AD538" s="66" t="str">
        <f>IF(AND(MONTH(E538)='IN-NX'!$J$5,'IN-NX'!$D$7=D538,OR(LEFT(TH!N538,2)="15",LEFT(TH!O538,2)="15")),"x","")</f>
        <v/>
      </c>
      <c r="AE538" s="66" t="str">
        <f>IF(AND(OR(LEFT(TH!N538,2)="15",LEFT(TH!O538,2)="15"),'152-CT'!$J$8=TH!F538),"x","")</f>
        <v/>
      </c>
      <c r="AF538" s="66" t="str">
        <f>IF(AND(OR(LEFT(TH!N538,2)="15",LEFT(TH!O538,2)="15"),'THE KHO'!$E$7=TH!F538),"x","")</f>
        <v/>
      </c>
      <c r="AG538" s="66" t="str">
        <f>IF(AND(N538="1521",MONTH(C538)='BK NL'!$M$11),"x","")</f>
        <v/>
      </c>
    </row>
    <row r="539" spans="1:33" s="410" customFormat="1" ht="15.75" hidden="1" customHeight="1">
      <c r="A539" s="397" t="str">
        <f>IF(B539&lt;&gt;"",IF(AND(B539&gt;=_TM1,B539&lt;=_TM2,OR(TH!N539="1111",TH!O539="1111")),TH!D539,""),"")</f>
        <v/>
      </c>
      <c r="B539" s="96" t="str">
        <f t="shared" si="56"/>
        <v/>
      </c>
      <c r="C539" s="381"/>
      <c r="D539" s="362"/>
      <c r="E539" s="381"/>
      <c r="F539" s="382"/>
      <c r="G539" s="383"/>
      <c r="H539" s="384"/>
      <c r="I539" s="519"/>
      <c r="J539" s="519"/>
      <c r="K539" s="511"/>
      <c r="L539" s="519"/>
      <c r="M539" s="100"/>
      <c r="N539" s="385"/>
      <c r="O539" s="385"/>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57"/>
        <v/>
      </c>
      <c r="AD539" s="66" t="str">
        <f>IF(AND(MONTH(E539)='IN-NX'!$J$5,'IN-NX'!$D$7=D539,OR(LEFT(TH!N539,2)="15",LEFT(TH!O539,2)="15")),"x","")</f>
        <v/>
      </c>
      <c r="AE539" s="66" t="str">
        <f>IF(AND(OR(LEFT(TH!N539,2)="15",LEFT(TH!O539,2)="15"),'152-CT'!$J$8=TH!F539),"x","")</f>
        <v/>
      </c>
      <c r="AF539" s="66" t="str">
        <f>IF(AND(OR(LEFT(TH!N539,2)="15",LEFT(TH!O539,2)="15"),'THE KHO'!$E$7=TH!F539),"x","")</f>
        <v/>
      </c>
      <c r="AG539" s="66" t="str">
        <f>IF(AND(N539="1521",MONTH(C539)='BK NL'!$M$11),"x","")</f>
        <v/>
      </c>
    </row>
    <row r="540" spans="1:33" s="410" customFormat="1" ht="15.75" hidden="1" customHeight="1">
      <c r="A540" s="397" t="str">
        <f>IF(B540&lt;&gt;"",IF(AND(B540&gt;=_TM1,B540&lt;=_TM2,OR(TH!N540="1111",TH!O540="1111")),TH!D540,""),"")</f>
        <v/>
      </c>
      <c r="B540" s="63" t="str">
        <f t="shared" si="56"/>
        <v/>
      </c>
      <c r="C540" s="362"/>
      <c r="D540" s="362"/>
      <c r="E540" s="362"/>
      <c r="F540" s="363"/>
      <c r="G540" s="379"/>
      <c r="H540" s="364"/>
      <c r="I540" s="514"/>
      <c r="J540" s="514"/>
      <c r="K540" s="506"/>
      <c r="L540" s="514"/>
      <c r="M540" s="65"/>
      <c r="N540" s="365"/>
      <c r="O540" s="365"/>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57"/>
        <v/>
      </c>
      <c r="AD540" s="66" t="str">
        <f>IF(AND(MONTH(E540)='IN-NX'!$J$5,'IN-NX'!$D$7=D540,OR(LEFT(TH!N540,2)="15",LEFT(TH!O540,2)="15")),"x","")</f>
        <v/>
      </c>
      <c r="AE540" s="66" t="str">
        <f>IF(AND(OR(LEFT(TH!N540,2)="15",LEFT(TH!O540,2)="15"),'152-CT'!$J$8=TH!F540),"x","")</f>
        <v/>
      </c>
      <c r="AF540" s="66" t="str">
        <f>IF(AND(OR(LEFT(TH!N540,2)="15",LEFT(TH!O540,2)="15"),'THE KHO'!$E$7=TH!F540),"x","")</f>
        <v/>
      </c>
      <c r="AG540" s="66" t="str">
        <f>IF(AND(N540="1521",MONTH(C540)='BK NL'!$M$11),"x","")</f>
        <v/>
      </c>
    </row>
    <row r="541" spans="1:33" s="410" customFormat="1" ht="15.75" hidden="1" customHeight="1">
      <c r="A541" s="397" t="str">
        <f>IF(B541&lt;&gt;"",IF(AND(B541&gt;=_TM1,B541&lt;=_TM2,OR(TH!N541="1111",TH!O541="1111")),TH!D541,""),"")</f>
        <v/>
      </c>
      <c r="B541" s="63" t="str">
        <f t="shared" si="56"/>
        <v/>
      </c>
      <c r="C541" s="362"/>
      <c r="D541" s="362"/>
      <c r="E541" s="362"/>
      <c r="F541" s="363"/>
      <c r="G541" s="379"/>
      <c r="H541" s="364"/>
      <c r="I541" s="514"/>
      <c r="J541" s="514"/>
      <c r="K541" s="506"/>
      <c r="L541" s="514"/>
      <c r="M541" s="65"/>
      <c r="N541" s="365"/>
      <c r="O541" s="365"/>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57"/>
        <v/>
      </c>
      <c r="AD541" s="66" t="str">
        <f>IF(AND(MONTH(E541)='IN-NX'!$J$5,'IN-NX'!$D$7=D541,OR(LEFT(TH!N541,2)="15",LEFT(TH!O541,2)="15")),"x","")</f>
        <v/>
      </c>
      <c r="AE541" s="66" t="str">
        <f>IF(AND(OR(LEFT(TH!N541,2)="15",LEFT(TH!O541,2)="15"),'152-CT'!$J$8=TH!F541),"x","")</f>
        <v/>
      </c>
      <c r="AF541" s="66" t="str">
        <f>IF(AND(OR(LEFT(TH!N541,2)="15",LEFT(TH!O541,2)="15"),'THE KHO'!$E$7=TH!F541),"x","")</f>
        <v/>
      </c>
      <c r="AG541" s="66" t="str">
        <f>IF(AND(N541="1521",MONTH(C541)='BK NL'!$M$11),"x","")</f>
        <v/>
      </c>
    </row>
    <row r="542" spans="1:33" ht="15.75" hidden="1" customHeight="1">
      <c r="A542" s="397" t="str">
        <f>IF(B542&lt;&gt;"",IF(AND(B542&gt;=_TM1,B542&lt;=_TM2,OR(TH!N542="1111",TH!O542="1111")),TH!D542,""),"")</f>
        <v/>
      </c>
      <c r="B542" s="63" t="str">
        <f t="shared" si="56"/>
        <v/>
      </c>
      <c r="C542" s="64"/>
      <c r="D542" s="362"/>
      <c r="E542" s="64"/>
      <c r="F542" s="67"/>
      <c r="G542" s="375"/>
      <c r="H542" s="364"/>
      <c r="I542" s="514"/>
      <c r="J542" s="514"/>
      <c r="K542" s="506"/>
      <c r="L542" s="514"/>
      <c r="M542" s="65"/>
      <c r="N542" s="66"/>
      <c r="O542" s="66"/>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57"/>
        <v/>
      </c>
      <c r="AD542" s="66" t="str">
        <f>IF(AND(MONTH(E542)='IN-NX'!$J$5,'IN-NX'!$D$7=D542,OR(LEFT(TH!N542,2)="15",LEFT(TH!O542,2)="15")),"x","")</f>
        <v/>
      </c>
      <c r="AE542" s="66" t="str">
        <f>IF(AND(OR(LEFT(TH!N542,2)="15",LEFT(TH!O542,2)="15"),'152-CT'!$J$8=TH!F542),"x","")</f>
        <v/>
      </c>
      <c r="AF542" s="66" t="str">
        <f>IF(AND(OR(LEFT(TH!N542,2)="15",LEFT(TH!O542,2)="15"),'THE KHO'!$E$7=TH!F542),"x","")</f>
        <v/>
      </c>
      <c r="AG542" s="66" t="str">
        <f>IF(AND(N542="1521",MONTH(C542)='BK NL'!$M$11),"x","")</f>
        <v/>
      </c>
    </row>
    <row r="543" spans="1:33" ht="15.75" hidden="1" customHeight="1">
      <c r="A543" s="397" t="str">
        <f>IF(B543&lt;&gt;"",IF(AND(B543&gt;=_TM1,B543&lt;=_TM2,OR(TH!N543="1111",TH!O543="1111")),TH!D543,""),"")</f>
        <v/>
      </c>
      <c r="B543" s="63" t="str">
        <f t="shared" si="56"/>
        <v/>
      </c>
      <c r="C543" s="64"/>
      <c r="D543" s="64"/>
      <c r="E543" s="64"/>
      <c r="F543" s="67"/>
      <c r="G543" s="375"/>
      <c r="H543" s="364"/>
      <c r="I543" s="514"/>
      <c r="J543" s="514"/>
      <c r="K543" s="506"/>
      <c r="L543" s="514"/>
      <c r="M543" s="65"/>
      <c r="N543" s="66"/>
      <c r="O543" s="66"/>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57"/>
        <v/>
      </c>
      <c r="AD543" s="66" t="str">
        <f>IF(AND(MONTH(E543)='IN-NX'!$J$5,'IN-NX'!$D$7=D543,OR(LEFT(TH!N543,2)="15",LEFT(TH!O543,2)="15")),"x","")</f>
        <v/>
      </c>
      <c r="AE543" s="66" t="str">
        <f>IF(AND(OR(LEFT(TH!N543,2)="15",LEFT(TH!O543,2)="15"),'152-CT'!$J$8=TH!F543),"x","")</f>
        <v/>
      </c>
      <c r="AF543" s="66" t="str">
        <f>IF(AND(OR(LEFT(TH!N543,2)="15",LEFT(TH!O543,2)="15"),'THE KHO'!$E$7=TH!F543),"x","")</f>
        <v/>
      </c>
      <c r="AG543" s="66" t="str">
        <f>IF(AND(N543="1521",MONTH(C543)='BK NL'!$M$11),"x","")</f>
        <v/>
      </c>
    </row>
    <row r="544" spans="1:33" s="409" customFormat="1" ht="15.75" hidden="1" customHeight="1">
      <c r="A544" s="397" t="str">
        <f>IF(B544&lt;&gt;"",IF(AND(B544&gt;=_TM1,B544&lt;=_TM2,OR(TH!N544="1111",TH!O544="1111")),TH!D544,""),"")</f>
        <v/>
      </c>
      <c r="B544" s="63" t="str">
        <f t="shared" si="56"/>
        <v/>
      </c>
      <c r="C544" s="64"/>
      <c r="D544" s="64"/>
      <c r="E544" s="64"/>
      <c r="F544" s="67"/>
      <c r="G544" s="375"/>
      <c r="H544" s="364"/>
      <c r="I544" s="514"/>
      <c r="J544" s="514"/>
      <c r="K544" s="506"/>
      <c r="L544" s="514"/>
      <c r="M544" s="65"/>
      <c r="N544" s="66"/>
      <c r="O544" s="66"/>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57"/>
        <v/>
      </c>
      <c r="AD544" s="66" t="str">
        <f>IF(AND(MONTH(E544)='IN-NX'!$J$5,'IN-NX'!$D$7=D544,OR(LEFT(TH!N544,2)="15",LEFT(TH!O544,2)="15")),"x","")</f>
        <v/>
      </c>
      <c r="AE544" s="66" t="str">
        <f>IF(AND(OR(LEFT(TH!N544,2)="15",LEFT(TH!O544,2)="15"),'152-CT'!$J$8=TH!F544),"x","")</f>
        <v/>
      </c>
      <c r="AF544" s="66" t="str">
        <f>IF(AND(OR(LEFT(TH!N544,2)="15",LEFT(TH!O544,2)="15"),'THE KHO'!$E$7=TH!F544),"x","")</f>
        <v/>
      </c>
      <c r="AG544" s="66" t="str">
        <f>IF(AND(N544="1521",MONTH(C544)='BK NL'!$M$11),"x","")</f>
        <v/>
      </c>
    </row>
    <row r="545" spans="1:33" s="409" customFormat="1" ht="15.75" hidden="1" customHeight="1">
      <c r="A545" s="397" t="str">
        <f>IF(B545&lt;&gt;"",IF(AND(B545&gt;=_TM1,B545&lt;=_TM2,OR(TH!N545="1111",TH!O545="1111")),TH!D545,""),"")</f>
        <v/>
      </c>
      <c r="B545" s="63" t="str">
        <f t="shared" si="56"/>
        <v/>
      </c>
      <c r="C545" s="64"/>
      <c r="D545" s="64"/>
      <c r="E545" s="64"/>
      <c r="F545" s="67"/>
      <c r="G545" s="375"/>
      <c r="H545" s="364"/>
      <c r="I545" s="514"/>
      <c r="J545" s="514"/>
      <c r="K545" s="506"/>
      <c r="L545" s="514"/>
      <c r="M545" s="65"/>
      <c r="N545" s="66"/>
      <c r="O545" s="66"/>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57"/>
        <v/>
      </c>
      <c r="AD545" s="66" t="str">
        <f>IF(AND(MONTH(E545)='IN-NX'!$J$5,'IN-NX'!$D$7=D545,OR(LEFT(TH!N545,2)="15",LEFT(TH!O545,2)="15")),"x","")</f>
        <v/>
      </c>
      <c r="AE545" s="66" t="str">
        <f>IF(AND(OR(LEFT(TH!N545,2)="15",LEFT(TH!O545,2)="15"),'152-CT'!$J$8=TH!F545),"x","")</f>
        <v/>
      </c>
      <c r="AF545" s="66" t="str">
        <f>IF(AND(OR(LEFT(TH!N545,2)="15",LEFT(TH!O545,2)="15"),'THE KHO'!$E$7=TH!F545),"x","")</f>
        <v/>
      </c>
      <c r="AG545" s="66" t="str">
        <f>IF(AND(N545="1521",MONTH(C545)='BK NL'!$M$11),"x","")</f>
        <v/>
      </c>
    </row>
    <row r="546" spans="1:33" ht="15.75" hidden="1" customHeight="1">
      <c r="A546" s="397" t="str">
        <f>IF(B546&lt;&gt;"",IF(AND(B546&gt;=_TM1,B546&lt;=_TM2,OR(TH!N546="1111",TH!O546="1111")),TH!D546,""),"")</f>
        <v/>
      </c>
      <c r="B546" s="63" t="str">
        <f t="shared" si="56"/>
        <v/>
      </c>
      <c r="C546" s="64"/>
      <c r="D546" s="64"/>
      <c r="E546" s="64"/>
      <c r="F546" s="67"/>
      <c r="G546" s="375"/>
      <c r="H546" s="74"/>
      <c r="I546" s="514"/>
      <c r="J546" s="514"/>
      <c r="K546" s="506"/>
      <c r="L546" s="514"/>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57"/>
        <v/>
      </c>
      <c r="AD546" s="66" t="str">
        <f>IF(AND(MONTH(E546)='IN-NX'!$J$5,'IN-NX'!$D$7=D546,OR(LEFT(TH!N546,2)="15",LEFT(TH!O546,2)="15")),"x","")</f>
        <v/>
      </c>
      <c r="AE546" s="66" t="str">
        <f>IF(AND(OR(LEFT(TH!N546,2)="15",LEFT(TH!O546,2)="15"),'152-CT'!$J$8=TH!F546),"x","")</f>
        <v/>
      </c>
      <c r="AF546" s="66" t="str">
        <f>IF(AND(OR(LEFT(TH!N546,2)="15",LEFT(TH!O546,2)="15"),'THE KHO'!$E$7=TH!F546),"x","")</f>
        <v/>
      </c>
      <c r="AG546" s="66" t="str">
        <f>IF(AND(N546="1521",MONTH(C546)='BK NL'!$M$11),"x","")</f>
        <v/>
      </c>
    </row>
    <row r="547" spans="1:33" ht="15.75" hidden="1" customHeight="1">
      <c r="A547" s="397" t="str">
        <f>IF(B547&lt;&gt;"",IF(AND(B547&gt;=_TM1,B547&lt;=_TM2,OR(TH!N547="1111",TH!O547="1111")),TH!D547,""),"")</f>
        <v/>
      </c>
      <c r="B547" s="63" t="str">
        <f t="shared" si="56"/>
        <v/>
      </c>
      <c r="C547" s="64"/>
      <c r="D547" s="64"/>
      <c r="E547" s="64"/>
      <c r="F547" s="67"/>
      <c r="G547" s="375"/>
      <c r="H547" s="74"/>
      <c r="I547" s="514"/>
      <c r="J547" s="514"/>
      <c r="K547" s="506"/>
      <c r="L547" s="514"/>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57"/>
        <v/>
      </c>
      <c r="AD547" s="66" t="str">
        <f>IF(AND(MONTH(E547)='IN-NX'!$J$5,'IN-NX'!$D$7=D547,OR(LEFT(TH!N547,2)="15",LEFT(TH!O547,2)="15")),"x","")</f>
        <v/>
      </c>
      <c r="AE547" s="66" t="str">
        <f>IF(AND(OR(LEFT(TH!N547,2)="15",LEFT(TH!O547,2)="15"),'152-CT'!$J$8=TH!F547),"x","")</f>
        <v/>
      </c>
      <c r="AF547" s="66" t="str">
        <f>IF(AND(OR(LEFT(TH!N547,2)="15",LEFT(TH!O547,2)="15"),'THE KHO'!$E$7=TH!F547),"x","")</f>
        <v/>
      </c>
      <c r="AG547" s="66" t="str">
        <f>IF(AND(N547="1521",MONTH(C547)='BK NL'!$M$11),"x","")</f>
        <v/>
      </c>
    </row>
    <row r="548" spans="1:33" ht="15.75" hidden="1" customHeight="1">
      <c r="A548" s="397" t="str">
        <f>IF(B548&lt;&gt;"",IF(AND(B548&gt;=_TM1,B548&lt;=_TM2,OR(TH!N548="1111",TH!O548="1111")),TH!D548,""),"")</f>
        <v/>
      </c>
      <c r="B548" s="96" t="str">
        <f t="shared" si="56"/>
        <v/>
      </c>
      <c r="C548" s="381"/>
      <c r="D548" s="64"/>
      <c r="E548" s="381"/>
      <c r="F548" s="382"/>
      <c r="G548" s="383"/>
      <c r="H548" s="384"/>
      <c r="I548" s="519"/>
      <c r="J548" s="519"/>
      <c r="K548" s="511"/>
      <c r="L548" s="519"/>
      <c r="M548" s="100"/>
      <c r="N548" s="385"/>
      <c r="O548" s="385"/>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57"/>
        <v/>
      </c>
      <c r="AD548" s="66" t="str">
        <f>IF(AND(MONTH(E548)='IN-NX'!$J$5,'IN-NX'!$D$7=D548,OR(LEFT(TH!N548,2)="15",LEFT(TH!O548,2)="15")),"x","")</f>
        <v/>
      </c>
      <c r="AE548" s="66" t="str">
        <f>IF(AND(OR(LEFT(TH!N548,2)="15",LEFT(TH!O548,2)="15"),'152-CT'!$J$8=TH!F548),"x","")</f>
        <v/>
      </c>
      <c r="AF548" s="66" t="str">
        <f>IF(AND(OR(LEFT(TH!N548,2)="15",LEFT(TH!O548,2)="15"),'THE KHO'!$E$7=TH!F548),"x","")</f>
        <v/>
      </c>
      <c r="AG548" s="66" t="str">
        <f>IF(AND(N548="1521",MONTH(C548)='BK NL'!$M$11),"x","")</f>
        <v/>
      </c>
    </row>
    <row r="549" spans="1:33" ht="15.75" hidden="1" customHeight="1">
      <c r="A549" s="397" t="str">
        <f>IF(B549&lt;&gt;"",IF(AND(B549&gt;=_TM1,B549&lt;=_TM2,OR(TH!N549="1111",TH!O549="1111")),TH!D549,""),"")</f>
        <v/>
      </c>
      <c r="B549" s="96" t="str">
        <f t="shared" si="56"/>
        <v/>
      </c>
      <c r="C549" s="381"/>
      <c r="D549" s="64"/>
      <c r="E549" s="381"/>
      <c r="F549" s="382"/>
      <c r="G549" s="383"/>
      <c r="H549" s="384"/>
      <c r="I549" s="519"/>
      <c r="J549" s="519"/>
      <c r="K549" s="511"/>
      <c r="L549" s="519"/>
      <c r="M549" s="100"/>
      <c r="N549" s="385"/>
      <c r="O549" s="385"/>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57"/>
        <v/>
      </c>
      <c r="AD549" s="66" t="str">
        <f>IF(AND(MONTH(E549)='IN-NX'!$J$5,'IN-NX'!$D$7=D549,OR(LEFT(TH!N549,2)="15",LEFT(TH!O549,2)="15")),"x","")</f>
        <v/>
      </c>
      <c r="AE549" s="66" t="str">
        <f>IF(AND(OR(LEFT(TH!N549,2)="15",LEFT(TH!O549,2)="15"),'152-CT'!$J$8=TH!F549),"x","")</f>
        <v/>
      </c>
      <c r="AF549" s="66" t="str">
        <f>IF(AND(OR(LEFT(TH!N549,2)="15",LEFT(TH!O549,2)="15"),'THE KHO'!$E$7=TH!F549),"x","")</f>
        <v/>
      </c>
      <c r="AG549" s="66" t="str">
        <f>IF(AND(N549="1521",MONTH(C549)='BK NL'!$M$11),"x","")</f>
        <v/>
      </c>
    </row>
    <row r="550" spans="1:33" ht="15.75" hidden="1" customHeight="1">
      <c r="A550" s="397" t="str">
        <f>IF(B550&lt;&gt;"",IF(AND(B550&gt;=_TM1,B550&lt;=_TM2,OR(TH!N550="1111",TH!O550="1111")),TH!D550,""),"")</f>
        <v/>
      </c>
      <c r="B550" s="81" t="str">
        <f t="shared" si="56"/>
        <v/>
      </c>
      <c r="C550" s="82"/>
      <c r="D550" s="82"/>
      <c r="E550" s="82"/>
      <c r="F550" s="83"/>
      <c r="G550" s="377"/>
      <c r="H550" s="366"/>
      <c r="I550" s="512"/>
      <c r="J550" s="512"/>
      <c r="K550" s="504"/>
      <c r="L550" s="512"/>
      <c r="M550" s="85"/>
      <c r="N550" s="86"/>
      <c r="O550" s="8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57"/>
        <v/>
      </c>
      <c r="AD550" s="66" t="str">
        <f>IF(AND(MONTH(E550)='IN-NX'!$J$5,'IN-NX'!$D$7=D550,OR(LEFT(TH!N550,2)="15",LEFT(TH!O550,2)="15")),"x","")</f>
        <v/>
      </c>
      <c r="AE550" s="66" t="str">
        <f>IF(AND(OR(LEFT(TH!N550,2)="15",LEFT(TH!O550,2)="15"),'152-CT'!$J$8=TH!F550),"x","")</f>
        <v/>
      </c>
      <c r="AF550" s="66" t="str">
        <f>IF(AND(OR(LEFT(TH!N550,2)="15",LEFT(TH!O550,2)="15"),'THE KHO'!$E$7=TH!F550),"x","")</f>
        <v/>
      </c>
      <c r="AG550" s="66" t="str">
        <f>IF(AND(N550="1521",MONTH(C550)='BK NL'!$M$11),"x","")</f>
        <v/>
      </c>
    </row>
    <row r="551" spans="1:33" ht="15.75" hidden="1" customHeight="1">
      <c r="A551" s="397" t="str">
        <f>IF(B551&lt;&gt;"",IF(AND(B551&gt;=_TM1,B551&lt;=_TM2,OR(TH!N551="1111",TH!O551="1111")),TH!D551,""),"")</f>
        <v/>
      </c>
      <c r="B551" s="63" t="str">
        <f t="shared" si="56"/>
        <v/>
      </c>
      <c r="C551" s="64"/>
      <c r="D551" s="64"/>
      <c r="E551" s="64"/>
      <c r="F551" s="67"/>
      <c r="G551" s="361"/>
      <c r="H551" s="74"/>
      <c r="I551" s="514"/>
      <c r="J551" s="514"/>
      <c r="K551" s="506"/>
      <c r="L551" s="514"/>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si="57"/>
        <v/>
      </c>
      <c r="AD551" s="66" t="str">
        <f>IF(AND(MONTH(E551)='IN-NX'!$J$5,'IN-NX'!$D$7=D551,OR(LEFT(TH!N551,2)="15",LEFT(TH!O551,2)="15")),"x","")</f>
        <v/>
      </c>
      <c r="AE551" s="66" t="str">
        <f>IF(AND(OR(LEFT(TH!N551,2)="15",LEFT(TH!O551,2)="15"),'152-CT'!$J$8=TH!F551),"x","")</f>
        <v/>
      </c>
      <c r="AF551" s="66" t="str">
        <f>IF(AND(OR(LEFT(TH!N551,2)="15",LEFT(TH!O551,2)="15"),'THE KHO'!$E$7=TH!F551),"x","")</f>
        <v/>
      </c>
      <c r="AG551" s="66" t="str">
        <f>IF(AND(N551="1521",MONTH(C551)='BK NL'!$M$11),"x","")</f>
        <v/>
      </c>
    </row>
    <row r="552" spans="1:33" ht="15.75" hidden="1" customHeight="1">
      <c r="A552" s="397" t="str">
        <f>IF(B552&lt;&gt;"",IF(AND(B552&gt;=_TM1,B552&lt;=_TM2,OR(TH!N552="1111",TH!O552="1111")),TH!D552,""),"")</f>
        <v/>
      </c>
      <c r="B552" s="63" t="str">
        <f t="shared" si="56"/>
        <v/>
      </c>
      <c r="C552" s="64"/>
      <c r="D552" s="64"/>
      <c r="E552" s="64"/>
      <c r="F552" s="67"/>
      <c r="G552" s="361"/>
      <c r="H552" s="74"/>
      <c r="I552" s="514"/>
      <c r="J552" s="514"/>
      <c r="K552" s="506"/>
      <c r="L552" s="514"/>
      <c r="M552" s="65"/>
      <c r="N552" s="66"/>
      <c r="O552" s="66"/>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57"/>
        <v/>
      </c>
      <c r="AD552" s="66" t="str">
        <f>IF(AND(MONTH(E552)='IN-NX'!$J$5,'IN-NX'!$D$7=D552,OR(LEFT(TH!N552,2)="15",LEFT(TH!O552,2)="15")),"x","")</f>
        <v/>
      </c>
      <c r="AE552" s="66" t="str">
        <f>IF(AND(OR(LEFT(TH!N552,2)="15",LEFT(TH!O552,2)="15"),'152-CT'!$J$8=TH!F552),"x","")</f>
        <v/>
      </c>
      <c r="AF552" s="66" t="str">
        <f>IF(AND(OR(LEFT(TH!N552,2)="15",LEFT(TH!O552,2)="15"),'THE KHO'!$E$7=TH!F552),"x","")</f>
        <v/>
      </c>
      <c r="AG552" s="66" t="str">
        <f>IF(AND(N552="1521",MONTH(C552)='BK NL'!$M$11),"x","")</f>
        <v/>
      </c>
    </row>
    <row r="553" spans="1:33" ht="15.75" hidden="1" customHeight="1">
      <c r="A553" s="397" t="str">
        <f>IF(B553&lt;&gt;"",IF(AND(B553&gt;=_TM1,B553&lt;=_TM2,OR(TH!N553="1111",TH!O553="1111")),TH!D553,""),"")</f>
        <v/>
      </c>
      <c r="B553" s="63" t="str">
        <f t="shared" si="56"/>
        <v/>
      </c>
      <c r="C553" s="64"/>
      <c r="D553" s="64"/>
      <c r="E553" s="64"/>
      <c r="F553" s="67"/>
      <c r="G553" s="361"/>
      <c r="H553" s="74"/>
      <c r="I553" s="514"/>
      <c r="J553" s="514"/>
      <c r="K553" s="506"/>
      <c r="L553" s="514"/>
      <c r="M553" s="65"/>
      <c r="N553" s="66"/>
      <c r="O553" s="66"/>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57"/>
        <v/>
      </c>
      <c r="AD553" s="66" t="str">
        <f>IF(AND(MONTH(E553)='IN-NX'!$J$5,'IN-NX'!$D$7=D553,OR(LEFT(TH!N553,2)="15",LEFT(TH!O553,2)="15")),"x","")</f>
        <v/>
      </c>
      <c r="AE553" s="66" t="str">
        <f>IF(AND(OR(LEFT(TH!N553,2)="15",LEFT(TH!O553,2)="15"),'152-CT'!$J$8=TH!F553),"x","")</f>
        <v/>
      </c>
      <c r="AF553" s="66" t="str">
        <f>IF(AND(OR(LEFT(TH!N553,2)="15",LEFT(TH!O553,2)="15"),'THE KHO'!$E$7=TH!F553),"x","")</f>
        <v/>
      </c>
      <c r="AG553" s="66" t="str">
        <f>IF(AND(N553="1521",MONTH(C553)='BK NL'!$M$11),"x","")</f>
        <v/>
      </c>
    </row>
    <row r="554" spans="1:33" ht="15.75" hidden="1" customHeight="1">
      <c r="A554" s="397" t="str">
        <f>IF(B554&lt;&gt;"",IF(AND(B554&gt;=_TM1,B554&lt;=_TM2,OR(TH!N554="1111",TH!O554="1111")),TH!D554,""),"")</f>
        <v/>
      </c>
      <c r="B554" s="63" t="str">
        <f t="shared" si="56"/>
        <v/>
      </c>
      <c r="C554" s="64"/>
      <c r="D554" s="64"/>
      <c r="E554" s="64"/>
      <c r="F554" s="67"/>
      <c r="G554" s="361"/>
      <c r="H554" s="74"/>
      <c r="I554" s="514"/>
      <c r="J554" s="514"/>
      <c r="K554" s="506"/>
      <c r="L554" s="514"/>
      <c r="M554" s="65"/>
      <c r="N554" s="66"/>
      <c r="O554" s="6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57"/>
        <v/>
      </c>
      <c r="AD554" s="66" t="str">
        <f>IF(AND(MONTH(E554)='IN-NX'!$J$5,'IN-NX'!$D$7=D554,OR(LEFT(TH!N554,2)="15",LEFT(TH!O554,2)="15")),"x","")</f>
        <v/>
      </c>
      <c r="AE554" s="66" t="str">
        <f>IF(AND(OR(LEFT(TH!N554,2)="15",LEFT(TH!O554,2)="15"),'152-CT'!$J$8=TH!F554),"x","")</f>
        <v/>
      </c>
      <c r="AF554" s="66" t="str">
        <f>IF(AND(OR(LEFT(TH!N554,2)="15",LEFT(TH!O554,2)="15"),'THE KHO'!$E$7=TH!F554),"x","")</f>
        <v/>
      </c>
      <c r="AG554" s="66" t="str">
        <f>IF(AND(N554="1521",MONTH(C554)='BK NL'!$M$11),"x","")</f>
        <v/>
      </c>
    </row>
    <row r="555" spans="1:33" ht="15.75" hidden="1" customHeight="1">
      <c r="A555" s="397" t="str">
        <f>IF(B555&lt;&gt;"",IF(AND(B555&gt;=_TM1,B555&lt;=_TM2,OR(TH!N555="1111",TH!O555="1111")),TH!D555,""),"")</f>
        <v/>
      </c>
      <c r="B555" s="63" t="str">
        <f t="shared" si="56"/>
        <v/>
      </c>
      <c r="C555" s="64"/>
      <c r="D555" s="64"/>
      <c r="E555" s="64"/>
      <c r="F555" s="67"/>
      <c r="G555" s="361"/>
      <c r="H555" s="74"/>
      <c r="I555" s="514"/>
      <c r="J555" s="514"/>
      <c r="K555" s="506"/>
      <c r="L555" s="514"/>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57"/>
        <v/>
      </c>
      <c r="AD555" s="66" t="str">
        <f>IF(AND(MONTH(E555)='IN-NX'!$J$5,'IN-NX'!$D$7=D555,OR(LEFT(TH!N555,2)="15",LEFT(TH!O555,2)="15")),"x","")</f>
        <v/>
      </c>
      <c r="AE555" s="66" t="str">
        <f>IF(AND(OR(LEFT(TH!N555,2)="15",LEFT(TH!O555,2)="15"),'152-CT'!$J$8=TH!F555),"x","")</f>
        <v/>
      </c>
      <c r="AF555" s="66" t="str">
        <f>IF(AND(OR(LEFT(TH!N555,2)="15",LEFT(TH!O555,2)="15"),'THE KHO'!$E$7=TH!F555),"x","")</f>
        <v/>
      </c>
      <c r="AG555" s="66" t="str">
        <f>IF(AND(N555="1521",MONTH(C555)='BK NL'!$M$11),"x","")</f>
        <v/>
      </c>
    </row>
    <row r="556" spans="1:33" ht="15.75" hidden="1" customHeight="1">
      <c r="A556" s="397" t="str">
        <f>IF(B556&lt;&gt;"",IF(AND(B556&gt;=_TM1,B556&lt;=_TM2,OR(TH!N556="1111",TH!O556="1111")),TH!D556,""),"")</f>
        <v/>
      </c>
      <c r="B556" s="63" t="str">
        <f t="shared" si="56"/>
        <v/>
      </c>
      <c r="C556" s="64"/>
      <c r="D556" s="64"/>
      <c r="E556" s="64"/>
      <c r="F556" s="67"/>
      <c r="G556" s="361"/>
      <c r="H556" s="74"/>
      <c r="I556" s="514"/>
      <c r="J556" s="514"/>
      <c r="K556" s="506"/>
      <c r="L556" s="514"/>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57"/>
        <v/>
      </c>
      <c r="AD556" s="66" t="str">
        <f>IF(AND(MONTH(E556)='IN-NX'!$J$5,'IN-NX'!$D$7=D556,OR(LEFT(TH!N556,2)="15",LEFT(TH!O556,2)="15")),"x","")</f>
        <v/>
      </c>
      <c r="AE556" s="66" t="str">
        <f>IF(AND(OR(LEFT(TH!N556,2)="15",LEFT(TH!O556,2)="15"),'152-CT'!$J$8=TH!F556),"x","")</f>
        <v/>
      </c>
      <c r="AF556" s="66" t="str">
        <f>IF(AND(OR(LEFT(TH!N556,2)="15",LEFT(TH!O556,2)="15"),'THE KHO'!$E$7=TH!F556),"x","")</f>
        <v/>
      </c>
      <c r="AG556" s="66" t="str">
        <f>IF(AND(N556="1521",MONTH(C556)='BK NL'!$M$11),"x","")</f>
        <v/>
      </c>
    </row>
    <row r="557" spans="1:33" ht="15.75" hidden="1" customHeight="1">
      <c r="A557" s="397" t="str">
        <f>IF(B557&lt;&gt;"",IF(AND(B557&gt;=_TM1,B557&lt;=_TM2,OR(TH!N557="1111",TH!O557="1111")),TH!D557,""),"")</f>
        <v/>
      </c>
      <c r="B557" s="63" t="str">
        <f t="shared" si="56"/>
        <v/>
      </c>
      <c r="C557" s="64"/>
      <c r="D557" s="64"/>
      <c r="E557" s="64"/>
      <c r="F557" s="67"/>
      <c r="G557" s="361"/>
      <c r="H557" s="74"/>
      <c r="I557" s="514"/>
      <c r="J557" s="514"/>
      <c r="K557" s="506"/>
      <c r="L557" s="514"/>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57"/>
        <v/>
      </c>
      <c r="AD557" s="66" t="str">
        <f>IF(AND(MONTH(E557)='IN-NX'!$J$5,'IN-NX'!$D$7=D557,OR(LEFT(TH!N557,2)="15",LEFT(TH!O557,2)="15")),"x","")</f>
        <v/>
      </c>
      <c r="AE557" s="66" t="str">
        <f>IF(AND(OR(LEFT(TH!N557,2)="15",LEFT(TH!O557,2)="15"),'152-CT'!$J$8=TH!F557),"x","")</f>
        <v/>
      </c>
      <c r="AF557" s="66" t="str">
        <f>IF(AND(OR(LEFT(TH!N557,2)="15",LEFT(TH!O557,2)="15"),'THE KHO'!$E$7=TH!F557),"x","")</f>
        <v/>
      </c>
      <c r="AG557" s="66" t="str">
        <f>IF(AND(N557="1521",MONTH(C557)='BK NL'!$M$11),"x","")</f>
        <v/>
      </c>
    </row>
    <row r="558" spans="1:33" ht="15.75" hidden="1" customHeight="1">
      <c r="A558" s="397" t="str">
        <f>IF(B558&lt;&gt;"",IF(AND(B558&gt;=_TM1,B558&lt;=_TM2,OR(TH!N558="1111",TH!O558="1111")),TH!D558,""),"")</f>
        <v/>
      </c>
      <c r="B558" s="63" t="str">
        <f t="shared" si="56"/>
        <v/>
      </c>
      <c r="C558" s="64"/>
      <c r="D558" s="64"/>
      <c r="E558" s="64"/>
      <c r="F558" s="67"/>
      <c r="G558" s="361"/>
      <c r="H558" s="74"/>
      <c r="I558" s="514"/>
      <c r="J558" s="514"/>
      <c r="K558" s="506"/>
      <c r="L558" s="514"/>
      <c r="M558" s="65"/>
      <c r="N558" s="6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57"/>
        <v/>
      </c>
      <c r="AD558" s="66" t="str">
        <f>IF(AND(MONTH(E558)='IN-NX'!$J$5,'IN-NX'!$D$7=D558,OR(LEFT(TH!N558,2)="15",LEFT(TH!O558,2)="15")),"x","")</f>
        <v/>
      </c>
      <c r="AE558" s="66" t="str">
        <f>IF(AND(OR(LEFT(TH!N558,2)="15",LEFT(TH!O558,2)="15"),'152-CT'!$J$8=TH!F558),"x","")</f>
        <v/>
      </c>
      <c r="AF558" s="66" t="str">
        <f>IF(AND(OR(LEFT(TH!N558,2)="15",LEFT(TH!O558,2)="15"),'THE KHO'!$E$7=TH!F558),"x","")</f>
        <v/>
      </c>
      <c r="AG558" s="66" t="str">
        <f>IF(AND(N558="1521",MONTH(C558)='BK NL'!$M$11),"x","")</f>
        <v/>
      </c>
    </row>
    <row r="559" spans="1:33" ht="15.75" hidden="1" customHeight="1">
      <c r="A559" s="397" t="str">
        <f>IF(B559&lt;&gt;"",IF(AND(B559&gt;=_TM1,B559&lt;=_TM2,OR(TH!N559="1111",TH!O559="1111")),TH!D559,""),"")</f>
        <v/>
      </c>
      <c r="B559" s="63" t="str">
        <f t="shared" si="56"/>
        <v/>
      </c>
      <c r="C559" s="64"/>
      <c r="D559" s="64"/>
      <c r="E559" s="64"/>
      <c r="F559" s="67"/>
      <c r="G559" s="361"/>
      <c r="H559" s="74"/>
      <c r="I559" s="514"/>
      <c r="J559" s="514"/>
      <c r="K559" s="506"/>
      <c r="L559" s="514"/>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57"/>
        <v/>
      </c>
      <c r="AD559" s="66" t="str">
        <f>IF(AND(MONTH(E559)='IN-NX'!$J$5,'IN-NX'!$D$7=D559,OR(LEFT(TH!N559,2)="15",LEFT(TH!O559,2)="15")),"x","")</f>
        <v/>
      </c>
      <c r="AE559" s="66" t="str">
        <f>IF(AND(OR(LEFT(TH!N559,2)="15",LEFT(TH!O559,2)="15"),'152-CT'!$J$8=TH!F559),"x","")</f>
        <v/>
      </c>
      <c r="AF559" s="66" t="str">
        <f>IF(AND(OR(LEFT(TH!N559,2)="15",LEFT(TH!O559,2)="15"),'THE KHO'!$E$7=TH!F559),"x","")</f>
        <v/>
      </c>
      <c r="AG559" s="66" t="str">
        <f>IF(AND(N559="1521",MONTH(C559)='BK NL'!$M$11),"x","")</f>
        <v/>
      </c>
    </row>
    <row r="560" spans="1:33" ht="15.75" hidden="1" customHeight="1">
      <c r="A560" s="397" t="str">
        <f>IF(B560&lt;&gt;"",IF(AND(B560&gt;=_TM1,B560&lt;=_TM2,OR(TH!N560="1111",TH!O560="1111")),TH!D560,""),"")</f>
        <v/>
      </c>
      <c r="B560" s="63" t="str">
        <f t="shared" si="56"/>
        <v/>
      </c>
      <c r="C560" s="64"/>
      <c r="D560" s="64"/>
      <c r="E560" s="64"/>
      <c r="F560" s="67"/>
      <c r="G560" s="361"/>
      <c r="H560" s="74"/>
      <c r="I560" s="514"/>
      <c r="J560" s="514"/>
      <c r="K560" s="506"/>
      <c r="L560" s="514"/>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57"/>
        <v/>
      </c>
      <c r="AD560" s="66" t="str">
        <f>IF(AND(MONTH(E560)='IN-NX'!$J$5,'IN-NX'!$D$7=D560,OR(LEFT(TH!N560,2)="15",LEFT(TH!O560,2)="15")),"x","")</f>
        <v/>
      </c>
      <c r="AE560" s="66" t="str">
        <f>IF(AND(OR(LEFT(TH!N560,2)="15",LEFT(TH!O560,2)="15"),'152-CT'!$J$8=TH!F560),"x","")</f>
        <v/>
      </c>
      <c r="AF560" s="66" t="str">
        <f>IF(AND(OR(LEFT(TH!N560,2)="15",LEFT(TH!O560,2)="15"),'THE KHO'!$E$7=TH!F560),"x","")</f>
        <v/>
      </c>
      <c r="AG560" s="66" t="str">
        <f>IF(AND(N560="1521",MONTH(C560)='BK NL'!$M$11),"x","")</f>
        <v/>
      </c>
    </row>
    <row r="561" spans="1:33" ht="15.75" hidden="1" customHeight="1">
      <c r="A561" s="397" t="str">
        <f>IF(B561&lt;&gt;"",IF(AND(B561&gt;=_TM1,B561&lt;=_TM2,OR(TH!N561="1111",TH!O561="1111")),TH!D561,""),"")</f>
        <v/>
      </c>
      <c r="B561" s="63" t="str">
        <f t="shared" si="56"/>
        <v/>
      </c>
      <c r="C561" s="64"/>
      <c r="D561" s="64"/>
      <c r="E561" s="64"/>
      <c r="F561" s="67"/>
      <c r="G561" s="375"/>
      <c r="H561" s="74"/>
      <c r="I561" s="514"/>
      <c r="J561" s="514"/>
      <c r="K561" s="506"/>
      <c r="L561" s="514"/>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57"/>
        <v/>
      </c>
      <c r="AD561" s="66" t="str">
        <f>IF(AND(MONTH(E561)='IN-NX'!$J$5,'IN-NX'!$D$7=D561,OR(LEFT(TH!N561,2)="15",LEFT(TH!O561,2)="15")),"x","")</f>
        <v/>
      </c>
      <c r="AE561" s="66" t="str">
        <f>IF(AND(OR(LEFT(TH!N561,2)="15",LEFT(TH!O561,2)="15"),'152-CT'!$J$8=TH!F561),"x","")</f>
        <v/>
      </c>
      <c r="AF561" s="66" t="str">
        <f>IF(AND(OR(LEFT(TH!N561,2)="15",LEFT(TH!O561,2)="15"),'THE KHO'!$E$7=TH!F561),"x","")</f>
        <v/>
      </c>
      <c r="AG561" s="66" t="str">
        <f>IF(AND(N561="1521",MONTH(C561)='BK NL'!$M$11),"x","")</f>
        <v/>
      </c>
    </row>
    <row r="562" spans="1:33" ht="15.75" hidden="1" customHeight="1">
      <c r="A562" s="397" t="str">
        <f>IF(B562&lt;&gt;"",IF(AND(B562&gt;=_TM1,B562&lt;=_TM2,OR(TH!N562="1111",TH!O562="1111")),TH!D562,""),"")</f>
        <v/>
      </c>
      <c r="B562" s="63" t="str">
        <f t="shared" si="56"/>
        <v/>
      </c>
      <c r="C562" s="64"/>
      <c r="D562" s="64"/>
      <c r="E562" s="64"/>
      <c r="F562" s="67"/>
      <c r="G562" s="375"/>
      <c r="H562" s="74"/>
      <c r="I562" s="514"/>
      <c r="J562" s="514"/>
      <c r="K562" s="506"/>
      <c r="L562" s="514"/>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57"/>
        <v/>
      </c>
      <c r="AD562" s="66" t="str">
        <f>IF(AND(MONTH(E562)='IN-NX'!$J$5,'IN-NX'!$D$7=D562,OR(LEFT(TH!N562,2)="15",LEFT(TH!O562,2)="15")),"x","")</f>
        <v/>
      </c>
      <c r="AE562" s="66" t="str">
        <f>IF(AND(OR(LEFT(TH!N562,2)="15",LEFT(TH!O562,2)="15"),'152-CT'!$J$8=TH!F562),"x","")</f>
        <v/>
      </c>
      <c r="AF562" s="66" t="str">
        <f>IF(AND(OR(LEFT(TH!N562,2)="15",LEFT(TH!O562,2)="15"),'THE KHO'!$E$7=TH!F562),"x","")</f>
        <v/>
      </c>
      <c r="AG562" s="66" t="str">
        <f>IF(AND(N562="1521",MONTH(C562)='BK NL'!$M$11),"x","")</f>
        <v/>
      </c>
    </row>
    <row r="563" spans="1:33" ht="15.75" hidden="1" customHeight="1">
      <c r="A563" s="397" t="str">
        <f>IF(B563&lt;&gt;"",IF(AND(B563&gt;=_TM1,B563&lt;=_TM2,OR(TH!N563="1111",TH!O563="1111")),TH!D563,""),"")</f>
        <v/>
      </c>
      <c r="B563" s="63" t="str">
        <f t="shared" si="56"/>
        <v/>
      </c>
      <c r="C563" s="64"/>
      <c r="D563" s="64"/>
      <c r="E563" s="64"/>
      <c r="F563" s="67"/>
      <c r="G563" s="375"/>
      <c r="H563" s="74"/>
      <c r="I563" s="514"/>
      <c r="J563" s="514"/>
      <c r="K563" s="506"/>
      <c r="L563" s="514"/>
      <c r="M563" s="65"/>
      <c r="N563" s="385"/>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57"/>
        <v/>
      </c>
      <c r="AD563" s="66" t="str">
        <f>IF(AND(MONTH(E563)='IN-NX'!$J$5,'IN-NX'!$D$7=D563,OR(LEFT(TH!N563,2)="15",LEFT(TH!O563,2)="15")),"x","")</f>
        <v/>
      </c>
      <c r="AE563" s="66" t="str">
        <f>IF(AND(OR(LEFT(TH!N563,2)="15",LEFT(TH!O563,2)="15"),'152-CT'!$J$8=TH!F563),"x","")</f>
        <v/>
      </c>
      <c r="AF563" s="66" t="str">
        <f>IF(AND(OR(LEFT(TH!N563,2)="15",LEFT(TH!O563,2)="15"),'THE KHO'!$E$7=TH!F563),"x","")</f>
        <v/>
      </c>
      <c r="AG563" s="66" t="str">
        <f>IF(AND(N563="1521",MONTH(C563)='BK NL'!$M$11),"x","")</f>
        <v/>
      </c>
    </row>
    <row r="564" spans="1:33" ht="15.75" hidden="1" customHeight="1">
      <c r="A564" s="397" t="str">
        <f>IF(B564&lt;&gt;"",IF(AND(B564&gt;=_TM1,B564&lt;=_TM2,OR(TH!N564="1111",TH!O564="1111")),TH!D564,""),"")</f>
        <v/>
      </c>
      <c r="B564" s="63" t="str">
        <f t="shared" si="56"/>
        <v/>
      </c>
      <c r="C564" s="64"/>
      <c r="D564" s="64"/>
      <c r="E564" s="64"/>
      <c r="F564" s="67"/>
      <c r="G564" s="375"/>
      <c r="H564" s="74"/>
      <c r="I564" s="514"/>
      <c r="J564" s="514"/>
      <c r="K564" s="506"/>
      <c r="L564" s="514"/>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57"/>
        <v/>
      </c>
      <c r="AD564" s="66" t="str">
        <f>IF(AND(MONTH(E564)='IN-NX'!$J$5,'IN-NX'!$D$7=D564,OR(LEFT(TH!N564,2)="15",LEFT(TH!O564,2)="15")),"x","")</f>
        <v/>
      </c>
      <c r="AE564" s="66" t="str">
        <f>IF(AND(OR(LEFT(TH!N564,2)="15",LEFT(TH!O564,2)="15"),'152-CT'!$J$8=TH!F564),"x","")</f>
        <v/>
      </c>
      <c r="AF564" s="66" t="str">
        <f>IF(AND(OR(LEFT(TH!N564,2)="15",LEFT(TH!O564,2)="15"),'THE KHO'!$E$7=TH!F564),"x","")</f>
        <v/>
      </c>
      <c r="AG564" s="66" t="str">
        <f>IF(AND(N564="1521",MONTH(C564)='BK NL'!$M$11),"x","")</f>
        <v/>
      </c>
    </row>
    <row r="565" spans="1:33" ht="15.75" hidden="1" customHeight="1">
      <c r="A565" s="397" t="str">
        <f>IF(B565&lt;&gt;"",IF(AND(B565&gt;=_TM1,B565&lt;=_TM2,OR(TH!N565="1111",TH!O565="1111")),TH!D565,""),"")</f>
        <v/>
      </c>
      <c r="B565" s="63" t="str">
        <f t="shared" si="56"/>
        <v/>
      </c>
      <c r="C565" s="64"/>
      <c r="D565" s="64"/>
      <c r="E565" s="64"/>
      <c r="F565" s="67"/>
      <c r="G565" s="375"/>
      <c r="H565" s="366"/>
      <c r="I565" s="512"/>
      <c r="J565" s="512"/>
      <c r="K565" s="504"/>
      <c r="L565" s="512"/>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57"/>
        <v/>
      </c>
      <c r="AD565" s="66" t="str">
        <f>IF(AND(MONTH(E565)='IN-NX'!$J$5,'IN-NX'!$D$7=D565,OR(LEFT(TH!N565,2)="15",LEFT(TH!O565,2)="15")),"x","")</f>
        <v/>
      </c>
      <c r="AE565" s="66" t="str">
        <f>IF(AND(OR(LEFT(TH!N565,2)="15",LEFT(TH!O565,2)="15"),'152-CT'!$J$8=TH!F565),"x","")</f>
        <v/>
      </c>
      <c r="AF565" s="66" t="str">
        <f>IF(AND(OR(LEFT(TH!N565,2)="15",LEFT(TH!O565,2)="15"),'THE KHO'!$E$7=TH!F565),"x","")</f>
        <v/>
      </c>
      <c r="AG565" s="66" t="str">
        <f>IF(AND(N565="1521",MONTH(C565)='BK NL'!$M$11),"x","")</f>
        <v/>
      </c>
    </row>
    <row r="566" spans="1:33" ht="15.75" hidden="1" customHeight="1">
      <c r="A566" s="397" t="str">
        <f>IF(B566&lt;&gt;"",IF(AND(B566&gt;=_TM1,B566&lt;=_TM2,OR(TH!N566="1111",TH!O566="1111")),TH!D566,""),"")</f>
        <v/>
      </c>
      <c r="B566" s="63" t="str">
        <f t="shared" si="56"/>
        <v/>
      </c>
      <c r="C566" s="64"/>
      <c r="D566" s="64"/>
      <c r="E566" s="64"/>
      <c r="F566" s="67"/>
      <c r="G566" s="375"/>
      <c r="H566" s="366"/>
      <c r="I566" s="512"/>
      <c r="J566" s="512"/>
      <c r="K566" s="504"/>
      <c r="L566" s="512"/>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57"/>
        <v/>
      </c>
      <c r="AD566" s="66" t="str">
        <f>IF(AND(MONTH(E566)='IN-NX'!$J$5,'IN-NX'!$D$7=D566,OR(LEFT(TH!N566,2)="15",LEFT(TH!O566,2)="15")),"x","")</f>
        <v/>
      </c>
      <c r="AE566" s="66" t="str">
        <f>IF(AND(OR(LEFT(TH!N566,2)="15",LEFT(TH!O566,2)="15"),'152-CT'!$J$8=TH!F566),"x","")</f>
        <v/>
      </c>
      <c r="AF566" s="66" t="str">
        <f>IF(AND(OR(LEFT(TH!N566,2)="15",LEFT(TH!O566,2)="15"),'THE KHO'!$E$7=TH!F566),"x","")</f>
        <v/>
      </c>
      <c r="AG566" s="66" t="str">
        <f>IF(AND(N566="1521",MONTH(C566)='BK NL'!$M$11),"x","")</f>
        <v/>
      </c>
    </row>
    <row r="567" spans="1:33" ht="15.75" hidden="1" customHeight="1">
      <c r="A567" s="397" t="str">
        <f>IF(B567&lt;&gt;"",IF(AND(B567&gt;=_TM1,B567&lt;=_TM2,OR(TH!N567="1111",TH!O567="1111")),TH!D567,""),"")</f>
        <v/>
      </c>
      <c r="B567" s="63" t="str">
        <f t="shared" si="56"/>
        <v/>
      </c>
      <c r="C567" s="64"/>
      <c r="D567" s="64"/>
      <c r="E567" s="64"/>
      <c r="F567" s="67"/>
      <c r="G567" s="361"/>
      <c r="H567" s="74"/>
      <c r="I567" s="514"/>
      <c r="J567" s="514"/>
      <c r="K567" s="506"/>
      <c r="L567" s="514"/>
      <c r="M567" s="65"/>
      <c r="N567" s="66"/>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57"/>
        <v/>
      </c>
      <c r="AD567" s="66" t="str">
        <f>IF(AND(MONTH(E567)='IN-NX'!$J$5,'IN-NX'!$D$7=D567,OR(LEFT(TH!N567,2)="15",LEFT(TH!O567,2)="15")),"x","")</f>
        <v/>
      </c>
      <c r="AE567" s="66" t="str">
        <f>IF(AND(OR(LEFT(TH!N567,2)="15",LEFT(TH!O567,2)="15"),'152-CT'!$J$8=TH!F567),"x","")</f>
        <v/>
      </c>
      <c r="AF567" s="66" t="str">
        <f>IF(AND(OR(LEFT(TH!N567,2)="15",LEFT(TH!O567,2)="15"),'THE KHO'!$E$7=TH!F567),"x","")</f>
        <v/>
      </c>
      <c r="AG567" s="66" t="str">
        <f>IF(AND(N567="1521",MONTH(C567)='BK NL'!$M$11),"x","")</f>
        <v/>
      </c>
    </row>
    <row r="568" spans="1:33" ht="15.75" hidden="1" customHeight="1">
      <c r="A568" s="397" t="str">
        <f>IF(B568&lt;&gt;"",IF(AND(B568&gt;=_TM1,B568&lt;=_TM2,OR(TH!N568="1111",TH!O568="1111")),TH!D568,""),"")</f>
        <v/>
      </c>
      <c r="B568" s="63" t="str">
        <f t="shared" si="56"/>
        <v/>
      </c>
      <c r="C568" s="64"/>
      <c r="D568" s="64"/>
      <c r="E568" s="64"/>
      <c r="F568" s="67"/>
      <c r="G568" s="361"/>
      <c r="H568" s="74"/>
      <c r="I568" s="514"/>
      <c r="J568" s="514"/>
      <c r="K568" s="506"/>
      <c r="L568" s="514"/>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57"/>
        <v/>
      </c>
      <c r="AD568" s="66" t="str">
        <f>IF(AND(MONTH(E568)='IN-NX'!$J$5,'IN-NX'!$D$7=D568,OR(LEFT(TH!N568,2)="15",LEFT(TH!O568,2)="15")),"x","")</f>
        <v/>
      </c>
      <c r="AE568" s="66" t="str">
        <f>IF(AND(OR(LEFT(TH!N568,2)="15",LEFT(TH!O568,2)="15"),'152-CT'!$J$8=TH!F568),"x","")</f>
        <v/>
      </c>
      <c r="AF568" s="66" t="str">
        <f>IF(AND(OR(LEFT(TH!N568,2)="15",LEFT(TH!O568,2)="15"),'THE KHO'!$E$7=TH!F568),"x","")</f>
        <v/>
      </c>
      <c r="AG568" s="66" t="str">
        <f>IF(AND(N568="1521",MONTH(C568)='BK NL'!$M$11),"x","")</f>
        <v/>
      </c>
    </row>
    <row r="569" spans="1:33" ht="15.75" hidden="1" customHeight="1">
      <c r="A569" s="397" t="str">
        <f>IF(B569&lt;&gt;"",IF(AND(B569&gt;=_TM1,B569&lt;=_TM2,OR(TH!N569="1111",TH!O569="1111")),TH!D569,""),"")</f>
        <v/>
      </c>
      <c r="B569" s="63" t="str">
        <f t="shared" si="56"/>
        <v/>
      </c>
      <c r="C569" s="64"/>
      <c r="D569" s="64"/>
      <c r="E569" s="64"/>
      <c r="F569" s="67"/>
      <c r="G569" s="361"/>
      <c r="H569" s="74"/>
      <c r="I569" s="514"/>
      <c r="J569" s="514"/>
      <c r="K569" s="506"/>
      <c r="L569" s="514"/>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57"/>
        <v/>
      </c>
      <c r="AD569" s="66" t="str">
        <f>IF(AND(MONTH(E569)='IN-NX'!$J$5,'IN-NX'!$D$7=D569,OR(LEFT(TH!N569,2)="15",LEFT(TH!O569,2)="15")),"x","")</f>
        <v/>
      </c>
      <c r="AE569" s="66" t="str">
        <f>IF(AND(OR(LEFT(TH!N569,2)="15",LEFT(TH!O569,2)="15"),'152-CT'!$J$8=TH!F569),"x","")</f>
        <v/>
      </c>
      <c r="AF569" s="66" t="str">
        <f>IF(AND(OR(LEFT(TH!N569,2)="15",LEFT(TH!O569,2)="15"),'THE KHO'!$E$7=TH!F569),"x","")</f>
        <v/>
      </c>
      <c r="AG569" s="66" t="str">
        <f>IF(AND(N569="1521",MONTH(C569)='BK NL'!$M$11),"x","")</f>
        <v/>
      </c>
    </row>
    <row r="570" spans="1:33" ht="15.75" hidden="1" customHeight="1">
      <c r="A570" s="397" t="str">
        <f>IF(B570&lt;&gt;"",IF(AND(B570&gt;=_TM1,B570&lt;=_TM2,OR(TH!N570="1111",TH!O570="1111")),TH!D570,""),"")</f>
        <v/>
      </c>
      <c r="B570" s="63" t="str">
        <f t="shared" si="56"/>
        <v/>
      </c>
      <c r="C570" s="64"/>
      <c r="D570" s="64"/>
      <c r="E570" s="64"/>
      <c r="F570" s="67"/>
      <c r="G570" s="361"/>
      <c r="H570" s="74"/>
      <c r="I570" s="514"/>
      <c r="J570" s="514"/>
      <c r="K570" s="506"/>
      <c r="L570" s="514"/>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57"/>
        <v/>
      </c>
      <c r="AD570" s="66" t="str">
        <f>IF(AND(MONTH(E570)='IN-NX'!$J$5,'IN-NX'!$D$7=D570,OR(LEFT(TH!N570,2)="15",LEFT(TH!O570,2)="15")),"x","")</f>
        <v/>
      </c>
      <c r="AE570" s="66" t="str">
        <f>IF(AND(OR(LEFT(TH!N570,2)="15",LEFT(TH!O570,2)="15"),'152-CT'!$J$8=TH!F570),"x","")</f>
        <v/>
      </c>
      <c r="AF570" s="66" t="str">
        <f>IF(AND(OR(LEFT(TH!N570,2)="15",LEFT(TH!O570,2)="15"),'THE KHO'!$E$7=TH!F570),"x","")</f>
        <v/>
      </c>
      <c r="AG570" s="66" t="str">
        <f>IF(AND(N570="1521",MONTH(C570)='BK NL'!$M$11),"x","")</f>
        <v/>
      </c>
    </row>
    <row r="571" spans="1:33" ht="15.75" hidden="1" customHeight="1">
      <c r="A571" s="397" t="str">
        <f>IF(B571&lt;&gt;"",IF(AND(B571&gt;=_TM1,B571&lt;=_TM2,OR(TH!N571="1111",TH!O571="1111")),TH!D571,""),"")</f>
        <v/>
      </c>
      <c r="B571" s="63" t="str">
        <f t="shared" si="56"/>
        <v/>
      </c>
      <c r="C571" s="64"/>
      <c r="D571" s="64"/>
      <c r="E571" s="64"/>
      <c r="F571" s="67"/>
      <c r="G571" s="361"/>
      <c r="H571" s="74"/>
      <c r="I571" s="514"/>
      <c r="J571" s="514"/>
      <c r="K571" s="506"/>
      <c r="L571" s="514"/>
      <c r="M571" s="65"/>
      <c r="N571" s="66"/>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57"/>
        <v/>
      </c>
      <c r="AD571" s="66" t="str">
        <f>IF(AND(MONTH(E571)='IN-NX'!$J$5,'IN-NX'!$D$7=D571,OR(LEFT(TH!N571,2)="15",LEFT(TH!O571,2)="15")),"x","")</f>
        <v/>
      </c>
      <c r="AE571" s="66" t="str">
        <f>IF(AND(OR(LEFT(TH!N571,2)="15",LEFT(TH!O571,2)="15"),'152-CT'!$J$8=TH!F571),"x","")</f>
        <v/>
      </c>
      <c r="AF571" s="66" t="str">
        <f>IF(AND(OR(LEFT(TH!N571,2)="15",LEFT(TH!O571,2)="15"),'THE KHO'!$E$7=TH!F571),"x","")</f>
        <v/>
      </c>
      <c r="AG571" s="66" t="str">
        <f>IF(AND(N571="1521",MONTH(C571)='BK NL'!$M$11),"x","")</f>
        <v/>
      </c>
    </row>
    <row r="572" spans="1:33" ht="15.75" hidden="1" customHeight="1">
      <c r="A572" s="397" t="str">
        <f>IF(B572&lt;&gt;"",IF(AND(B572&gt;=_TM1,B572&lt;=_TM2,OR(TH!N572="1111",TH!O572="1111")),TH!D572,""),"")</f>
        <v/>
      </c>
      <c r="B572" s="63" t="str">
        <f t="shared" si="56"/>
        <v/>
      </c>
      <c r="C572" s="64"/>
      <c r="D572" s="64"/>
      <c r="E572" s="64"/>
      <c r="F572" s="67"/>
      <c r="G572" s="361"/>
      <c r="H572" s="74"/>
      <c r="I572" s="514"/>
      <c r="J572" s="514"/>
      <c r="K572" s="506"/>
      <c r="L572" s="514"/>
      <c r="M572" s="65"/>
      <c r="N572" s="66"/>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57"/>
        <v/>
      </c>
      <c r="AD572" s="66" t="str">
        <f>IF(AND(MONTH(E572)='IN-NX'!$J$5,'IN-NX'!$D$7=D572,OR(LEFT(TH!N572,2)="15",LEFT(TH!O572,2)="15")),"x","")</f>
        <v/>
      </c>
      <c r="AE572" s="66" t="str">
        <f>IF(AND(OR(LEFT(TH!N572,2)="15",LEFT(TH!O572,2)="15"),'152-CT'!$J$8=TH!F572),"x","")</f>
        <v/>
      </c>
      <c r="AF572" s="66" t="str">
        <f>IF(AND(OR(LEFT(TH!N572,2)="15",LEFT(TH!O572,2)="15"),'THE KHO'!$E$7=TH!F572),"x","")</f>
        <v/>
      </c>
      <c r="AG572" s="66" t="str">
        <f>IF(AND(N572="1521",MONTH(C572)='BK NL'!$M$11),"x","")</f>
        <v/>
      </c>
    </row>
    <row r="573" spans="1:33" ht="15.75" hidden="1" customHeight="1">
      <c r="A573" s="397" t="str">
        <f>IF(B573&lt;&gt;"",IF(AND(B573&gt;=_TM1,B573&lt;=_TM2,OR(TH!N573="1111",TH!O573="1111")),TH!D573,""),"")</f>
        <v/>
      </c>
      <c r="B573" s="63" t="str">
        <f t="shared" si="56"/>
        <v/>
      </c>
      <c r="C573" s="64"/>
      <c r="D573" s="64"/>
      <c r="E573" s="64"/>
      <c r="F573" s="67"/>
      <c r="G573" s="361"/>
      <c r="H573" s="74"/>
      <c r="I573" s="514"/>
      <c r="J573" s="514"/>
      <c r="K573" s="506"/>
      <c r="L573" s="514"/>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57"/>
        <v/>
      </c>
      <c r="AD573" s="66" t="str">
        <f>IF(AND(MONTH(E573)='IN-NX'!$J$5,'IN-NX'!$D$7=D573,OR(LEFT(TH!N573,2)="15",LEFT(TH!O573,2)="15")),"x","")</f>
        <v/>
      </c>
      <c r="AE573" s="66" t="str">
        <f>IF(AND(OR(LEFT(TH!N573,2)="15",LEFT(TH!O573,2)="15"),'152-CT'!$J$8=TH!F573),"x","")</f>
        <v/>
      </c>
      <c r="AF573" s="66" t="str">
        <f>IF(AND(OR(LEFT(TH!N573,2)="15",LEFT(TH!O573,2)="15"),'THE KHO'!$E$7=TH!F573),"x","")</f>
        <v/>
      </c>
      <c r="AG573" s="66" t="str">
        <f>IF(AND(N573="1521",MONTH(C573)='BK NL'!$M$11),"x","")</f>
        <v/>
      </c>
    </row>
    <row r="574" spans="1:33" ht="15.75" hidden="1" customHeight="1">
      <c r="A574" s="397" t="str">
        <f>IF(B574&lt;&gt;"",IF(AND(B574&gt;=_TM1,B574&lt;=_TM2,OR(TH!N574="1111",TH!O574="1111")),TH!D574,""),"")</f>
        <v/>
      </c>
      <c r="B574" s="63" t="str">
        <f t="shared" si="56"/>
        <v/>
      </c>
      <c r="C574" s="64"/>
      <c r="D574" s="64"/>
      <c r="E574" s="64"/>
      <c r="F574" s="67"/>
      <c r="G574" s="361"/>
      <c r="H574" s="74"/>
      <c r="I574" s="514"/>
      <c r="J574" s="514"/>
      <c r="K574" s="506"/>
      <c r="L574" s="514"/>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57"/>
        <v/>
      </c>
      <c r="AD574" s="66" t="str">
        <f>IF(AND(MONTH(E574)='IN-NX'!$J$5,'IN-NX'!$D$7=D574,OR(LEFT(TH!N574,2)="15",LEFT(TH!O574,2)="15")),"x","")</f>
        <v/>
      </c>
      <c r="AE574" s="66" t="str">
        <f>IF(AND(OR(LEFT(TH!N574,2)="15",LEFT(TH!O574,2)="15"),'152-CT'!$J$8=TH!F574),"x","")</f>
        <v/>
      </c>
      <c r="AF574" s="66" t="str">
        <f>IF(AND(OR(LEFT(TH!N574,2)="15",LEFT(TH!O574,2)="15"),'THE KHO'!$E$7=TH!F574),"x","")</f>
        <v/>
      </c>
      <c r="AG574" s="66" t="str">
        <f>IF(AND(N574="1521",MONTH(C574)='BK NL'!$M$11),"x","")</f>
        <v/>
      </c>
    </row>
    <row r="575" spans="1:33" ht="15.75" hidden="1" customHeight="1">
      <c r="A575" s="397" t="str">
        <f>IF(B575&lt;&gt;"",IF(AND(B575&gt;=_TM1,B575&lt;=_TM2,OR(TH!N575="1111",TH!O575="1111")),TH!D575,""),"")</f>
        <v/>
      </c>
      <c r="B575" s="63" t="str">
        <f t="shared" si="56"/>
        <v/>
      </c>
      <c r="C575" s="64"/>
      <c r="D575" s="64"/>
      <c r="E575" s="64"/>
      <c r="F575" s="67"/>
      <c r="G575" s="361"/>
      <c r="H575" s="74"/>
      <c r="I575" s="514"/>
      <c r="J575" s="514"/>
      <c r="K575" s="506"/>
      <c r="L575" s="514"/>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57"/>
        <v/>
      </c>
      <c r="AD575" s="66" t="str">
        <f>IF(AND(MONTH(E575)='IN-NX'!$J$5,'IN-NX'!$D$7=D575,OR(LEFT(TH!N575,2)="15",LEFT(TH!O575,2)="15")),"x","")</f>
        <v/>
      </c>
      <c r="AE575" s="66" t="str">
        <f>IF(AND(OR(LEFT(TH!N575,2)="15",LEFT(TH!O575,2)="15"),'152-CT'!$J$8=TH!F575),"x","")</f>
        <v/>
      </c>
      <c r="AF575" s="66" t="str">
        <f>IF(AND(OR(LEFT(TH!N575,2)="15",LEFT(TH!O575,2)="15"),'THE KHO'!$E$7=TH!F575),"x","")</f>
        <v/>
      </c>
      <c r="AG575" s="66" t="str">
        <f>IF(AND(N575="1521",MONTH(C575)='BK NL'!$M$11),"x","")</f>
        <v/>
      </c>
    </row>
    <row r="576" spans="1:33" ht="15.75" hidden="1" customHeight="1">
      <c r="A576" s="397" t="str">
        <f>IF(B576&lt;&gt;"",IF(AND(B576&gt;=_TM1,B576&lt;=_TM2,OR(TH!N576="1111",TH!O576="1111")),TH!D576,""),"")</f>
        <v/>
      </c>
      <c r="B576" s="63" t="str">
        <f t="shared" si="56"/>
        <v/>
      </c>
      <c r="C576" s="64"/>
      <c r="D576" s="64"/>
      <c r="E576" s="64"/>
      <c r="F576" s="67"/>
      <c r="G576" s="361"/>
      <c r="H576" s="74"/>
      <c r="I576" s="514"/>
      <c r="J576" s="514"/>
      <c r="K576" s="506"/>
      <c r="L576" s="514"/>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57"/>
        <v/>
      </c>
      <c r="AD576" s="66" t="str">
        <f>IF(AND(MONTH(E576)='IN-NX'!$J$5,'IN-NX'!$D$7=D576,OR(LEFT(TH!N576,2)="15",LEFT(TH!O576,2)="15")),"x","")</f>
        <v/>
      </c>
      <c r="AE576" s="66" t="str">
        <f>IF(AND(OR(LEFT(TH!N576,2)="15",LEFT(TH!O576,2)="15"),'152-CT'!$J$8=TH!F576),"x","")</f>
        <v/>
      </c>
      <c r="AF576" s="66" t="str">
        <f>IF(AND(OR(LEFT(TH!N576,2)="15",LEFT(TH!O576,2)="15"),'THE KHO'!$E$7=TH!F576),"x","")</f>
        <v/>
      </c>
      <c r="AG576" s="66" t="str">
        <f>IF(AND(N576="1521",MONTH(C576)='BK NL'!$M$11),"x","")</f>
        <v/>
      </c>
    </row>
    <row r="577" spans="1:33" ht="15.75" hidden="1" customHeight="1">
      <c r="A577" s="397" t="str">
        <f>IF(B577&lt;&gt;"",IF(AND(B577&gt;=_TM1,B577&lt;=_TM2,OR(TH!N577="1111",TH!O577="1111")),TH!D577,""),"")</f>
        <v/>
      </c>
      <c r="B577" s="63" t="str">
        <f t="shared" si="56"/>
        <v/>
      </c>
      <c r="C577" s="64"/>
      <c r="D577" s="64"/>
      <c r="E577" s="64"/>
      <c r="F577" s="67"/>
      <c r="G577" s="361"/>
      <c r="H577" s="74"/>
      <c r="I577" s="514"/>
      <c r="J577" s="514"/>
      <c r="K577" s="506"/>
      <c r="L577" s="514"/>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57"/>
        <v/>
      </c>
      <c r="AD577" s="66" t="str">
        <f>IF(AND(MONTH(E577)='IN-NX'!$J$5,'IN-NX'!$D$7=D577,OR(LEFT(TH!N577,2)="15",LEFT(TH!O577,2)="15")),"x","")</f>
        <v/>
      </c>
      <c r="AE577" s="66" t="str">
        <f>IF(AND(OR(LEFT(TH!N577,2)="15",LEFT(TH!O577,2)="15"),'152-CT'!$J$8=TH!F577),"x","")</f>
        <v/>
      </c>
      <c r="AF577" s="66" t="str">
        <f>IF(AND(OR(LEFT(TH!N577,2)="15",LEFT(TH!O577,2)="15"),'THE KHO'!$E$7=TH!F577),"x","")</f>
        <v/>
      </c>
      <c r="AG577" s="66" t="str">
        <f>IF(AND(N577="1521",MONTH(C577)='BK NL'!$M$11),"x","")</f>
        <v/>
      </c>
    </row>
    <row r="578" spans="1:33" ht="15.75" hidden="1" customHeight="1">
      <c r="A578" s="397" t="str">
        <f>IF(B578&lt;&gt;"",IF(AND(B578&gt;=_TM1,B578&lt;=_TM2,OR(TH!N578="1111",TH!O578="1111")),TH!D578,""),"")</f>
        <v/>
      </c>
      <c r="B578" s="63" t="str">
        <f t="shared" si="56"/>
        <v/>
      </c>
      <c r="C578" s="64"/>
      <c r="D578" s="64"/>
      <c r="E578" s="64"/>
      <c r="F578" s="67"/>
      <c r="G578" s="361"/>
      <c r="H578" s="74"/>
      <c r="I578" s="514"/>
      <c r="J578" s="514"/>
      <c r="K578" s="506"/>
      <c r="L578" s="514"/>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57"/>
        <v/>
      </c>
      <c r="AD578" s="66" t="str">
        <f>IF(AND(MONTH(E578)='IN-NX'!$J$5,'IN-NX'!$D$7=D578,OR(LEFT(TH!N578,2)="15",LEFT(TH!O578,2)="15")),"x","")</f>
        <v/>
      </c>
      <c r="AE578" s="66" t="str">
        <f>IF(AND(OR(LEFT(TH!N578,2)="15",LEFT(TH!O578,2)="15"),'152-CT'!$J$8=TH!F578),"x","")</f>
        <v/>
      </c>
      <c r="AF578" s="66" t="str">
        <f>IF(AND(OR(LEFT(TH!N578,2)="15",LEFT(TH!O578,2)="15"),'THE KHO'!$E$7=TH!F578),"x","")</f>
        <v/>
      </c>
      <c r="AG578" s="66" t="str">
        <f>IF(AND(N578="1521",MONTH(C578)='BK NL'!$M$11),"x","")</f>
        <v/>
      </c>
    </row>
    <row r="579" spans="1:33" ht="15.75" hidden="1" customHeight="1">
      <c r="A579" s="397" t="str">
        <f>IF(B579&lt;&gt;"",IF(AND(B579&gt;=_TM1,B579&lt;=_TM2,OR(TH!N579="1111",TH!O579="1111")),TH!D579,""),"")</f>
        <v/>
      </c>
      <c r="B579" s="63" t="str">
        <f t="shared" si="56"/>
        <v/>
      </c>
      <c r="C579" s="64"/>
      <c r="D579" s="64"/>
      <c r="E579" s="64"/>
      <c r="F579" s="67"/>
      <c r="G579" s="361"/>
      <c r="H579" s="74"/>
      <c r="I579" s="514"/>
      <c r="J579" s="514"/>
      <c r="K579" s="506"/>
      <c r="L579" s="514"/>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57"/>
        <v/>
      </c>
      <c r="AD579" s="66" t="str">
        <f>IF(AND(MONTH(E579)='IN-NX'!$J$5,'IN-NX'!$D$7=D579,OR(LEFT(TH!N579,2)="15",LEFT(TH!O579,2)="15")),"x","")</f>
        <v/>
      </c>
      <c r="AE579" s="66" t="str">
        <f>IF(AND(OR(LEFT(TH!N579,2)="15",LEFT(TH!O579,2)="15"),'152-CT'!$J$8=TH!F579),"x","")</f>
        <v/>
      </c>
      <c r="AF579" s="66" t="str">
        <f>IF(AND(OR(LEFT(TH!N579,2)="15",LEFT(TH!O579,2)="15"),'THE KHO'!$E$7=TH!F579),"x","")</f>
        <v/>
      </c>
      <c r="AG579" s="66" t="str">
        <f>IF(AND(N579="1521",MONTH(C579)='BK NL'!$M$11),"x","")</f>
        <v/>
      </c>
    </row>
    <row r="580" spans="1:33" ht="15.75" hidden="1" customHeight="1">
      <c r="A580" s="397" t="str">
        <f>IF(B580&lt;&gt;"",IF(AND(B580&gt;=_TM1,B580&lt;=_TM2,OR(TH!N580="1111",TH!O580="1111")),TH!D580,""),"")</f>
        <v/>
      </c>
      <c r="B580" s="63" t="str">
        <f t="shared" si="56"/>
        <v/>
      </c>
      <c r="C580" s="64"/>
      <c r="D580" s="64"/>
      <c r="E580" s="64"/>
      <c r="F580" s="67"/>
      <c r="G580" s="361"/>
      <c r="H580" s="74"/>
      <c r="I580" s="514"/>
      <c r="J580" s="514"/>
      <c r="K580" s="506"/>
      <c r="L580" s="514"/>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57"/>
        <v/>
      </c>
      <c r="AD580" s="66" t="str">
        <f>IF(AND(MONTH(E580)='IN-NX'!$J$5,'IN-NX'!$D$7=D580,OR(LEFT(TH!N580,2)="15",LEFT(TH!O580,2)="15")),"x","")</f>
        <v/>
      </c>
      <c r="AE580" s="66" t="str">
        <f>IF(AND(OR(LEFT(TH!N580,2)="15",LEFT(TH!O580,2)="15"),'152-CT'!$J$8=TH!F580),"x","")</f>
        <v/>
      </c>
      <c r="AF580" s="66" t="str">
        <f>IF(AND(OR(LEFT(TH!N580,2)="15",LEFT(TH!O580,2)="15"),'THE KHO'!$E$7=TH!F580),"x","")</f>
        <v/>
      </c>
      <c r="AG580" s="66" t="str">
        <f>IF(AND(N580="1521",MONTH(C580)='BK NL'!$M$11),"x","")</f>
        <v/>
      </c>
    </row>
    <row r="581" spans="1:33" s="410" customFormat="1" ht="15.75" hidden="1" customHeight="1">
      <c r="A581" s="397" t="str">
        <f>IF(B581&lt;&gt;"",IF(AND(B581&gt;=_TM1,B581&lt;=_TM2,OR(TH!N581="1111",TH!O581="1111")),TH!D581,""),"")</f>
        <v/>
      </c>
      <c r="B581" s="63" t="str">
        <f t="shared" si="56"/>
        <v/>
      </c>
      <c r="C581" s="64"/>
      <c r="D581" s="64"/>
      <c r="E581" s="64"/>
      <c r="F581" s="67"/>
      <c r="G581" s="375"/>
      <c r="H581" s="74"/>
      <c r="I581" s="514"/>
      <c r="J581" s="514"/>
      <c r="K581" s="506"/>
      <c r="L581" s="514"/>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57"/>
        <v/>
      </c>
      <c r="AD581" s="66" t="str">
        <f>IF(AND(MONTH(E581)='IN-NX'!$J$5,'IN-NX'!$D$7=D581,OR(LEFT(TH!N581,2)="15",LEFT(TH!O581,2)="15")),"x","")</f>
        <v/>
      </c>
      <c r="AE581" s="66" t="str">
        <f>IF(AND(OR(LEFT(TH!N581,2)="15",LEFT(TH!O581,2)="15"),'152-CT'!$J$8=TH!F581),"x","")</f>
        <v/>
      </c>
      <c r="AF581" s="66" t="str">
        <f>IF(AND(OR(LEFT(TH!N581,2)="15",LEFT(TH!O581,2)="15"),'THE KHO'!$E$7=TH!F581),"x","")</f>
        <v/>
      </c>
      <c r="AG581" s="66" t="str">
        <f>IF(AND(N581="1521",MONTH(C581)='BK NL'!$M$11),"x","")</f>
        <v/>
      </c>
    </row>
    <row r="582" spans="1:33" ht="15.75" hidden="1" customHeight="1">
      <c r="A582" s="397" t="str">
        <f>IF(B582&lt;&gt;"",IF(AND(B582&gt;=_TM1,B582&lt;=_TM2,OR(TH!N582="1111",TH!O582="1111")),TH!D582,""),"")</f>
        <v/>
      </c>
      <c r="B582" s="63" t="str">
        <f t="shared" si="56"/>
        <v/>
      </c>
      <c r="C582" s="64"/>
      <c r="D582" s="64"/>
      <c r="E582" s="64"/>
      <c r="F582" s="67"/>
      <c r="G582" s="375"/>
      <c r="H582" s="74"/>
      <c r="I582" s="514"/>
      <c r="J582" s="514"/>
      <c r="K582" s="506"/>
      <c r="L582" s="514"/>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57"/>
        <v/>
      </c>
      <c r="AD582" s="66" t="str">
        <f>IF(AND(MONTH(E582)='IN-NX'!$J$5,'IN-NX'!$D$7=D582,OR(LEFT(TH!N582,2)="15",LEFT(TH!O582,2)="15")),"x","")</f>
        <v/>
      </c>
      <c r="AE582" s="66" t="str">
        <f>IF(AND(OR(LEFT(TH!N582,2)="15",LEFT(TH!O582,2)="15"),'152-CT'!$J$8=TH!F582),"x","")</f>
        <v/>
      </c>
      <c r="AF582" s="66" t="str">
        <f>IF(AND(OR(LEFT(TH!N582,2)="15",LEFT(TH!O582,2)="15"),'THE KHO'!$E$7=TH!F582),"x","")</f>
        <v/>
      </c>
      <c r="AG582" s="66" t="str">
        <f>IF(AND(N582="1521",MONTH(C582)='BK NL'!$M$11),"x","")</f>
        <v/>
      </c>
    </row>
    <row r="583" spans="1:33" ht="15.75" hidden="1" customHeight="1">
      <c r="A583" s="397" t="str">
        <f>IF(B583&lt;&gt;"",IF(AND(B583&gt;=_TM1,B583&lt;=_TM2,OR(TH!N583="1111",TH!O583="1111")),TH!D583,""),"")</f>
        <v/>
      </c>
      <c r="B583" s="63" t="str">
        <f t="shared" si="56"/>
        <v/>
      </c>
      <c r="C583" s="64"/>
      <c r="D583" s="64"/>
      <c r="E583" s="64"/>
      <c r="F583" s="67"/>
      <c r="G583" s="361"/>
      <c r="H583" s="74"/>
      <c r="I583" s="514"/>
      <c r="J583" s="514"/>
      <c r="K583" s="506"/>
      <c r="L583" s="514"/>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57"/>
        <v/>
      </c>
      <c r="AD583" s="66" t="str">
        <f>IF(AND(MONTH(E583)='IN-NX'!$J$5,'IN-NX'!$D$7=D583,OR(LEFT(TH!N583,2)="15",LEFT(TH!O583,2)="15")),"x","")</f>
        <v/>
      </c>
      <c r="AE583" s="66" t="str">
        <f>IF(AND(OR(LEFT(TH!N583,2)="15",LEFT(TH!O583,2)="15"),'152-CT'!$J$8=TH!F583),"x","")</f>
        <v/>
      </c>
      <c r="AF583" s="66" t="str">
        <f>IF(AND(OR(LEFT(TH!N583,2)="15",LEFT(TH!O583,2)="15"),'THE KHO'!$E$7=TH!F583),"x","")</f>
        <v/>
      </c>
      <c r="AG583" s="66" t="str">
        <f>IF(AND(N583="1521",MONTH(C583)='BK NL'!$M$11),"x","")</f>
        <v/>
      </c>
    </row>
    <row r="584" spans="1:33" ht="15.75" hidden="1" customHeight="1">
      <c r="A584" s="397" t="str">
        <f>IF(B584&lt;&gt;"",IF(AND(B584&gt;=_TM1,B584&lt;=_TM2,OR(TH!N584="1111",TH!O584="1111")),TH!D584,""),"")</f>
        <v/>
      </c>
      <c r="B584" s="63" t="str">
        <f t="shared" si="56"/>
        <v/>
      </c>
      <c r="C584" s="64"/>
      <c r="D584" s="64"/>
      <c r="E584" s="64"/>
      <c r="F584" s="67"/>
      <c r="G584" s="361"/>
      <c r="H584" s="74"/>
      <c r="I584" s="514"/>
      <c r="J584" s="514"/>
      <c r="K584" s="506"/>
      <c r="L584" s="514"/>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57"/>
        <v/>
      </c>
      <c r="AD584" s="66" t="str">
        <f>IF(AND(MONTH(E584)='IN-NX'!$J$5,'IN-NX'!$D$7=D584,OR(LEFT(TH!N584,2)="15",LEFT(TH!O584,2)="15")),"x","")</f>
        <v/>
      </c>
      <c r="AE584" s="66" t="str">
        <f>IF(AND(OR(LEFT(TH!N584,2)="15",LEFT(TH!O584,2)="15"),'152-CT'!$J$8=TH!F584),"x","")</f>
        <v/>
      </c>
      <c r="AF584" s="66" t="str">
        <f>IF(AND(OR(LEFT(TH!N584,2)="15",LEFT(TH!O584,2)="15"),'THE KHO'!$E$7=TH!F584),"x","")</f>
        <v/>
      </c>
      <c r="AG584" s="66" t="str">
        <f>IF(AND(N584="1521",MONTH(C584)='BK NL'!$M$11),"x","")</f>
        <v/>
      </c>
    </row>
    <row r="585" spans="1:33" ht="15.75" hidden="1" customHeight="1">
      <c r="A585" s="397" t="str">
        <f>IF(B585&lt;&gt;"",IF(AND(B585&gt;=_TM1,B585&lt;=_TM2,OR(TH!N585="1111",TH!O585="1111")),TH!D585,""),"")</f>
        <v/>
      </c>
      <c r="B585" s="63" t="str">
        <f t="shared" si="56"/>
        <v/>
      </c>
      <c r="C585" s="64"/>
      <c r="D585" s="64"/>
      <c r="E585" s="64"/>
      <c r="F585" s="67"/>
      <c r="G585" s="361"/>
      <c r="H585" s="74"/>
      <c r="I585" s="514"/>
      <c r="J585" s="514"/>
      <c r="K585" s="506"/>
      <c r="L585" s="514"/>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57"/>
        <v/>
      </c>
      <c r="AD585" s="66" t="str">
        <f>IF(AND(MONTH(E585)='IN-NX'!$J$5,'IN-NX'!$D$7=D585,OR(LEFT(TH!N585,2)="15",LEFT(TH!O585,2)="15")),"x","")</f>
        <v/>
      </c>
      <c r="AE585" s="66" t="str">
        <f>IF(AND(OR(LEFT(TH!N585,2)="15",LEFT(TH!O585,2)="15"),'152-CT'!$J$8=TH!F585),"x","")</f>
        <v/>
      </c>
      <c r="AF585" s="66" t="str">
        <f>IF(AND(OR(LEFT(TH!N585,2)="15",LEFT(TH!O585,2)="15"),'THE KHO'!$E$7=TH!F585),"x","")</f>
        <v/>
      </c>
      <c r="AG585" s="66" t="str">
        <f>IF(AND(N585="1521",MONTH(C585)='BK NL'!$M$11),"x","")</f>
        <v/>
      </c>
    </row>
    <row r="586" spans="1:33" ht="15.75" hidden="1" customHeight="1">
      <c r="A586" s="397" t="str">
        <f>IF(B586&lt;&gt;"",IF(AND(B586&gt;=_TM1,B586&lt;=_TM2,OR(TH!N586="1111",TH!O586="1111")),TH!D586,""),"")</f>
        <v/>
      </c>
      <c r="B586" s="63" t="str">
        <f t="shared" si="56"/>
        <v/>
      </c>
      <c r="C586" s="64"/>
      <c r="D586" s="64"/>
      <c r="E586" s="64"/>
      <c r="F586" s="67"/>
      <c r="G586" s="375"/>
      <c r="H586" s="74"/>
      <c r="I586" s="514"/>
      <c r="J586" s="514"/>
      <c r="K586" s="506"/>
      <c r="L586" s="514"/>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57"/>
        <v/>
      </c>
      <c r="AD586" s="66" t="str">
        <f>IF(AND(MONTH(E586)='IN-NX'!$J$5,'IN-NX'!$D$7=D586,OR(LEFT(TH!N586,2)="15",LEFT(TH!O586,2)="15")),"x","")</f>
        <v/>
      </c>
      <c r="AE586" s="66" t="str">
        <f>IF(AND(OR(LEFT(TH!N586,2)="15",LEFT(TH!O586,2)="15"),'152-CT'!$J$8=TH!F586),"x","")</f>
        <v/>
      </c>
      <c r="AF586" s="66" t="str">
        <f>IF(AND(OR(LEFT(TH!N586,2)="15",LEFT(TH!O586,2)="15"),'THE KHO'!$E$7=TH!F586),"x","")</f>
        <v/>
      </c>
      <c r="AG586" s="66" t="str">
        <f>IF(AND(N586="1521",MONTH(C586)='BK NL'!$M$11),"x","")</f>
        <v/>
      </c>
    </row>
    <row r="587" spans="1:33" ht="15.75" hidden="1" customHeight="1">
      <c r="A587" s="397" t="str">
        <f>IF(B587&lt;&gt;"",IF(AND(B587&gt;=_TM1,B587&lt;=_TM2,OR(TH!N587="1111",TH!O587="1111")),TH!D587,""),"")</f>
        <v/>
      </c>
      <c r="B587" s="63" t="str">
        <f t="shared" si="56"/>
        <v/>
      </c>
      <c r="C587" s="64"/>
      <c r="D587" s="64"/>
      <c r="E587" s="64"/>
      <c r="F587" s="67"/>
      <c r="G587" s="375"/>
      <c r="H587" s="74"/>
      <c r="I587" s="514"/>
      <c r="J587" s="514"/>
      <c r="K587" s="506"/>
      <c r="L587" s="514"/>
      <c r="M587" s="65"/>
      <c r="N587" s="66"/>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57"/>
        <v/>
      </c>
      <c r="AD587" s="66" t="str">
        <f>IF(AND(MONTH(E587)='IN-NX'!$J$5,'IN-NX'!$D$7=D587,OR(LEFT(TH!N587,2)="15",LEFT(TH!O587,2)="15")),"x","")</f>
        <v/>
      </c>
      <c r="AE587" s="66" t="str">
        <f>IF(AND(OR(LEFT(TH!N587,2)="15",LEFT(TH!O587,2)="15"),'152-CT'!$J$8=TH!F587),"x","")</f>
        <v/>
      </c>
      <c r="AF587" s="66" t="str">
        <f>IF(AND(OR(LEFT(TH!N587,2)="15",LEFT(TH!O587,2)="15"),'THE KHO'!$E$7=TH!F587),"x","")</f>
        <v/>
      </c>
      <c r="AG587" s="66" t="str">
        <f>IF(AND(N587="1521",MONTH(C587)='BK NL'!$M$11),"x","")</f>
        <v/>
      </c>
    </row>
    <row r="588" spans="1:33" ht="15.75" hidden="1" customHeight="1">
      <c r="A588" s="397" t="str">
        <f>IF(B588&lt;&gt;"",IF(AND(B588&gt;=_TM1,B588&lt;=_TM2,OR(TH!N588="1111",TH!O588="1111")),TH!D588,""),"")</f>
        <v/>
      </c>
      <c r="B588" s="63" t="str">
        <f t="shared" si="56"/>
        <v/>
      </c>
      <c r="C588" s="64"/>
      <c r="D588" s="64"/>
      <c r="E588" s="64"/>
      <c r="F588" s="67"/>
      <c r="G588" s="375"/>
      <c r="H588" s="74"/>
      <c r="I588" s="514"/>
      <c r="J588" s="514"/>
      <c r="K588" s="506"/>
      <c r="L588" s="514"/>
      <c r="M588" s="65"/>
      <c r="N588" s="66"/>
      <c r="O588" s="6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57"/>
        <v/>
      </c>
      <c r="AD588" s="66" t="str">
        <f>IF(AND(MONTH(E588)='IN-NX'!$J$5,'IN-NX'!$D$7=D588,OR(LEFT(TH!N588,2)="15",LEFT(TH!O588,2)="15")),"x","")</f>
        <v/>
      </c>
      <c r="AE588" s="66" t="str">
        <f>IF(AND(OR(LEFT(TH!N588,2)="15",LEFT(TH!O588,2)="15"),'152-CT'!$J$8=TH!F588),"x","")</f>
        <v/>
      </c>
      <c r="AF588" s="66" t="str">
        <f>IF(AND(OR(LEFT(TH!N588,2)="15",LEFT(TH!O588,2)="15"),'THE KHO'!$E$7=TH!F588),"x","")</f>
        <v/>
      </c>
      <c r="AG588" s="66" t="str">
        <f>IF(AND(N588="1521",MONTH(C588)='BK NL'!$M$11),"x","")</f>
        <v/>
      </c>
    </row>
    <row r="589" spans="1:33" ht="15.75" hidden="1" customHeight="1">
      <c r="A589" s="397" t="str">
        <f>IF(B589&lt;&gt;"",IF(AND(B589&gt;=_TM1,B589&lt;=_TM2,OR(TH!N589="1111",TH!O589="1111")),TH!D589,""),"")</f>
        <v/>
      </c>
      <c r="B589" s="63" t="str">
        <f t="shared" ref="B589:B652" si="58">IF(C589&lt;&gt;"",MONTH(C589),"")</f>
        <v/>
      </c>
      <c r="C589" s="64"/>
      <c r="D589" s="64"/>
      <c r="E589" s="64"/>
      <c r="F589" s="67"/>
      <c r="G589" s="375"/>
      <c r="H589" s="74"/>
      <c r="I589" s="514"/>
      <c r="J589" s="514"/>
      <c r="K589" s="506"/>
      <c r="L589" s="514"/>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57"/>
        <v/>
      </c>
      <c r="AD589" s="66" t="str">
        <f>IF(AND(MONTH(E589)='IN-NX'!$J$5,'IN-NX'!$D$7=D589,OR(LEFT(TH!N589,2)="15",LEFT(TH!O589,2)="15")),"x","")</f>
        <v/>
      </c>
      <c r="AE589" s="66" t="str">
        <f>IF(AND(OR(LEFT(TH!N589,2)="15",LEFT(TH!O589,2)="15"),'152-CT'!$J$8=TH!F589),"x","")</f>
        <v/>
      </c>
      <c r="AF589" s="66" t="str">
        <f>IF(AND(OR(LEFT(TH!N589,2)="15",LEFT(TH!O589,2)="15"),'THE KHO'!$E$7=TH!F589),"x","")</f>
        <v/>
      </c>
      <c r="AG589" s="66" t="str">
        <f>IF(AND(N589="1521",MONTH(C589)='BK NL'!$M$11),"x","")</f>
        <v/>
      </c>
    </row>
    <row r="590" spans="1:33" ht="15.75" hidden="1" customHeight="1">
      <c r="A590" s="397" t="str">
        <f>IF(B590&lt;&gt;"",IF(AND(B590&gt;=_TM1,B590&lt;=_TM2,OR(TH!N590="1111",TH!O590="1111")),TH!D590,""),"")</f>
        <v/>
      </c>
      <c r="B590" s="63" t="str">
        <f t="shared" si="58"/>
        <v/>
      </c>
      <c r="C590" s="64"/>
      <c r="D590" s="64"/>
      <c r="E590" s="64"/>
      <c r="F590" s="67"/>
      <c r="G590" s="361"/>
      <c r="H590" s="74"/>
      <c r="I590" s="514"/>
      <c r="J590" s="514"/>
      <c r="K590" s="506"/>
      <c r="L590" s="514"/>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57"/>
        <v/>
      </c>
      <c r="AD590" s="66" t="str">
        <f>IF(AND(MONTH(E590)='IN-NX'!$J$5,'IN-NX'!$D$7=D590,OR(LEFT(TH!N590,2)="15",LEFT(TH!O590,2)="15")),"x","")</f>
        <v/>
      </c>
      <c r="AE590" s="66" t="str">
        <f>IF(AND(OR(LEFT(TH!N590,2)="15",LEFT(TH!O590,2)="15"),'152-CT'!$J$8=TH!F590),"x","")</f>
        <v/>
      </c>
      <c r="AF590" s="66" t="str">
        <f>IF(AND(OR(LEFT(TH!N590,2)="15",LEFT(TH!O590,2)="15"),'THE KHO'!$E$7=TH!F590),"x","")</f>
        <v/>
      </c>
      <c r="AG590" s="66" t="str">
        <f>IF(AND(N590="1521",MONTH(C590)='BK NL'!$M$11),"x","")</f>
        <v/>
      </c>
    </row>
    <row r="591" spans="1:33" ht="15.75" hidden="1" customHeight="1">
      <c r="A591" s="397" t="str">
        <f>IF(B591&lt;&gt;"",IF(AND(B591&gt;=_TM1,B591&lt;=_TM2,OR(TH!N591="1111",TH!O591="1111")),TH!D591,""),"")</f>
        <v/>
      </c>
      <c r="B591" s="63" t="str">
        <f t="shared" si="58"/>
        <v/>
      </c>
      <c r="C591" s="64"/>
      <c r="D591" s="64"/>
      <c r="E591" s="64"/>
      <c r="F591" s="67"/>
      <c r="G591" s="361"/>
      <c r="H591" s="74"/>
      <c r="I591" s="514"/>
      <c r="J591" s="514"/>
      <c r="K591" s="506"/>
      <c r="L591" s="514"/>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57"/>
        <v/>
      </c>
      <c r="AD591" s="66" t="str">
        <f>IF(AND(MONTH(E591)='IN-NX'!$J$5,'IN-NX'!$D$7=D591,OR(LEFT(TH!N591,2)="15",LEFT(TH!O591,2)="15")),"x","")</f>
        <v/>
      </c>
      <c r="AE591" s="66" t="str">
        <f>IF(AND(OR(LEFT(TH!N591,2)="15",LEFT(TH!O591,2)="15"),'152-CT'!$J$8=TH!F591),"x","")</f>
        <v/>
      </c>
      <c r="AF591" s="66" t="str">
        <f>IF(AND(OR(LEFT(TH!N591,2)="15",LEFT(TH!O591,2)="15"),'THE KHO'!$E$7=TH!F591),"x","")</f>
        <v/>
      </c>
      <c r="AG591" s="66" t="str">
        <f>IF(AND(N591="1521",MONTH(C591)='BK NL'!$M$11),"x","")</f>
        <v/>
      </c>
    </row>
    <row r="592" spans="1:33" ht="15.75" hidden="1" customHeight="1">
      <c r="A592" s="397" t="str">
        <f>IF(B592&lt;&gt;"",IF(AND(B592&gt;=_TM1,B592&lt;=_TM2,OR(TH!N592="1111",TH!O592="1111")),TH!D592,""),"")</f>
        <v/>
      </c>
      <c r="B592" s="63" t="str">
        <f t="shared" si="58"/>
        <v/>
      </c>
      <c r="C592" s="64"/>
      <c r="D592" s="64"/>
      <c r="E592" s="64"/>
      <c r="F592" s="67"/>
      <c r="G592" s="361"/>
      <c r="H592" s="74"/>
      <c r="I592" s="514"/>
      <c r="J592" s="514"/>
      <c r="K592" s="506"/>
      <c r="L592" s="514"/>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57"/>
        <v/>
      </c>
      <c r="AD592" s="66" t="str">
        <f>IF(AND(MONTH(E592)='IN-NX'!$J$5,'IN-NX'!$D$7=D592,OR(LEFT(TH!N592,2)="15",LEFT(TH!O592,2)="15")),"x","")</f>
        <v/>
      </c>
      <c r="AE592" s="66" t="str">
        <f>IF(AND(OR(LEFT(TH!N592,2)="15",LEFT(TH!O592,2)="15"),'152-CT'!$J$8=TH!F592),"x","")</f>
        <v/>
      </c>
      <c r="AF592" s="66" t="str">
        <f>IF(AND(OR(LEFT(TH!N592,2)="15",LEFT(TH!O592,2)="15"),'THE KHO'!$E$7=TH!F592),"x","")</f>
        <v/>
      </c>
      <c r="AG592" s="66" t="str">
        <f>IF(AND(N592="1521",MONTH(C592)='BK NL'!$M$11),"x","")</f>
        <v/>
      </c>
    </row>
    <row r="593" spans="1:33" ht="15.75" hidden="1" customHeight="1">
      <c r="A593" s="397" t="str">
        <f>IF(B593&lt;&gt;"",IF(AND(B593&gt;=_TM1,B593&lt;=_TM2,OR(TH!N593="1111",TH!O593="1111")),TH!D593,""),"")</f>
        <v/>
      </c>
      <c r="B593" s="63" t="str">
        <f t="shared" si="58"/>
        <v/>
      </c>
      <c r="C593" s="64"/>
      <c r="D593" s="64"/>
      <c r="E593" s="64"/>
      <c r="F593" s="67"/>
      <c r="G593" s="375"/>
      <c r="H593" s="74"/>
      <c r="I593" s="514"/>
      <c r="J593" s="514"/>
      <c r="K593" s="506"/>
      <c r="L593" s="514"/>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57"/>
        <v/>
      </c>
      <c r="AD593" s="66" t="str">
        <f>IF(AND(MONTH(E593)='IN-NX'!$J$5,'IN-NX'!$D$7=D593,OR(LEFT(TH!N593,2)="15",LEFT(TH!O593,2)="15")),"x","")</f>
        <v/>
      </c>
      <c r="AE593" s="66" t="str">
        <f>IF(AND(OR(LEFT(TH!N593,2)="15",LEFT(TH!O593,2)="15"),'152-CT'!$J$8=TH!F593),"x","")</f>
        <v/>
      </c>
      <c r="AF593" s="66" t="str">
        <f>IF(AND(OR(LEFT(TH!N593,2)="15",LEFT(TH!O593,2)="15"),'THE KHO'!$E$7=TH!F593),"x","")</f>
        <v/>
      </c>
      <c r="AG593" s="66" t="str">
        <f>IF(AND(N593="1521",MONTH(C593)='BK NL'!$M$11),"x","")</f>
        <v/>
      </c>
    </row>
    <row r="594" spans="1:33" ht="15.75" hidden="1" customHeight="1">
      <c r="A594" s="397" t="str">
        <f>IF(B594&lt;&gt;"",IF(AND(B594&gt;=_TM1,B594&lt;=_TM2,OR(TH!N594="1111",TH!O594="1111")),TH!D594,""),"")</f>
        <v/>
      </c>
      <c r="B594" s="63" t="str">
        <f t="shared" si="58"/>
        <v/>
      </c>
      <c r="C594" s="64"/>
      <c r="D594" s="64"/>
      <c r="E594" s="64"/>
      <c r="F594" s="67"/>
      <c r="G594" s="375"/>
      <c r="H594" s="74"/>
      <c r="I594" s="514"/>
      <c r="J594" s="514"/>
      <c r="K594" s="506"/>
      <c r="L594" s="514"/>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ref="AC594:AC610" si="59">IF(AND(1&lt;=$B594,$B594&lt;=3),"1",IF(AND(4&lt;=$B594,$B594&lt;=6),"2",IF(AND(7&lt;=$B594,$B594&lt;=9),"3",IF(AND(10&lt;=$B594,$B594&lt;=12),"4",""))))</f>
        <v/>
      </c>
      <c r="AD594" s="66" t="str">
        <f>IF(AND(MONTH(E594)='IN-NX'!$J$5,'IN-NX'!$D$7=D594,OR(LEFT(TH!N594,2)="15",LEFT(TH!O594,2)="15")),"x","")</f>
        <v/>
      </c>
      <c r="AE594" s="66" t="str">
        <f>IF(AND(OR(LEFT(TH!N594,2)="15",LEFT(TH!O594,2)="15"),'152-CT'!$J$8=TH!F594),"x","")</f>
        <v/>
      </c>
      <c r="AF594" s="66" t="str">
        <f>IF(AND(OR(LEFT(TH!N594,2)="15",LEFT(TH!O594,2)="15"),'THE KHO'!$E$7=TH!F594),"x","")</f>
        <v/>
      </c>
      <c r="AG594" s="66" t="str">
        <f>IF(AND(N594="1521",MONTH(C594)='BK NL'!$M$11),"x","")</f>
        <v/>
      </c>
    </row>
    <row r="595" spans="1:33" ht="15.75" hidden="1" customHeight="1">
      <c r="A595" s="397" t="str">
        <f>IF(B595&lt;&gt;"",IF(AND(B595&gt;=_TM1,B595&lt;=_TM2,OR(TH!N595="1111",TH!O595="1111")),TH!D595,""),"")</f>
        <v/>
      </c>
      <c r="B595" s="63" t="str">
        <f t="shared" si="58"/>
        <v/>
      </c>
      <c r="C595" s="64"/>
      <c r="D595" s="64"/>
      <c r="E595" s="64"/>
      <c r="F595" s="67"/>
      <c r="G595" s="375"/>
      <c r="H595" s="74"/>
      <c r="I595" s="514"/>
      <c r="J595" s="514"/>
      <c r="K595" s="506"/>
      <c r="L595" s="514"/>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59"/>
        <v/>
      </c>
      <c r="AD595" s="66" t="str">
        <f>IF(AND(MONTH(E595)='IN-NX'!$J$5,'IN-NX'!$D$7=D595,OR(LEFT(TH!N595,2)="15",LEFT(TH!O595,2)="15")),"x","")</f>
        <v/>
      </c>
      <c r="AE595" s="66" t="str">
        <f>IF(AND(OR(LEFT(TH!N595,2)="15",LEFT(TH!O595,2)="15"),'152-CT'!$J$8=TH!F595),"x","")</f>
        <v/>
      </c>
      <c r="AF595" s="66" t="str">
        <f>IF(AND(OR(LEFT(TH!N595,2)="15",LEFT(TH!O595,2)="15"),'THE KHO'!$E$7=TH!F595),"x","")</f>
        <v/>
      </c>
      <c r="AG595" s="66" t="str">
        <f>IF(AND(N595="1521",MONTH(C595)='BK NL'!$M$11),"x","")</f>
        <v/>
      </c>
    </row>
    <row r="596" spans="1:33" ht="15.75" hidden="1" customHeight="1">
      <c r="A596" s="397" t="str">
        <f>IF(B596&lt;&gt;"",IF(AND(B596&gt;=_TM1,B596&lt;=_TM2,OR(TH!N596="1111",TH!O596="1111")),TH!D596,""),"")</f>
        <v/>
      </c>
      <c r="B596" s="63" t="str">
        <f t="shared" si="58"/>
        <v/>
      </c>
      <c r="C596" s="64"/>
      <c r="D596" s="64"/>
      <c r="E596" s="64"/>
      <c r="F596" s="67"/>
      <c r="G596" s="375"/>
      <c r="H596" s="74"/>
      <c r="I596" s="514"/>
      <c r="J596" s="514"/>
      <c r="K596" s="506"/>
      <c r="L596" s="514"/>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59"/>
        <v/>
      </c>
      <c r="AD596" s="66" t="str">
        <f>IF(AND(MONTH(E596)='IN-NX'!$J$5,'IN-NX'!$D$7=D596,OR(LEFT(TH!N596,2)="15",LEFT(TH!O596,2)="15")),"x","")</f>
        <v/>
      </c>
      <c r="AE596" s="66" t="str">
        <f>IF(AND(OR(LEFT(TH!N596,2)="15",LEFT(TH!O596,2)="15"),'152-CT'!$J$8=TH!F596),"x","")</f>
        <v/>
      </c>
      <c r="AF596" s="66" t="str">
        <f>IF(AND(OR(LEFT(TH!N596,2)="15",LEFT(TH!O596,2)="15"),'THE KHO'!$E$7=TH!F596),"x","")</f>
        <v/>
      </c>
      <c r="AG596" s="66" t="str">
        <f>IF(AND(N596="1521",MONTH(C596)='BK NL'!$M$11),"x","")</f>
        <v/>
      </c>
    </row>
    <row r="597" spans="1:33" ht="15.75" hidden="1" customHeight="1">
      <c r="A597" s="397" t="str">
        <f>IF(B597&lt;&gt;"",IF(AND(B597&gt;=_TM1,B597&lt;=_TM2,OR(TH!N597="1111",TH!O597="1111")),TH!D597,""),"")</f>
        <v/>
      </c>
      <c r="B597" s="63" t="str">
        <f t="shared" si="58"/>
        <v/>
      </c>
      <c r="C597" s="64"/>
      <c r="D597" s="64"/>
      <c r="E597" s="64"/>
      <c r="F597" s="67"/>
      <c r="G597" s="361"/>
      <c r="H597" s="74"/>
      <c r="I597" s="514"/>
      <c r="J597" s="514"/>
      <c r="K597" s="506"/>
      <c r="L597" s="514"/>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59"/>
        <v/>
      </c>
      <c r="AD597" s="66" t="str">
        <f>IF(AND(MONTH(E597)='IN-NX'!$J$5,'IN-NX'!$D$7=D597,OR(LEFT(TH!N597,2)="15",LEFT(TH!O597,2)="15")),"x","")</f>
        <v/>
      </c>
      <c r="AE597" s="66" t="str">
        <f>IF(AND(OR(LEFT(TH!N597,2)="15",LEFT(TH!O597,2)="15"),'152-CT'!$J$8=TH!F597),"x","")</f>
        <v/>
      </c>
      <c r="AF597" s="66" t="str">
        <f>IF(AND(OR(LEFT(TH!N597,2)="15",LEFT(TH!O597,2)="15"),'THE KHO'!$E$7=TH!F597),"x","")</f>
        <v/>
      </c>
      <c r="AG597" s="66" t="str">
        <f>IF(AND(N597="1521",MONTH(C597)='BK NL'!$M$11),"x","")</f>
        <v/>
      </c>
    </row>
    <row r="598" spans="1:33" ht="15.75" hidden="1" customHeight="1">
      <c r="A598" s="397" t="str">
        <f>IF(B598&lt;&gt;"",IF(AND(B598&gt;=_TM1,B598&lt;=_TM2,OR(TH!N598="1111",TH!O598="1111")),TH!D598,""),"")</f>
        <v/>
      </c>
      <c r="B598" s="63" t="str">
        <f t="shared" si="58"/>
        <v/>
      </c>
      <c r="C598" s="64"/>
      <c r="D598" s="64"/>
      <c r="E598" s="64"/>
      <c r="F598" s="67"/>
      <c r="G598" s="361"/>
      <c r="H598" s="74"/>
      <c r="I598" s="514"/>
      <c r="J598" s="514"/>
      <c r="K598" s="506"/>
      <c r="L598" s="514"/>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si="59"/>
        <v/>
      </c>
      <c r="AD598" s="66" t="str">
        <f>IF(AND(MONTH(E598)='IN-NX'!$J$5,'IN-NX'!$D$7=D598,OR(LEFT(TH!N598,2)="15",LEFT(TH!O598,2)="15")),"x","")</f>
        <v/>
      </c>
      <c r="AE598" s="66" t="str">
        <f>IF(AND(OR(LEFT(TH!N598,2)="15",LEFT(TH!O598,2)="15"),'152-CT'!$J$8=TH!F598),"x","")</f>
        <v/>
      </c>
      <c r="AF598" s="66" t="str">
        <f>IF(AND(OR(LEFT(TH!N598,2)="15",LEFT(TH!O598,2)="15"),'THE KHO'!$E$7=TH!F598),"x","")</f>
        <v/>
      </c>
      <c r="AG598" s="66" t="str">
        <f>IF(AND(N598="1521",MONTH(C598)='BK NL'!$M$11),"x","")</f>
        <v/>
      </c>
    </row>
    <row r="599" spans="1:33" ht="15.75" hidden="1" customHeight="1">
      <c r="A599" s="397" t="str">
        <f>IF(B599&lt;&gt;"",IF(AND(B599&gt;=_TM1,B599&lt;=_TM2,OR(TH!N599="1111",TH!O599="1111")),TH!D599,""),"")</f>
        <v/>
      </c>
      <c r="B599" s="63" t="str">
        <f t="shared" si="58"/>
        <v/>
      </c>
      <c r="C599" s="64"/>
      <c r="D599" s="64"/>
      <c r="E599" s="64"/>
      <c r="F599" s="67"/>
      <c r="G599" s="361"/>
      <c r="H599" s="74"/>
      <c r="I599" s="514"/>
      <c r="J599" s="514"/>
      <c r="K599" s="506"/>
      <c r="L599" s="514"/>
      <c r="M599" s="65"/>
      <c r="N599" s="66"/>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59"/>
        <v/>
      </c>
      <c r="AD599" s="66" t="str">
        <f>IF(AND(MONTH(E599)='IN-NX'!$J$5,'IN-NX'!$D$7=D599,OR(LEFT(TH!N599,2)="15",LEFT(TH!O599,2)="15")),"x","")</f>
        <v/>
      </c>
      <c r="AE599" s="66" t="str">
        <f>IF(AND(OR(LEFT(TH!N599,2)="15",LEFT(TH!O599,2)="15"),'152-CT'!$J$8=TH!F599),"x","")</f>
        <v/>
      </c>
      <c r="AF599" s="66" t="str">
        <f>IF(AND(OR(LEFT(TH!N599,2)="15",LEFT(TH!O599,2)="15"),'THE KHO'!$E$7=TH!F599),"x","")</f>
        <v/>
      </c>
      <c r="AG599" s="66" t="str">
        <f>IF(AND(N599="1521",MONTH(C599)='BK NL'!$M$11),"x","")</f>
        <v/>
      </c>
    </row>
    <row r="600" spans="1:33" ht="15.75" hidden="1" customHeight="1">
      <c r="A600" s="397" t="str">
        <f>IF(B600&lt;&gt;"",IF(AND(B600&gt;=_TM1,B600&lt;=_TM2,OR(TH!N600="1111",TH!O600="1111")),TH!D600,""),"")</f>
        <v/>
      </c>
      <c r="B600" s="63" t="str">
        <f t="shared" si="58"/>
        <v/>
      </c>
      <c r="C600" s="64"/>
      <c r="D600" s="64"/>
      <c r="E600" s="64"/>
      <c r="F600" s="67"/>
      <c r="G600" s="361"/>
      <c r="H600" s="74"/>
      <c r="I600" s="514"/>
      <c r="J600" s="514"/>
      <c r="K600" s="506"/>
      <c r="L600" s="514"/>
      <c r="M600" s="65"/>
      <c r="N600" s="66"/>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59"/>
        <v/>
      </c>
      <c r="AD600" s="66" t="str">
        <f>IF(AND(MONTH(E600)='IN-NX'!$J$5,'IN-NX'!$D$7=D600,OR(LEFT(TH!N600,2)="15",LEFT(TH!O600,2)="15")),"x","")</f>
        <v/>
      </c>
      <c r="AE600" s="66" t="str">
        <f>IF(AND(OR(LEFT(TH!N600,2)="15",LEFT(TH!O600,2)="15"),'152-CT'!$J$8=TH!F600),"x","")</f>
        <v/>
      </c>
      <c r="AF600" s="66" t="str">
        <f>IF(AND(OR(LEFT(TH!N600,2)="15",LEFT(TH!O600,2)="15"),'THE KHO'!$E$7=TH!F600),"x","")</f>
        <v/>
      </c>
      <c r="AG600" s="66" t="str">
        <f>IF(AND(N600="1521",MONTH(C600)='BK NL'!$M$11),"x","")</f>
        <v/>
      </c>
    </row>
    <row r="601" spans="1:33" ht="15.75" hidden="1" customHeight="1">
      <c r="A601" s="397" t="str">
        <f>IF(B601&lt;&gt;"",IF(AND(B601&gt;=_TM1,B601&lt;=_TM2,OR(TH!N601="1111",TH!O601="1111")),TH!D601,""),"")</f>
        <v/>
      </c>
      <c r="B601" s="63" t="str">
        <f t="shared" si="58"/>
        <v/>
      </c>
      <c r="C601" s="64"/>
      <c r="D601" s="64"/>
      <c r="E601" s="64"/>
      <c r="F601" s="67"/>
      <c r="G601" s="375"/>
      <c r="H601" s="74"/>
      <c r="I601" s="514"/>
      <c r="J601" s="514"/>
      <c r="K601" s="506"/>
      <c r="L601" s="514"/>
      <c r="M601" s="65"/>
      <c r="N601" s="66"/>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59"/>
        <v/>
      </c>
      <c r="AD601" s="66" t="str">
        <f>IF(AND(MONTH(E601)='IN-NX'!$J$5,'IN-NX'!$D$7=D601,OR(LEFT(TH!N601,2)="15",LEFT(TH!O601,2)="15")),"x","")</f>
        <v/>
      </c>
      <c r="AE601" s="66" t="str">
        <f>IF(AND(OR(LEFT(TH!N601,2)="15",LEFT(TH!O601,2)="15"),'152-CT'!$J$8=TH!F601),"x","")</f>
        <v/>
      </c>
      <c r="AF601" s="66" t="str">
        <f>IF(AND(OR(LEFT(TH!N601,2)="15",LEFT(TH!O601,2)="15"),'THE KHO'!$E$7=TH!F601),"x","")</f>
        <v/>
      </c>
      <c r="AG601" s="66" t="str">
        <f>IF(AND(N601="1521",MONTH(C601)='BK NL'!$M$11),"x","")</f>
        <v/>
      </c>
    </row>
    <row r="602" spans="1:33" ht="15.75" hidden="1" customHeight="1">
      <c r="A602" s="397" t="str">
        <f>IF(B602&lt;&gt;"",IF(AND(B602&gt;=_TM1,B602&lt;=_TM2,OR(TH!N602="1111",TH!O602="1111")),TH!D602,""),"")</f>
        <v/>
      </c>
      <c r="B602" s="63" t="str">
        <f t="shared" si="58"/>
        <v/>
      </c>
      <c r="C602" s="64"/>
      <c r="D602" s="64"/>
      <c r="E602" s="64"/>
      <c r="F602" s="67"/>
      <c r="G602" s="375"/>
      <c r="H602" s="74"/>
      <c r="I602" s="514"/>
      <c r="J602" s="514"/>
      <c r="K602" s="506"/>
      <c r="L602" s="514"/>
      <c r="M602" s="65"/>
      <c r="N602" s="66"/>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59"/>
        <v/>
      </c>
      <c r="AD602" s="66" t="str">
        <f>IF(AND(MONTH(E602)='IN-NX'!$J$5,'IN-NX'!$D$7=D602,OR(LEFT(TH!N602,2)="15",LEFT(TH!O602,2)="15")),"x","")</f>
        <v/>
      </c>
      <c r="AE602" s="66" t="str">
        <f>IF(AND(OR(LEFT(TH!N602,2)="15",LEFT(TH!O602,2)="15"),'152-CT'!$J$8=TH!F602),"x","")</f>
        <v/>
      </c>
      <c r="AF602" s="66" t="str">
        <f>IF(AND(OR(LEFT(TH!N602,2)="15",LEFT(TH!O602,2)="15"),'THE KHO'!$E$7=TH!F602),"x","")</f>
        <v/>
      </c>
      <c r="AG602" s="66" t="str">
        <f>IF(AND(N602="1521",MONTH(C602)='BK NL'!$M$11),"x","")</f>
        <v/>
      </c>
    </row>
    <row r="603" spans="1:33" ht="15.75" hidden="1" customHeight="1">
      <c r="A603" s="397" t="str">
        <f>IF(B603&lt;&gt;"",IF(AND(B603&gt;=_TM1,B603&lt;=_TM2,OR(TH!N603="1111",TH!O603="1111")),TH!D603,""),"")</f>
        <v/>
      </c>
      <c r="B603" s="63" t="str">
        <f t="shared" si="58"/>
        <v/>
      </c>
      <c r="C603" s="64"/>
      <c r="D603" s="64"/>
      <c r="E603" s="64"/>
      <c r="F603" s="67"/>
      <c r="G603" s="361"/>
      <c r="H603" s="74"/>
      <c r="I603" s="514"/>
      <c r="J603" s="514"/>
      <c r="K603" s="506"/>
      <c r="L603" s="514"/>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59"/>
        <v/>
      </c>
      <c r="AD603" s="66" t="str">
        <f>IF(AND(MONTH(E603)='IN-NX'!$J$5,'IN-NX'!$D$7=D603,OR(LEFT(TH!N603,2)="15",LEFT(TH!O603,2)="15")),"x","")</f>
        <v/>
      </c>
      <c r="AE603" s="66" t="str">
        <f>IF(AND(OR(LEFT(TH!N603,2)="15",LEFT(TH!O603,2)="15"),'152-CT'!$J$8=TH!F603),"x","")</f>
        <v/>
      </c>
      <c r="AF603" s="66" t="str">
        <f>IF(AND(OR(LEFT(TH!N603,2)="15",LEFT(TH!O603,2)="15"),'THE KHO'!$E$7=TH!F603),"x","")</f>
        <v/>
      </c>
      <c r="AG603" s="66" t="str">
        <f>IF(AND(N603="1521",MONTH(C603)='BK NL'!$M$11),"x","")</f>
        <v/>
      </c>
    </row>
    <row r="604" spans="1:33" ht="15.75" hidden="1" customHeight="1">
      <c r="A604" s="397" t="str">
        <f>IF(B604&lt;&gt;"",IF(AND(B604&gt;=_TM1,B604&lt;=_TM2,OR(TH!N604="1111",TH!O604="1111")),TH!D604,""),"")</f>
        <v/>
      </c>
      <c r="B604" s="63" t="str">
        <f t="shared" si="58"/>
        <v/>
      </c>
      <c r="C604" s="64"/>
      <c r="D604" s="64"/>
      <c r="E604" s="64"/>
      <c r="F604" s="67"/>
      <c r="G604" s="361"/>
      <c r="H604" s="74"/>
      <c r="I604" s="514"/>
      <c r="J604" s="514"/>
      <c r="K604" s="506"/>
      <c r="L604" s="514"/>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59"/>
        <v/>
      </c>
      <c r="AD604" s="66" t="str">
        <f>IF(AND(MONTH(E604)='IN-NX'!$J$5,'IN-NX'!$D$7=D604,OR(LEFT(TH!N604,2)="15",LEFT(TH!O604,2)="15")),"x","")</f>
        <v/>
      </c>
      <c r="AE604" s="66" t="str">
        <f>IF(AND(OR(LEFT(TH!N604,2)="15",LEFT(TH!O604,2)="15"),'152-CT'!$J$8=TH!F604),"x","")</f>
        <v/>
      </c>
      <c r="AF604" s="66" t="str">
        <f>IF(AND(OR(LEFT(TH!N604,2)="15",LEFT(TH!O604,2)="15"),'THE KHO'!$E$7=TH!F604),"x","")</f>
        <v/>
      </c>
      <c r="AG604" s="66" t="str">
        <f>IF(AND(N604="1521",MONTH(C604)='BK NL'!$M$11),"x","")</f>
        <v/>
      </c>
    </row>
    <row r="605" spans="1:33" ht="15.75" hidden="1" customHeight="1">
      <c r="A605" s="397" t="str">
        <f>IF(B605&lt;&gt;"",IF(AND(B605&gt;=_TM1,B605&lt;=_TM2,OR(TH!N605="1111",TH!O605="1111")),TH!D605,""),"")</f>
        <v/>
      </c>
      <c r="B605" s="63" t="str">
        <f t="shared" si="58"/>
        <v/>
      </c>
      <c r="C605" s="64"/>
      <c r="D605" s="64"/>
      <c r="E605" s="64"/>
      <c r="F605" s="67"/>
      <c r="G605" s="361"/>
      <c r="H605" s="74"/>
      <c r="I605" s="514"/>
      <c r="J605" s="514"/>
      <c r="K605" s="506"/>
      <c r="L605" s="514"/>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59"/>
        <v/>
      </c>
      <c r="AD605" s="66" t="str">
        <f>IF(AND(MONTH(E605)='IN-NX'!$J$5,'IN-NX'!$D$7=D605,OR(LEFT(TH!N605,2)="15",LEFT(TH!O605,2)="15")),"x","")</f>
        <v/>
      </c>
      <c r="AE605" s="66" t="str">
        <f>IF(AND(OR(LEFT(TH!N605,2)="15",LEFT(TH!O605,2)="15"),'152-CT'!$J$8=TH!F605),"x","")</f>
        <v/>
      </c>
      <c r="AF605" s="66" t="str">
        <f>IF(AND(OR(LEFT(TH!N605,2)="15",LEFT(TH!O605,2)="15"),'THE KHO'!$E$7=TH!F605),"x","")</f>
        <v/>
      </c>
      <c r="AG605" s="66" t="str">
        <f>IF(AND(N605="1521",MONTH(C605)='BK NL'!$M$11),"x","")</f>
        <v/>
      </c>
    </row>
    <row r="606" spans="1:33" ht="15.75" hidden="1" customHeight="1">
      <c r="A606" s="397" t="str">
        <f>IF(B606&lt;&gt;"",IF(AND(B606&gt;=_TM1,B606&lt;=_TM2,OR(TH!N606="1111",TH!O606="1111")),TH!D606,""),"")</f>
        <v/>
      </c>
      <c r="B606" s="63" t="str">
        <f t="shared" si="58"/>
        <v/>
      </c>
      <c r="C606" s="64"/>
      <c r="D606" s="64"/>
      <c r="E606" s="64"/>
      <c r="F606" s="67"/>
      <c r="G606" s="375"/>
      <c r="H606" s="74"/>
      <c r="I606" s="514"/>
      <c r="J606" s="514"/>
      <c r="K606" s="506"/>
      <c r="L606" s="514"/>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59"/>
        <v/>
      </c>
      <c r="AD606" s="66" t="str">
        <f>IF(AND(MONTH(E606)='IN-NX'!$J$5,'IN-NX'!$D$7=D606,OR(LEFT(TH!N606,2)="15",LEFT(TH!O606,2)="15")),"x","")</f>
        <v/>
      </c>
      <c r="AE606" s="66" t="str">
        <f>IF(AND(OR(LEFT(TH!N606,2)="15",LEFT(TH!O606,2)="15"),'152-CT'!$J$8=TH!F606),"x","")</f>
        <v/>
      </c>
      <c r="AF606" s="66" t="str">
        <f>IF(AND(OR(LEFT(TH!N606,2)="15",LEFT(TH!O606,2)="15"),'THE KHO'!$E$7=TH!F606),"x","")</f>
        <v/>
      </c>
      <c r="AG606" s="66" t="str">
        <f>IF(AND(N606="1521",MONTH(C606)='BK NL'!$M$11),"x","")</f>
        <v/>
      </c>
    </row>
    <row r="607" spans="1:33" ht="15.75" hidden="1" customHeight="1">
      <c r="A607" s="397" t="str">
        <f>IF(B607&lt;&gt;"",IF(AND(B607&gt;=_TM1,B607&lt;=_TM2,OR(TH!N607="1111",TH!O607="1111")),TH!D607,""),"")</f>
        <v/>
      </c>
      <c r="B607" s="63" t="str">
        <f t="shared" si="58"/>
        <v/>
      </c>
      <c r="C607" s="64"/>
      <c r="D607" s="64"/>
      <c r="E607" s="64"/>
      <c r="F607" s="67"/>
      <c r="G607" s="375"/>
      <c r="H607" s="74"/>
      <c r="I607" s="514"/>
      <c r="J607" s="514"/>
      <c r="K607" s="506"/>
      <c r="L607" s="514"/>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59"/>
        <v/>
      </c>
      <c r="AD607" s="66" t="str">
        <f>IF(AND(MONTH(E607)='IN-NX'!$J$5,'IN-NX'!$D$7=D607,OR(LEFT(TH!N607,2)="15",LEFT(TH!O607,2)="15")),"x","")</f>
        <v/>
      </c>
      <c r="AE607" s="66" t="str">
        <f>IF(AND(OR(LEFT(TH!N607,2)="15",LEFT(TH!O607,2)="15"),'152-CT'!$J$8=TH!F607),"x","")</f>
        <v/>
      </c>
      <c r="AF607" s="66" t="str">
        <f>IF(AND(OR(LEFT(TH!N607,2)="15",LEFT(TH!O607,2)="15"),'THE KHO'!$E$7=TH!F607),"x","")</f>
        <v/>
      </c>
      <c r="AG607" s="66" t="str">
        <f>IF(AND(N607="1521",MONTH(C607)='BK NL'!$M$11),"x","")</f>
        <v/>
      </c>
    </row>
    <row r="608" spans="1:33" ht="15.75" hidden="1" customHeight="1">
      <c r="A608" s="397" t="str">
        <f>IF(B608&lt;&gt;"",IF(AND(B608&gt;=_TM1,B608&lt;=_TM2,OR(TH!N608="1111",TH!O608="1111")),TH!D608,""),"")</f>
        <v/>
      </c>
      <c r="B608" s="63" t="str">
        <f t="shared" si="58"/>
        <v/>
      </c>
      <c r="C608" s="64"/>
      <c r="D608" s="64"/>
      <c r="E608" s="64"/>
      <c r="F608" s="67"/>
      <c r="G608" s="375"/>
      <c r="H608" s="74"/>
      <c r="I608" s="514"/>
      <c r="J608" s="514"/>
      <c r="K608" s="506"/>
      <c r="L608" s="514"/>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59"/>
        <v/>
      </c>
      <c r="AD608" s="66" t="str">
        <f>IF(AND(MONTH(E608)='IN-NX'!$J$5,'IN-NX'!$D$7=D608,OR(LEFT(TH!N608,2)="15",LEFT(TH!O608,2)="15")),"x","")</f>
        <v/>
      </c>
      <c r="AE608" s="66" t="str">
        <f>IF(AND(OR(LEFT(TH!N608,2)="15",LEFT(TH!O608,2)="15"),'152-CT'!$J$8=TH!F608),"x","")</f>
        <v/>
      </c>
      <c r="AF608" s="66" t="str">
        <f>IF(AND(OR(LEFT(TH!N608,2)="15",LEFT(TH!O608,2)="15"),'THE KHO'!$E$7=TH!F608),"x","")</f>
        <v/>
      </c>
      <c r="AG608" s="66" t="str">
        <f>IF(AND(N608="1521",MONTH(C608)='BK NL'!$M$11),"x","")</f>
        <v/>
      </c>
    </row>
    <row r="609" spans="1:33" ht="15.75" hidden="1" customHeight="1">
      <c r="A609" s="397" t="str">
        <f>IF(B609&lt;&gt;"",IF(AND(B609&gt;=_TM1,B609&lt;=_TM2,OR(TH!N609="1111",TH!O609="1111")),TH!D609,""),"")</f>
        <v/>
      </c>
      <c r="B609" s="63" t="str">
        <f t="shared" si="58"/>
        <v/>
      </c>
      <c r="C609" s="64"/>
      <c r="D609" s="64"/>
      <c r="E609" s="64"/>
      <c r="F609" s="67"/>
      <c r="G609" s="375"/>
      <c r="H609" s="74"/>
      <c r="I609" s="514"/>
      <c r="J609" s="514"/>
      <c r="K609" s="506"/>
      <c r="L609" s="514"/>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59"/>
        <v/>
      </c>
      <c r="AD609" s="66" t="str">
        <f>IF(AND(MONTH(E609)='IN-NX'!$J$5,'IN-NX'!$D$7=D609,OR(LEFT(TH!N609,2)="15",LEFT(TH!O609,2)="15")),"x","")</f>
        <v/>
      </c>
      <c r="AE609" s="66" t="str">
        <f>IF(AND(OR(LEFT(TH!N609,2)="15",LEFT(TH!O609,2)="15"),'152-CT'!$J$8=TH!F609),"x","")</f>
        <v/>
      </c>
      <c r="AF609" s="66" t="str">
        <f>IF(AND(OR(LEFT(TH!N609,2)="15",LEFT(TH!O609,2)="15"),'THE KHO'!$E$7=TH!F609),"x","")</f>
        <v/>
      </c>
      <c r="AG609" s="66" t="str">
        <f>IF(AND(N609="1521",MONTH(C609)='BK NL'!$M$11),"x","")</f>
        <v/>
      </c>
    </row>
    <row r="610" spans="1:33" ht="15.75" hidden="1" customHeight="1">
      <c r="A610" s="397" t="str">
        <f>IF(B610&lt;&gt;"",IF(AND(B610&gt;=_TM1,B610&lt;=_TM2,OR(TH!N610="1111",TH!O610="1111")),TH!D610,""),"")</f>
        <v/>
      </c>
      <c r="B610" s="63" t="str">
        <f t="shared" si="58"/>
        <v/>
      </c>
      <c r="C610" s="64"/>
      <c r="D610" s="64"/>
      <c r="E610" s="64"/>
      <c r="F610" s="67"/>
      <c r="G610" s="375"/>
      <c r="H610" s="74"/>
      <c r="I610" s="514"/>
      <c r="J610" s="514"/>
      <c r="K610" s="506"/>
      <c r="L610" s="514"/>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59"/>
        <v/>
      </c>
      <c r="AD610" s="66" t="str">
        <f>IF(AND(MONTH(E610)='IN-NX'!$J$5,'IN-NX'!$D$7=D610,OR(LEFT(TH!N610,2)="15",LEFT(TH!O610,2)="15")),"x","")</f>
        <v/>
      </c>
      <c r="AE610" s="66" t="str">
        <f>IF(AND(OR(LEFT(TH!N610,2)="15",LEFT(TH!O610,2)="15"),'152-CT'!$J$8=TH!F610),"x","")</f>
        <v/>
      </c>
      <c r="AF610" s="66" t="str">
        <f>IF(AND(OR(LEFT(TH!N610,2)="15",LEFT(TH!O610,2)="15"),'THE KHO'!$E$7=TH!F610),"x","")</f>
        <v/>
      </c>
      <c r="AG610" s="66" t="str">
        <f>IF(AND(N610="1521",MONTH(C610)='BK NL'!$M$11),"x","")</f>
        <v/>
      </c>
    </row>
    <row r="611" spans="1:33" ht="15.75" hidden="1" customHeight="1">
      <c r="A611" s="397" t="str">
        <f>IF(B611&lt;&gt;"",IF(AND(B611&gt;=_TM1,B611&lt;=_TM2,OR(TH!N611="1111",TH!O611="1111")),TH!D611,""),"")</f>
        <v/>
      </c>
      <c r="B611" s="63" t="str">
        <f t="shared" si="58"/>
        <v/>
      </c>
      <c r="C611" s="64"/>
      <c r="D611" s="64"/>
      <c r="E611" s="64"/>
      <c r="F611" s="67"/>
      <c r="G611" s="375"/>
      <c r="H611" s="74"/>
      <c r="I611" s="514"/>
      <c r="J611" s="514"/>
      <c r="K611" s="506"/>
      <c r="L611" s="514"/>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ref="AC611:AC657" si="60">IF(AND(1&lt;=$B611,$B611&lt;=3),"1",IF(AND(4&lt;=$B611,$B611&lt;=6),"2",IF(AND(7&lt;=$B611,$B611&lt;=9),"3",IF(AND(10&lt;=$B611,$B611&lt;=12),"4",""))))</f>
        <v/>
      </c>
      <c r="AD611" s="66" t="str">
        <f>IF(AND(MONTH(E611)='IN-NX'!$J$5,'IN-NX'!$D$7=D611,OR(LEFT(TH!N611,2)="15",LEFT(TH!O611,2)="15")),"x","")</f>
        <v/>
      </c>
      <c r="AE611" s="66" t="str">
        <f>IF(AND(OR(LEFT(TH!N611,2)="15",LEFT(TH!O611,2)="15"),'152-CT'!$J$8=TH!F611),"x","")</f>
        <v/>
      </c>
      <c r="AF611" s="66" t="str">
        <f>IF(AND(OR(LEFT(TH!N611,2)="15",LEFT(TH!O611,2)="15"),'THE KHO'!$E$7=TH!F611),"x","")</f>
        <v/>
      </c>
      <c r="AG611" s="66" t="str">
        <f>IF(AND(N611="1521",MONTH(C611)='BK NL'!$M$11),"x","")</f>
        <v/>
      </c>
    </row>
    <row r="612" spans="1:33" ht="15.75" hidden="1" customHeight="1">
      <c r="A612" s="397" t="str">
        <f>IF(B612&lt;&gt;"",IF(AND(B612&gt;=_TM1,B612&lt;=_TM2,OR(TH!N612="1111",TH!O612="1111")),TH!D612,""),"")</f>
        <v/>
      </c>
      <c r="B612" s="63" t="str">
        <f t="shared" si="58"/>
        <v/>
      </c>
      <c r="C612" s="64"/>
      <c r="D612" s="64"/>
      <c r="E612" s="64"/>
      <c r="F612" s="67"/>
      <c r="G612" s="375"/>
      <c r="H612" s="74"/>
      <c r="I612" s="514"/>
      <c r="J612" s="514"/>
      <c r="K612" s="506"/>
      <c r="L612" s="514"/>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60"/>
        <v/>
      </c>
      <c r="AD612" s="66" t="str">
        <f>IF(AND(MONTH(E612)='IN-NX'!$J$5,'IN-NX'!$D$7=D612,OR(LEFT(TH!N612,2)="15",LEFT(TH!O612,2)="15")),"x","")</f>
        <v/>
      </c>
      <c r="AE612" s="66" t="str">
        <f>IF(AND(OR(LEFT(TH!N612,2)="15",LEFT(TH!O612,2)="15"),'152-CT'!$J$8=TH!F612),"x","")</f>
        <v/>
      </c>
      <c r="AF612" s="66" t="str">
        <f>IF(AND(OR(LEFT(TH!N612,2)="15",LEFT(TH!O612,2)="15"),'THE KHO'!$E$7=TH!F612),"x","")</f>
        <v/>
      </c>
      <c r="AG612" s="66" t="str">
        <f>IF(AND(N612="1521",MONTH(C612)='BK NL'!$M$11),"x","")</f>
        <v/>
      </c>
    </row>
    <row r="613" spans="1:33" ht="15.75" hidden="1" customHeight="1">
      <c r="A613" s="397" t="str">
        <f>IF(B613&lt;&gt;"",IF(AND(B613&gt;=_TM1,B613&lt;=_TM2,OR(TH!N613="1111",TH!O613="1111")),TH!D613,""),"")</f>
        <v/>
      </c>
      <c r="B613" s="63" t="str">
        <f t="shared" si="58"/>
        <v/>
      </c>
      <c r="C613" s="64"/>
      <c r="D613" s="64"/>
      <c r="E613" s="64"/>
      <c r="F613" s="67"/>
      <c r="G613" s="375"/>
      <c r="H613" s="74"/>
      <c r="I613" s="514"/>
      <c r="J613" s="514"/>
      <c r="K613" s="506"/>
      <c r="L613" s="514"/>
      <c r="M613" s="65"/>
      <c r="N613" s="6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60"/>
        <v/>
      </c>
      <c r="AD613" s="66" t="str">
        <f>IF(AND(MONTH(E613)='IN-NX'!$J$5,'IN-NX'!$D$7=D613,OR(LEFT(TH!N613,2)="15",LEFT(TH!O613,2)="15")),"x","")</f>
        <v/>
      </c>
      <c r="AE613" s="66" t="str">
        <f>IF(AND(OR(LEFT(TH!N613,2)="15",LEFT(TH!O613,2)="15"),'152-CT'!$J$8=TH!F613),"x","")</f>
        <v/>
      </c>
      <c r="AF613" s="66" t="str">
        <f>IF(AND(OR(LEFT(TH!N613,2)="15",LEFT(TH!O613,2)="15"),'THE KHO'!$E$7=TH!F613),"x","")</f>
        <v/>
      </c>
      <c r="AG613" s="66" t="str">
        <f>IF(AND(N613="1521",MONTH(C613)='BK NL'!$M$11),"x","")</f>
        <v/>
      </c>
    </row>
    <row r="614" spans="1:33" ht="15.75" hidden="1" customHeight="1">
      <c r="A614" s="397" t="str">
        <f>IF(B614&lt;&gt;"",IF(AND(B614&gt;=_TM1,B614&lt;=_TM2,OR(TH!N614="1111",TH!O614="1111")),TH!D614,""),"")</f>
        <v/>
      </c>
      <c r="B614" s="63" t="str">
        <f t="shared" si="58"/>
        <v/>
      </c>
      <c r="C614" s="64"/>
      <c r="D614" s="64"/>
      <c r="E614" s="64"/>
      <c r="F614" s="67"/>
      <c r="G614" s="375"/>
      <c r="H614" s="74"/>
      <c r="I614" s="514"/>
      <c r="J614" s="514"/>
      <c r="K614" s="506"/>
      <c r="L614" s="514"/>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60"/>
        <v/>
      </c>
      <c r="AD614" s="66" t="str">
        <f>IF(AND(MONTH(E614)='IN-NX'!$J$5,'IN-NX'!$D$7=D614,OR(LEFT(TH!N614,2)="15",LEFT(TH!O614,2)="15")),"x","")</f>
        <v/>
      </c>
      <c r="AE614" s="66" t="str">
        <f>IF(AND(OR(LEFT(TH!N614,2)="15",LEFT(TH!O614,2)="15"),'152-CT'!$J$8=TH!F614),"x","")</f>
        <v/>
      </c>
      <c r="AF614" s="66" t="str">
        <f>IF(AND(OR(LEFT(TH!N614,2)="15",LEFT(TH!O614,2)="15"),'THE KHO'!$E$7=TH!F614),"x","")</f>
        <v/>
      </c>
      <c r="AG614" s="66" t="str">
        <f>IF(AND(N614="1521",MONTH(C614)='BK NL'!$M$11),"x","")</f>
        <v/>
      </c>
    </row>
    <row r="615" spans="1:33" ht="15.75" hidden="1" customHeight="1">
      <c r="A615" s="397" t="str">
        <f>IF(B615&lt;&gt;"",IF(AND(B615&gt;=_TM1,B615&lt;=_TM2,OR(TH!N615="1111",TH!O615="1111")),TH!D615,""),"")</f>
        <v/>
      </c>
      <c r="B615" s="63" t="str">
        <f t="shared" si="58"/>
        <v/>
      </c>
      <c r="C615" s="64"/>
      <c r="D615" s="64"/>
      <c r="E615" s="64"/>
      <c r="F615" s="67"/>
      <c r="G615" s="375"/>
      <c r="H615" s="74"/>
      <c r="I615" s="514"/>
      <c r="J615" s="514"/>
      <c r="K615" s="506"/>
      <c r="L615" s="514"/>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si="60"/>
        <v/>
      </c>
      <c r="AD615" s="66" t="str">
        <f>IF(AND(MONTH(E615)='IN-NX'!$J$5,'IN-NX'!$D$7=D615,OR(LEFT(TH!N615,2)="15",LEFT(TH!O615,2)="15")),"x","")</f>
        <v/>
      </c>
      <c r="AE615" s="66" t="str">
        <f>IF(AND(OR(LEFT(TH!N615,2)="15",LEFT(TH!O615,2)="15"),'152-CT'!$J$8=TH!F615),"x","")</f>
        <v/>
      </c>
      <c r="AF615" s="66" t="str">
        <f>IF(AND(OR(LEFT(TH!N615,2)="15",LEFT(TH!O615,2)="15"),'THE KHO'!$E$7=TH!F615),"x","")</f>
        <v/>
      </c>
      <c r="AG615" s="66" t="str">
        <f>IF(AND(N615="1521",MONTH(C615)='BK NL'!$M$11),"x","")</f>
        <v/>
      </c>
    </row>
    <row r="616" spans="1:33" ht="15.75" hidden="1" customHeight="1">
      <c r="A616" s="397" t="str">
        <f>IF(B616&lt;&gt;"",IF(AND(B616&gt;=_TM1,B616&lt;=_TM2,OR(TH!N616="1111",TH!O616="1111")),TH!D616,""),"")</f>
        <v/>
      </c>
      <c r="B616" s="63" t="str">
        <f t="shared" si="58"/>
        <v/>
      </c>
      <c r="C616" s="64"/>
      <c r="D616" s="64"/>
      <c r="E616" s="64"/>
      <c r="F616" s="67"/>
      <c r="G616" s="375"/>
      <c r="H616" s="74"/>
      <c r="I616" s="514"/>
      <c r="J616" s="514"/>
      <c r="K616" s="506"/>
      <c r="L616" s="514"/>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60"/>
        <v/>
      </c>
      <c r="AD616" s="66" t="str">
        <f>IF(AND(MONTH(E616)='IN-NX'!$J$5,'IN-NX'!$D$7=D616,OR(LEFT(TH!N616,2)="15",LEFT(TH!O616,2)="15")),"x","")</f>
        <v/>
      </c>
      <c r="AE616" s="66" t="str">
        <f>IF(AND(OR(LEFT(TH!N616,2)="15",LEFT(TH!O616,2)="15"),'152-CT'!$J$8=TH!F616),"x","")</f>
        <v/>
      </c>
      <c r="AF616" s="66" t="str">
        <f>IF(AND(OR(LEFT(TH!N616,2)="15",LEFT(TH!O616,2)="15"),'THE KHO'!$E$7=TH!F616),"x","")</f>
        <v/>
      </c>
      <c r="AG616" s="66" t="str">
        <f>IF(AND(N616="1521",MONTH(C616)='BK NL'!$M$11),"x","")</f>
        <v/>
      </c>
    </row>
    <row r="617" spans="1:33" ht="15.75" hidden="1" customHeight="1">
      <c r="A617" s="397" t="str">
        <f>IF(B617&lt;&gt;"",IF(AND(B617&gt;=_TM1,B617&lt;=_TM2,OR(TH!N617="1111",TH!O617="1111")),TH!D617,""),"")</f>
        <v/>
      </c>
      <c r="B617" s="63" t="str">
        <f t="shared" si="58"/>
        <v/>
      </c>
      <c r="C617" s="64"/>
      <c r="D617" s="64"/>
      <c r="E617" s="64"/>
      <c r="F617" s="67"/>
      <c r="G617" s="375"/>
      <c r="H617" s="74"/>
      <c r="I617" s="514"/>
      <c r="J617" s="514"/>
      <c r="K617" s="506"/>
      <c r="L617" s="514"/>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60"/>
        <v/>
      </c>
      <c r="AD617" s="66" t="str">
        <f>IF(AND(MONTH(E617)='IN-NX'!$J$5,'IN-NX'!$D$7=D617,OR(LEFT(TH!N617,2)="15",LEFT(TH!O617,2)="15")),"x","")</f>
        <v/>
      </c>
      <c r="AE617" s="66" t="str">
        <f>IF(AND(OR(LEFT(TH!N617,2)="15",LEFT(TH!O617,2)="15"),'152-CT'!$J$8=TH!F617),"x","")</f>
        <v/>
      </c>
      <c r="AF617" s="66" t="str">
        <f>IF(AND(OR(LEFT(TH!N617,2)="15",LEFT(TH!O617,2)="15"),'THE KHO'!$E$7=TH!F617),"x","")</f>
        <v/>
      </c>
      <c r="AG617" s="66" t="str">
        <f>IF(AND(N617="1521",MONTH(C617)='BK NL'!$M$11),"x","")</f>
        <v/>
      </c>
    </row>
    <row r="618" spans="1:33" ht="15.75" hidden="1" customHeight="1">
      <c r="A618" s="397" t="str">
        <f>IF(B618&lt;&gt;"",IF(AND(B618&gt;=_TM1,B618&lt;=_TM2,OR(TH!N618="1111",TH!O618="1111")),TH!D618,""),"")</f>
        <v/>
      </c>
      <c r="B618" s="63" t="str">
        <f t="shared" si="58"/>
        <v/>
      </c>
      <c r="C618" s="64"/>
      <c r="D618" s="64"/>
      <c r="E618" s="64"/>
      <c r="F618" s="67"/>
      <c r="G618" s="375"/>
      <c r="H618" s="74"/>
      <c r="I618" s="514"/>
      <c r="J618" s="514"/>
      <c r="K618" s="506"/>
      <c r="L618" s="514"/>
      <c r="M618" s="65"/>
      <c r="N618" s="385"/>
      <c r="O618" s="66"/>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si="60"/>
        <v/>
      </c>
      <c r="AD618" s="66" t="str">
        <f>IF(AND(MONTH(E618)='IN-NX'!$J$5,'IN-NX'!$D$7=D618,OR(LEFT(TH!N618,2)="15",LEFT(TH!O618,2)="15")),"x","")</f>
        <v/>
      </c>
      <c r="AE618" s="66" t="str">
        <f>IF(AND(OR(LEFT(TH!N618,2)="15",LEFT(TH!O618,2)="15"),'152-CT'!$J$8=TH!F618),"x","")</f>
        <v/>
      </c>
      <c r="AF618" s="66" t="str">
        <f>IF(AND(OR(LEFT(TH!N618,2)="15",LEFT(TH!O618,2)="15"),'THE KHO'!$E$7=TH!F618),"x","")</f>
        <v/>
      </c>
      <c r="AG618" s="66" t="str">
        <f>IF(AND(N618="1521",MONTH(C618)='BK NL'!$M$11),"x","")</f>
        <v/>
      </c>
    </row>
    <row r="619" spans="1:33" ht="15.75" hidden="1" customHeight="1">
      <c r="A619" s="397" t="str">
        <f>IF(B619&lt;&gt;"",IF(AND(B619&gt;=_TM1,B619&lt;=_TM2,OR(TH!N619="1111",TH!O619="1111")),TH!D619,""),"")</f>
        <v/>
      </c>
      <c r="B619" s="63" t="str">
        <f t="shared" si="58"/>
        <v/>
      </c>
      <c r="C619" s="64"/>
      <c r="D619" s="64"/>
      <c r="E619" s="64"/>
      <c r="F619" s="67"/>
      <c r="G619" s="375"/>
      <c r="H619" s="74"/>
      <c r="I619" s="514"/>
      <c r="J619" s="514"/>
      <c r="K619" s="506"/>
      <c r="L619" s="514"/>
      <c r="M619" s="65"/>
      <c r="N619" s="66"/>
      <c r="O619" s="66"/>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60"/>
        <v/>
      </c>
      <c r="AD619" s="66" t="str">
        <f>IF(AND(MONTH(E619)='IN-NX'!$J$5,'IN-NX'!$D$7=D619,OR(LEFT(TH!N619,2)="15",LEFT(TH!O619,2)="15")),"x","")</f>
        <v/>
      </c>
      <c r="AE619" s="66" t="str">
        <f>IF(AND(OR(LEFT(TH!N619,2)="15",LEFT(TH!O619,2)="15"),'152-CT'!$J$8=TH!F619),"x","")</f>
        <v/>
      </c>
      <c r="AF619" s="66" t="str">
        <f>IF(AND(OR(LEFT(TH!N619,2)="15",LEFT(TH!O619,2)="15"),'THE KHO'!$E$7=TH!F619),"x","")</f>
        <v/>
      </c>
      <c r="AG619" s="66" t="str">
        <f>IF(AND(N619="1521",MONTH(C619)='BK NL'!$M$11),"x","")</f>
        <v/>
      </c>
    </row>
    <row r="620" spans="1:33" ht="15.75" hidden="1" customHeight="1">
      <c r="A620" s="397" t="str">
        <f>IF(B620&lt;&gt;"",IF(AND(B620&gt;=_TM1,B620&lt;=_TM2,OR(TH!N620="1111",TH!O620="1111")),TH!D620,""),"")</f>
        <v/>
      </c>
      <c r="B620" s="63" t="str">
        <f t="shared" si="58"/>
        <v/>
      </c>
      <c r="C620" s="64"/>
      <c r="D620" s="64"/>
      <c r="E620" s="64"/>
      <c r="F620" s="67"/>
      <c r="G620" s="375"/>
      <c r="H620" s="74"/>
      <c r="I620" s="514"/>
      <c r="J620" s="514"/>
      <c r="K620" s="506"/>
      <c r="L620" s="514"/>
      <c r="M620" s="65"/>
      <c r="N620" s="66"/>
      <c r="O620" s="66"/>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60"/>
        <v/>
      </c>
      <c r="AD620" s="66" t="str">
        <f>IF(AND(MONTH(E620)='IN-NX'!$J$5,'IN-NX'!$D$7=D620,OR(LEFT(TH!N620,2)="15",LEFT(TH!O620,2)="15")),"x","")</f>
        <v/>
      </c>
      <c r="AE620" s="66" t="str">
        <f>IF(AND(OR(LEFT(TH!N620,2)="15",LEFT(TH!O620,2)="15"),'152-CT'!$J$8=TH!F620),"x","")</f>
        <v/>
      </c>
      <c r="AF620" s="66" t="str">
        <f>IF(AND(OR(LEFT(TH!N620,2)="15",LEFT(TH!O620,2)="15"),'THE KHO'!$E$7=TH!F620),"x","")</f>
        <v/>
      </c>
      <c r="AG620" s="66" t="str">
        <f>IF(AND(N620="1521",MONTH(C620)='BK NL'!$M$11),"x","")</f>
        <v/>
      </c>
    </row>
    <row r="621" spans="1:33" ht="15.75" hidden="1" customHeight="1">
      <c r="A621" s="397" t="str">
        <f>IF(B621&lt;&gt;"",IF(AND(B621&gt;=_TM1,B621&lt;=_TM2,OR(TH!N621="1111",TH!O621="1111")),TH!D621,""),"")</f>
        <v/>
      </c>
      <c r="B621" s="63" t="str">
        <f t="shared" si="58"/>
        <v/>
      </c>
      <c r="C621" s="64"/>
      <c r="D621" s="64"/>
      <c r="E621" s="64"/>
      <c r="F621" s="67"/>
      <c r="G621" s="375"/>
      <c r="H621" s="74"/>
      <c r="I621" s="514"/>
      <c r="J621" s="514"/>
      <c r="K621" s="506"/>
      <c r="L621" s="514"/>
      <c r="M621" s="65"/>
      <c r="N621" s="66"/>
      <c r="O621" s="66"/>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60"/>
        <v/>
      </c>
      <c r="AD621" s="66" t="str">
        <f>IF(AND(MONTH(E621)='IN-NX'!$J$5,'IN-NX'!$D$7=D621,OR(LEFT(TH!N621,2)="15",LEFT(TH!O621,2)="15")),"x","")</f>
        <v/>
      </c>
      <c r="AE621" s="66" t="str">
        <f>IF(AND(OR(LEFT(TH!N621,2)="15",LEFT(TH!O621,2)="15"),'152-CT'!$J$8=TH!F621),"x","")</f>
        <v/>
      </c>
      <c r="AF621" s="66" t="str">
        <f>IF(AND(OR(LEFT(TH!N621,2)="15",LEFT(TH!O621,2)="15"),'THE KHO'!$E$7=TH!F621),"x","")</f>
        <v/>
      </c>
      <c r="AG621" s="66" t="str">
        <f>IF(AND(N621="1521",MONTH(C621)='BK NL'!$M$11),"x","")</f>
        <v/>
      </c>
    </row>
    <row r="622" spans="1:33" ht="15.75" hidden="1" customHeight="1">
      <c r="A622" s="397" t="str">
        <f>IF(B622&lt;&gt;"",IF(AND(B622&gt;=_TM1,B622&lt;=_TM2,OR(TH!N622="1111",TH!O622="1111")),TH!D622,""),"")</f>
        <v/>
      </c>
      <c r="B622" s="63" t="str">
        <f t="shared" si="58"/>
        <v/>
      </c>
      <c r="C622" s="64"/>
      <c r="D622" s="64"/>
      <c r="E622" s="64"/>
      <c r="F622" s="67"/>
      <c r="G622" s="375"/>
      <c r="H622" s="74"/>
      <c r="I622" s="514"/>
      <c r="J622" s="514"/>
      <c r="K622" s="506"/>
      <c r="L622" s="514"/>
      <c r="M622" s="65"/>
      <c r="N622" s="66"/>
      <c r="O622" s="66"/>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60"/>
        <v/>
      </c>
      <c r="AD622" s="66" t="str">
        <f>IF(AND(MONTH(E622)='IN-NX'!$J$5,'IN-NX'!$D$7=D622,OR(LEFT(TH!N622,2)="15",LEFT(TH!O622,2)="15")),"x","")</f>
        <v/>
      </c>
      <c r="AE622" s="66" t="str">
        <f>IF(AND(OR(LEFT(TH!N622,2)="15",LEFT(TH!O622,2)="15"),'152-CT'!$J$8=TH!F622),"x","")</f>
        <v/>
      </c>
      <c r="AF622" s="66" t="str">
        <f>IF(AND(OR(LEFT(TH!N622,2)="15",LEFT(TH!O622,2)="15"),'THE KHO'!$E$7=TH!F622),"x","")</f>
        <v/>
      </c>
      <c r="AG622" s="66" t="str">
        <f>IF(AND(N622="1521",MONTH(C622)='BK NL'!$M$11),"x","")</f>
        <v/>
      </c>
    </row>
    <row r="623" spans="1:33" ht="15.75" hidden="1" customHeight="1">
      <c r="A623" s="397" t="str">
        <f>IF(B623&lt;&gt;"",IF(AND(B623&gt;=_TM1,B623&lt;=_TM2,OR(TH!N623="1111",TH!O623="1111")),TH!D623,""),"")</f>
        <v/>
      </c>
      <c r="B623" s="63" t="str">
        <f t="shared" si="58"/>
        <v/>
      </c>
      <c r="C623" s="64"/>
      <c r="D623" s="64"/>
      <c r="E623" s="64"/>
      <c r="F623" s="67"/>
      <c r="G623" s="375"/>
      <c r="H623" s="74"/>
      <c r="I623" s="514"/>
      <c r="J623" s="514"/>
      <c r="K623" s="506"/>
      <c r="L623" s="514"/>
      <c r="M623" s="65"/>
      <c r="N623" s="66"/>
      <c r="O623" s="66"/>
      <c r="P623" s="66" t="str">
        <f>IF(AND('331-CT'!$E$7=TH!H623,OR(N623="331",O623="331")),"x","")</f>
        <v/>
      </c>
      <c r="Q623" s="66" t="str">
        <f>IF(AND($B623&gt;='111'!$N$11,$B623&lt;='111'!$O$11,OR($N623=$Q$7,$O623=$Q$7)),"x","")</f>
        <v/>
      </c>
      <c r="R623" s="66" t="str">
        <f>IF(AND($N623=$Q$7,$B623&lt;'111'!$N$11),"x","")</f>
        <v/>
      </c>
      <c r="S623" s="66" t="str">
        <f>IF(AND($O623=$Q$7,$B623&lt;'111'!$N$11),"x","")</f>
        <v/>
      </c>
      <c r="T623" s="66" t="str">
        <f>IF(AND($B623&gt;='112'!$M$9,$B623&lt;='112'!$N$9,OR($N623='112'!$I$6,$O623='112'!$I$6)),"x","")</f>
        <v/>
      </c>
      <c r="U623" s="66" t="str">
        <f>IF(AND($N623='112'!$I$6,$B623&lt;'112'!$M$9),"x","")</f>
        <v/>
      </c>
      <c r="V623" s="66" t="str">
        <f>IF(AND($O623='112'!$I$6,$B623&lt;'112'!$M$9),"x","")</f>
        <v/>
      </c>
      <c r="W623" s="66" t="str">
        <f>IF(AND('131-CT'!$H$9=TH!H623,OR(N623="131",O623="131")),"x","")</f>
        <v/>
      </c>
      <c r="X623" s="66" t="str">
        <f>IF(AND($B623&gt;='1331'!$I$9,$B623&lt;='1331'!$J$9,OR($N623=$X$7,$O623=$X$7)),"x","")</f>
        <v/>
      </c>
      <c r="Y623" s="66" t="str">
        <f>IF(AND($N623=$X$7,$B623&lt;'1331'!$I$9),"x","")</f>
        <v/>
      </c>
      <c r="Z623" s="66" t="str">
        <f>IF(AND($O623=$X$7,$B623&lt;'1331'!$I$9),"x","")</f>
        <v/>
      </c>
      <c r="AA623" s="66" t="str">
        <f>IF(AND('341-CT'!$H$9=H623,OR(LEFT(N623,3)=$AA$7,LEFT(O623,3)=$AA$7)),"x","")</f>
        <v/>
      </c>
      <c r="AB623" s="66" t="str">
        <f>IF(OR(TH!N623=TH!$AB$7,O623=TH!$AB$7),"x","")</f>
        <v/>
      </c>
      <c r="AC623" s="66" t="str">
        <f t="shared" si="60"/>
        <v/>
      </c>
      <c r="AD623" s="66" t="str">
        <f>IF(AND(MONTH(E623)='IN-NX'!$J$5,'IN-NX'!$D$7=D623,OR(LEFT(TH!N623,2)="15",LEFT(TH!O623,2)="15")),"x","")</f>
        <v/>
      </c>
      <c r="AE623" s="66" t="str">
        <f>IF(AND(OR(LEFT(TH!N623,2)="15",LEFT(TH!O623,2)="15"),'152-CT'!$J$8=TH!F623),"x","")</f>
        <v/>
      </c>
      <c r="AF623" s="66" t="str">
        <f>IF(AND(OR(LEFT(TH!N623,2)="15",LEFT(TH!O623,2)="15"),'THE KHO'!$E$7=TH!F623),"x","")</f>
        <v/>
      </c>
      <c r="AG623" s="66" t="str">
        <f>IF(AND(N623="1521",MONTH(C623)='BK NL'!$M$11),"x","")</f>
        <v/>
      </c>
    </row>
    <row r="624" spans="1:33" ht="15.75" hidden="1" customHeight="1">
      <c r="A624" s="397" t="str">
        <f>IF(B624&lt;&gt;"",IF(AND(B624&gt;=_TM1,B624&lt;=_TM2,OR(TH!N624="1111",TH!O624="1111")),TH!D624,""),"")</f>
        <v/>
      </c>
      <c r="B624" s="63" t="str">
        <f t="shared" si="58"/>
        <v/>
      </c>
      <c r="C624" s="64"/>
      <c r="D624" s="64"/>
      <c r="E624" s="64"/>
      <c r="F624" s="67"/>
      <c r="G624" s="375"/>
      <c r="H624" s="74"/>
      <c r="I624" s="514"/>
      <c r="J624" s="514"/>
      <c r="K624" s="506"/>
      <c r="L624" s="514"/>
      <c r="M624" s="65"/>
      <c r="N624" s="66"/>
      <c r="O624" s="66"/>
      <c r="P624" s="66" t="str">
        <f>IF(AND('331-CT'!$E$7=TH!H624,OR(N624="331",O624="331")),"x","")</f>
        <v/>
      </c>
      <c r="Q624" s="66" t="str">
        <f>IF(AND($B624&gt;='111'!$N$11,$B624&lt;='111'!$O$11,OR($N624=$Q$7,$O624=$Q$7)),"x","")</f>
        <v/>
      </c>
      <c r="R624" s="66" t="str">
        <f>IF(AND($N624=$Q$7,$B624&lt;'111'!$N$11),"x","")</f>
        <v/>
      </c>
      <c r="S624" s="66" t="str">
        <f>IF(AND($O624=$Q$7,$B624&lt;'111'!$N$11),"x","")</f>
        <v/>
      </c>
      <c r="T624" s="66" t="str">
        <f>IF(AND($B624&gt;='112'!$M$9,$B624&lt;='112'!$N$9,OR($N624='112'!$I$6,$O624='112'!$I$6)),"x","")</f>
        <v/>
      </c>
      <c r="U624" s="66" t="str">
        <f>IF(AND($N624='112'!$I$6,$B624&lt;'112'!$M$9),"x","")</f>
        <v/>
      </c>
      <c r="V624" s="66" t="str">
        <f>IF(AND($O624='112'!$I$6,$B624&lt;'112'!$M$9),"x","")</f>
        <v/>
      </c>
      <c r="W624" s="66" t="str">
        <f>IF(AND('131-CT'!$H$9=TH!H624,OR(N624="131",O624="131")),"x","")</f>
        <v/>
      </c>
      <c r="X624" s="66" t="str">
        <f>IF(AND($B624&gt;='1331'!$I$9,$B624&lt;='1331'!$J$9,OR($N624=$X$7,$O624=$X$7)),"x","")</f>
        <v/>
      </c>
      <c r="Y624" s="66" t="str">
        <f>IF(AND($N624=$X$7,$B624&lt;'1331'!$I$9),"x","")</f>
        <v/>
      </c>
      <c r="Z624" s="66" t="str">
        <f>IF(AND($O624=$X$7,$B624&lt;'1331'!$I$9),"x","")</f>
        <v/>
      </c>
      <c r="AA624" s="66" t="str">
        <f>IF(AND('341-CT'!$H$9=H624,OR(LEFT(N624,3)=$AA$7,LEFT(O624,3)=$AA$7)),"x","")</f>
        <v/>
      </c>
      <c r="AB624" s="66" t="str">
        <f>IF(OR(TH!N624=TH!$AB$7,O624=TH!$AB$7),"x","")</f>
        <v/>
      </c>
      <c r="AC624" s="66" t="str">
        <f t="shared" si="60"/>
        <v/>
      </c>
      <c r="AD624" s="66" t="str">
        <f>IF(AND(MONTH(E624)='IN-NX'!$J$5,'IN-NX'!$D$7=D624,OR(LEFT(TH!N624,2)="15",LEFT(TH!O624,2)="15")),"x","")</f>
        <v/>
      </c>
      <c r="AE624" s="66" t="str">
        <f>IF(AND(OR(LEFT(TH!N624,2)="15",LEFT(TH!O624,2)="15"),'152-CT'!$J$8=TH!F624),"x","")</f>
        <v/>
      </c>
      <c r="AF624" s="66" t="str">
        <f>IF(AND(OR(LEFT(TH!N624,2)="15",LEFT(TH!O624,2)="15"),'THE KHO'!$E$7=TH!F624),"x","")</f>
        <v/>
      </c>
      <c r="AG624" s="66" t="str">
        <f>IF(AND(N624="1521",MONTH(C624)='BK NL'!$M$11),"x","")</f>
        <v/>
      </c>
    </row>
    <row r="625" spans="1:33" ht="15.75" hidden="1" customHeight="1">
      <c r="A625" s="397" t="str">
        <f>IF(B625&lt;&gt;"",IF(AND(B625&gt;=_TM1,B625&lt;=_TM2,OR(TH!N625="1111",TH!O625="1111")),TH!D625,""),"")</f>
        <v/>
      </c>
      <c r="B625" s="63" t="str">
        <f t="shared" si="58"/>
        <v/>
      </c>
      <c r="C625" s="64"/>
      <c r="D625" s="64"/>
      <c r="E625" s="64"/>
      <c r="F625" s="67"/>
      <c r="G625" s="375"/>
      <c r="H625" s="74"/>
      <c r="I625" s="514"/>
      <c r="J625" s="514"/>
      <c r="K625" s="506"/>
      <c r="L625" s="514"/>
      <c r="M625" s="65"/>
      <c r="N625" s="66"/>
      <c r="O625" s="66"/>
      <c r="P625" s="66" t="str">
        <f>IF(AND('331-CT'!$E$7=TH!H625,OR(N625="331",O625="331")),"x","")</f>
        <v/>
      </c>
      <c r="Q625" s="66" t="str">
        <f>IF(AND($B625&gt;='111'!$N$11,$B625&lt;='111'!$O$11,OR($N625=$Q$7,$O625=$Q$7)),"x","")</f>
        <v/>
      </c>
      <c r="R625" s="66" t="str">
        <f>IF(AND($N625=$Q$7,$B625&lt;'111'!$N$11),"x","")</f>
        <v/>
      </c>
      <c r="S625" s="66" t="str">
        <f>IF(AND($O625=$Q$7,$B625&lt;'111'!$N$11),"x","")</f>
        <v/>
      </c>
      <c r="T625" s="66" t="str">
        <f>IF(AND($B625&gt;='112'!$M$9,$B625&lt;='112'!$N$9,OR($N625='112'!$I$6,$O625='112'!$I$6)),"x","")</f>
        <v/>
      </c>
      <c r="U625" s="66" t="str">
        <f>IF(AND($N625='112'!$I$6,$B625&lt;'112'!$M$9),"x","")</f>
        <v/>
      </c>
      <c r="V625" s="66" t="str">
        <f>IF(AND($O625='112'!$I$6,$B625&lt;'112'!$M$9),"x","")</f>
        <v/>
      </c>
      <c r="W625" s="66" t="str">
        <f>IF(AND('131-CT'!$H$9=TH!H625,OR(N625="131",O625="131")),"x","")</f>
        <v/>
      </c>
      <c r="X625" s="66" t="str">
        <f>IF(AND($B625&gt;='1331'!$I$9,$B625&lt;='1331'!$J$9,OR($N625=$X$7,$O625=$X$7)),"x","")</f>
        <v/>
      </c>
      <c r="Y625" s="66" t="str">
        <f>IF(AND($N625=$X$7,$B625&lt;'1331'!$I$9),"x","")</f>
        <v/>
      </c>
      <c r="Z625" s="66" t="str">
        <f>IF(AND($O625=$X$7,$B625&lt;'1331'!$I$9),"x","")</f>
        <v/>
      </c>
      <c r="AA625" s="66" t="str">
        <f>IF(AND('341-CT'!$H$9=H625,OR(LEFT(N625,3)=$AA$7,LEFT(O625,3)=$AA$7)),"x","")</f>
        <v/>
      </c>
      <c r="AB625" s="66" t="str">
        <f>IF(OR(TH!N625=TH!$AB$7,O625=TH!$AB$7),"x","")</f>
        <v/>
      </c>
      <c r="AC625" s="66" t="str">
        <f t="shared" si="60"/>
        <v/>
      </c>
      <c r="AD625" s="66" t="str">
        <f>IF(AND(MONTH(E625)='IN-NX'!$J$5,'IN-NX'!$D$7=D625,OR(LEFT(TH!N625,2)="15",LEFT(TH!O625,2)="15")),"x","")</f>
        <v/>
      </c>
      <c r="AE625" s="66" t="str">
        <f>IF(AND(OR(LEFT(TH!N625,2)="15",LEFT(TH!O625,2)="15"),'152-CT'!$J$8=TH!F625),"x","")</f>
        <v/>
      </c>
      <c r="AF625" s="66" t="str">
        <f>IF(AND(OR(LEFT(TH!N625,2)="15",LEFT(TH!O625,2)="15"),'THE KHO'!$E$7=TH!F625),"x","")</f>
        <v/>
      </c>
      <c r="AG625" s="66" t="str">
        <f>IF(AND(N625="1521",MONTH(C625)='BK NL'!$M$11),"x","")</f>
        <v/>
      </c>
    </row>
    <row r="626" spans="1:33" ht="15.75" hidden="1" customHeight="1">
      <c r="A626" s="397" t="str">
        <f>IF(B626&lt;&gt;"",IF(AND(B626&gt;=_TM1,B626&lt;=_TM2,OR(TH!N626="1111",TH!O626="1111")),TH!D626,""),"")</f>
        <v/>
      </c>
      <c r="B626" s="63" t="str">
        <f t="shared" si="58"/>
        <v/>
      </c>
      <c r="C626" s="64"/>
      <c r="D626" s="64"/>
      <c r="E626" s="64"/>
      <c r="F626" s="67"/>
      <c r="G626" s="361"/>
      <c r="H626" s="404"/>
      <c r="I626" s="515"/>
      <c r="J626" s="515"/>
      <c r="K626" s="507"/>
      <c r="L626" s="515"/>
      <c r="M626" s="65"/>
      <c r="N626" s="66"/>
      <c r="O626" s="66"/>
      <c r="P626" s="66" t="str">
        <f>IF(AND('331-CT'!$E$7=TH!H626,OR(N626="331",O626="331")),"x","")</f>
        <v/>
      </c>
      <c r="Q626" s="66" t="str">
        <f>IF(AND($B626&gt;='111'!$N$11,$B626&lt;='111'!$O$11,OR($N626=$Q$7,$O626=$Q$7)),"x","")</f>
        <v/>
      </c>
      <c r="R626" s="66" t="str">
        <f>IF(AND($N626=$Q$7,$B626&lt;'111'!$N$11),"x","")</f>
        <v/>
      </c>
      <c r="S626" s="66" t="str">
        <f>IF(AND($O626=$Q$7,$B626&lt;'111'!$N$11),"x","")</f>
        <v/>
      </c>
      <c r="T626" s="66" t="str">
        <f>IF(AND($B626&gt;='112'!$M$9,$B626&lt;='112'!$N$9,OR($N626='112'!$I$6,$O626='112'!$I$6)),"x","")</f>
        <v/>
      </c>
      <c r="U626" s="66" t="str">
        <f>IF(AND($N626='112'!$I$6,$B626&lt;'112'!$M$9),"x","")</f>
        <v/>
      </c>
      <c r="V626" s="66" t="str">
        <f>IF(AND($O626='112'!$I$6,$B626&lt;'112'!$M$9),"x","")</f>
        <v/>
      </c>
      <c r="W626" s="66" t="str">
        <f>IF(AND('131-CT'!$H$9=TH!H626,OR(N626="131",O626="131")),"x","")</f>
        <v/>
      </c>
      <c r="X626" s="66" t="str">
        <f>IF(AND($B626&gt;='1331'!$I$9,$B626&lt;='1331'!$J$9,OR($N626=$X$7,$O626=$X$7)),"x","")</f>
        <v/>
      </c>
      <c r="Y626" s="66" t="str">
        <f>IF(AND($N626=$X$7,$B626&lt;'1331'!$I$9),"x","")</f>
        <v/>
      </c>
      <c r="Z626" s="66" t="str">
        <f>IF(AND($O626=$X$7,$B626&lt;'1331'!$I$9),"x","")</f>
        <v/>
      </c>
      <c r="AA626" s="66" t="str">
        <f>IF(AND('341-CT'!$H$9=H626,OR(LEFT(N626,3)=$AA$7,LEFT(O626,3)=$AA$7)),"x","")</f>
        <v/>
      </c>
      <c r="AB626" s="66" t="str">
        <f>IF(OR(TH!N626=TH!$AB$7,O626=TH!$AB$7),"x","")</f>
        <v/>
      </c>
      <c r="AC626" s="66" t="str">
        <f t="shared" si="60"/>
        <v/>
      </c>
      <c r="AD626" s="66" t="str">
        <f>IF(AND(MONTH(E626)='IN-NX'!$J$5,'IN-NX'!$D$7=D626,OR(LEFT(TH!N626,2)="15",LEFT(TH!O626,2)="15")),"x","")</f>
        <v/>
      </c>
      <c r="AE626" s="66" t="str">
        <f>IF(AND(OR(LEFT(TH!N626,2)="15",LEFT(TH!O626,2)="15"),'152-CT'!$J$8=TH!F626),"x","")</f>
        <v/>
      </c>
      <c r="AF626" s="66" t="str">
        <f>IF(AND(OR(LEFT(TH!N626,2)="15",LEFT(TH!O626,2)="15"),'THE KHO'!$E$7=TH!F626),"x","")</f>
        <v/>
      </c>
      <c r="AG626" s="66" t="str">
        <f>IF(AND(N626="1521",MONTH(C626)='BK NL'!$M$11),"x","")</f>
        <v/>
      </c>
    </row>
    <row r="627" spans="1:33" ht="15.75" hidden="1" customHeight="1">
      <c r="A627" s="397" t="str">
        <f>IF(B627&lt;&gt;"",IF(AND(B627&gt;=_TM1,B627&lt;=_TM2,OR(TH!N627="1111",TH!O627="1111")),TH!D627,""),"")</f>
        <v/>
      </c>
      <c r="B627" s="63" t="str">
        <f t="shared" si="58"/>
        <v/>
      </c>
      <c r="C627" s="64"/>
      <c r="D627" s="64"/>
      <c r="E627" s="64"/>
      <c r="F627" s="67"/>
      <c r="G627" s="361"/>
      <c r="H627" s="74"/>
      <c r="I627" s="514"/>
      <c r="J627" s="514"/>
      <c r="K627" s="506"/>
      <c r="L627" s="514"/>
      <c r="M627" s="65"/>
      <c r="N627" s="66"/>
      <c r="O627" s="66"/>
      <c r="P627" s="66" t="str">
        <f>IF(AND('331-CT'!$E$7=TH!H627,OR(N627="331",O627="331")),"x","")</f>
        <v/>
      </c>
      <c r="Q627" s="66" t="str">
        <f>IF(AND($B627&gt;='111'!$N$11,$B627&lt;='111'!$O$11,OR($N627=$Q$7,$O627=$Q$7)),"x","")</f>
        <v/>
      </c>
      <c r="R627" s="66" t="str">
        <f>IF(AND($N627=$Q$7,$B627&lt;'111'!$N$11),"x","")</f>
        <v/>
      </c>
      <c r="S627" s="66" t="str">
        <f>IF(AND($O627=$Q$7,$B627&lt;'111'!$N$11),"x","")</f>
        <v/>
      </c>
      <c r="T627" s="66" t="str">
        <f>IF(AND($B627&gt;='112'!$M$9,$B627&lt;='112'!$N$9,OR($N627='112'!$I$6,$O627='112'!$I$6)),"x","")</f>
        <v/>
      </c>
      <c r="U627" s="66" t="str">
        <f>IF(AND($N627='112'!$I$6,$B627&lt;'112'!$M$9),"x","")</f>
        <v/>
      </c>
      <c r="V627" s="66" t="str">
        <f>IF(AND($O627='112'!$I$6,$B627&lt;'112'!$M$9),"x","")</f>
        <v/>
      </c>
      <c r="W627" s="66" t="str">
        <f>IF(AND('131-CT'!$H$9=TH!H627,OR(N627="131",O627="131")),"x","")</f>
        <v/>
      </c>
      <c r="X627" s="66" t="str">
        <f>IF(AND($B627&gt;='1331'!$I$9,$B627&lt;='1331'!$J$9,OR($N627=$X$7,$O627=$X$7)),"x","")</f>
        <v/>
      </c>
      <c r="Y627" s="66" t="str">
        <f>IF(AND($N627=$X$7,$B627&lt;'1331'!$I$9),"x","")</f>
        <v/>
      </c>
      <c r="Z627" s="66" t="str">
        <f>IF(AND($O627=$X$7,$B627&lt;'1331'!$I$9),"x","")</f>
        <v/>
      </c>
      <c r="AA627" s="66" t="str">
        <f>IF(AND('341-CT'!$H$9=H627,OR(LEFT(N627,3)=$AA$7,LEFT(O627,3)=$AA$7)),"x","")</f>
        <v/>
      </c>
      <c r="AB627" s="66" t="str">
        <f>IF(OR(TH!N627=TH!$AB$7,O627=TH!$AB$7),"x","")</f>
        <v/>
      </c>
      <c r="AC627" s="66" t="str">
        <f t="shared" si="60"/>
        <v/>
      </c>
      <c r="AD627" s="66" t="str">
        <f>IF(AND(MONTH(E627)='IN-NX'!$J$5,'IN-NX'!$D$7=D627,OR(LEFT(TH!N627,2)="15",LEFT(TH!O627,2)="15")),"x","")</f>
        <v/>
      </c>
      <c r="AE627" s="66" t="str">
        <f>IF(AND(OR(LEFT(TH!N627,2)="15",LEFT(TH!O627,2)="15"),'152-CT'!$J$8=TH!F627),"x","")</f>
        <v/>
      </c>
      <c r="AF627" s="66" t="str">
        <f>IF(AND(OR(LEFT(TH!N627,2)="15",LEFT(TH!O627,2)="15"),'THE KHO'!$E$7=TH!F627),"x","")</f>
        <v/>
      </c>
      <c r="AG627" s="66" t="str">
        <f>IF(AND(N627="1521",MONTH(C627)='BK NL'!$M$11),"x","")</f>
        <v/>
      </c>
    </row>
    <row r="628" spans="1:33" ht="15.75" hidden="1" customHeight="1">
      <c r="A628" s="397" t="str">
        <f>IF(B628&lt;&gt;"",IF(AND(B628&gt;=_TM1,B628&lt;=_TM2,OR(TH!N628="1111",TH!O628="1111")),TH!D628,""),"")</f>
        <v/>
      </c>
      <c r="B628" s="63" t="str">
        <f t="shared" si="58"/>
        <v/>
      </c>
      <c r="C628" s="64"/>
      <c r="D628" s="64"/>
      <c r="E628" s="64"/>
      <c r="F628" s="67"/>
      <c r="G628" s="361"/>
      <c r="H628" s="74"/>
      <c r="I628" s="514"/>
      <c r="J628" s="514"/>
      <c r="K628" s="506"/>
      <c r="L628" s="514"/>
      <c r="M628" s="65"/>
      <c r="N628" s="66"/>
      <c r="O628" s="66"/>
      <c r="P628" s="66" t="str">
        <f>IF(AND('331-CT'!$E$7=TH!H628,OR(N628="331",O628="331")),"x","")</f>
        <v/>
      </c>
      <c r="Q628" s="66" t="str">
        <f>IF(AND($B628&gt;='111'!$N$11,$B628&lt;='111'!$O$11,OR($N628=$Q$7,$O628=$Q$7)),"x","")</f>
        <v/>
      </c>
      <c r="R628" s="66" t="str">
        <f>IF(AND($N628=$Q$7,$B628&lt;'111'!$N$11),"x","")</f>
        <v/>
      </c>
      <c r="S628" s="66" t="str">
        <f>IF(AND($O628=$Q$7,$B628&lt;'111'!$N$11),"x","")</f>
        <v/>
      </c>
      <c r="T628" s="66" t="str">
        <f>IF(AND($B628&gt;='112'!$M$9,$B628&lt;='112'!$N$9,OR($N628='112'!$I$6,$O628='112'!$I$6)),"x","")</f>
        <v/>
      </c>
      <c r="U628" s="66" t="str">
        <f>IF(AND($N628='112'!$I$6,$B628&lt;'112'!$M$9),"x","")</f>
        <v/>
      </c>
      <c r="V628" s="66" t="str">
        <f>IF(AND($O628='112'!$I$6,$B628&lt;'112'!$M$9),"x","")</f>
        <v/>
      </c>
      <c r="W628" s="66" t="str">
        <f>IF(AND('131-CT'!$H$9=TH!H628,OR(N628="131",O628="131")),"x","")</f>
        <v/>
      </c>
      <c r="X628" s="66" t="str">
        <f>IF(AND($B628&gt;='1331'!$I$9,$B628&lt;='1331'!$J$9,OR($N628=$X$7,$O628=$X$7)),"x","")</f>
        <v/>
      </c>
      <c r="Y628" s="66" t="str">
        <f>IF(AND($N628=$X$7,$B628&lt;'1331'!$I$9),"x","")</f>
        <v/>
      </c>
      <c r="Z628" s="66" t="str">
        <f>IF(AND($O628=$X$7,$B628&lt;'1331'!$I$9),"x","")</f>
        <v/>
      </c>
      <c r="AA628" s="66" t="str">
        <f>IF(AND('341-CT'!$H$9=H628,OR(LEFT(N628,3)=$AA$7,LEFT(O628,3)=$AA$7)),"x","")</f>
        <v/>
      </c>
      <c r="AB628" s="66" t="str">
        <f>IF(OR(TH!N628=TH!$AB$7,O628=TH!$AB$7),"x","")</f>
        <v/>
      </c>
      <c r="AC628" s="66" t="str">
        <f t="shared" si="60"/>
        <v/>
      </c>
      <c r="AD628" s="66" t="str">
        <f>IF(AND(MONTH(E628)='IN-NX'!$J$5,'IN-NX'!$D$7=D628,OR(LEFT(TH!N628,2)="15",LEFT(TH!O628,2)="15")),"x","")</f>
        <v/>
      </c>
      <c r="AE628" s="66" t="str">
        <f>IF(AND(OR(LEFT(TH!N628,2)="15",LEFT(TH!O628,2)="15"),'152-CT'!$J$8=TH!F628),"x","")</f>
        <v/>
      </c>
      <c r="AF628" s="66" t="str">
        <f>IF(AND(OR(LEFT(TH!N628,2)="15",LEFT(TH!O628,2)="15"),'THE KHO'!$E$7=TH!F628),"x","")</f>
        <v/>
      </c>
      <c r="AG628" s="66" t="str">
        <f>IF(AND(N628="1521",MONTH(C628)='BK NL'!$M$11),"x","")</f>
        <v/>
      </c>
    </row>
    <row r="629" spans="1:33" ht="15.75" hidden="1" customHeight="1">
      <c r="A629" s="397" t="str">
        <f>IF(B629&lt;&gt;"",IF(AND(B629&gt;=_TM1,B629&lt;=_TM2,OR(TH!N629="1111",TH!O629="1111")),TH!D629,""),"")</f>
        <v/>
      </c>
      <c r="B629" s="63" t="str">
        <f t="shared" si="58"/>
        <v/>
      </c>
      <c r="C629" s="64"/>
      <c r="D629" s="64"/>
      <c r="E629" s="64"/>
      <c r="F629" s="67"/>
      <c r="G629" s="375"/>
      <c r="H629" s="364"/>
      <c r="I629" s="514"/>
      <c r="J629" s="514"/>
      <c r="K629" s="506"/>
      <c r="L629" s="514"/>
      <c r="M629" s="65"/>
      <c r="N629" s="66"/>
      <c r="O629" s="66"/>
      <c r="P629" s="66" t="str">
        <f>IF(AND('331-CT'!$E$7=TH!H629,OR(N629="331",O629="331")),"x","")</f>
        <v/>
      </c>
      <c r="Q629" s="66" t="str">
        <f>IF(AND($B629&gt;='111'!$N$11,$B629&lt;='111'!$O$11,OR($N629=$Q$7,$O629=$Q$7)),"x","")</f>
        <v/>
      </c>
      <c r="R629" s="66" t="str">
        <f>IF(AND($N629=$Q$7,$B629&lt;'111'!$N$11),"x","")</f>
        <v/>
      </c>
      <c r="S629" s="66" t="str">
        <f>IF(AND($O629=$Q$7,$B629&lt;'111'!$N$11),"x","")</f>
        <v/>
      </c>
      <c r="T629" s="66" t="str">
        <f>IF(AND($B629&gt;='112'!$M$9,$B629&lt;='112'!$N$9,OR($N629='112'!$I$6,$O629='112'!$I$6)),"x","")</f>
        <v/>
      </c>
      <c r="U629" s="66" t="str">
        <f>IF(AND($N629='112'!$I$6,$B629&lt;'112'!$M$9),"x","")</f>
        <v/>
      </c>
      <c r="V629" s="66" t="str">
        <f>IF(AND($O629='112'!$I$6,$B629&lt;'112'!$M$9),"x","")</f>
        <v/>
      </c>
      <c r="W629" s="66" t="str">
        <f>IF(AND('131-CT'!$H$9=TH!H629,OR(N629="131",O629="131")),"x","")</f>
        <v/>
      </c>
      <c r="X629" s="66" t="str">
        <f>IF(AND($B629&gt;='1331'!$I$9,$B629&lt;='1331'!$J$9,OR($N629=$X$7,$O629=$X$7)),"x","")</f>
        <v/>
      </c>
      <c r="Y629" s="66" t="str">
        <f>IF(AND($N629=$X$7,$B629&lt;'1331'!$I$9),"x","")</f>
        <v/>
      </c>
      <c r="Z629" s="66" t="str">
        <f>IF(AND($O629=$X$7,$B629&lt;'1331'!$I$9),"x","")</f>
        <v/>
      </c>
      <c r="AA629" s="66" t="str">
        <f>IF(AND('341-CT'!$H$9=H629,OR(LEFT(N629,3)=$AA$7,LEFT(O629,3)=$AA$7)),"x","")</f>
        <v/>
      </c>
      <c r="AB629" s="66" t="str">
        <f>IF(OR(TH!N629=TH!$AB$7,O629=TH!$AB$7),"x","")</f>
        <v/>
      </c>
      <c r="AC629" s="66" t="str">
        <f t="shared" si="60"/>
        <v/>
      </c>
      <c r="AD629" s="66" t="str">
        <f>IF(AND(MONTH(E629)='IN-NX'!$J$5,'IN-NX'!$D$7=D629,OR(LEFT(TH!N629,2)="15",LEFT(TH!O629,2)="15")),"x","")</f>
        <v/>
      </c>
      <c r="AE629" s="66" t="str">
        <f>IF(AND(OR(LEFT(TH!N629,2)="15",LEFT(TH!O629,2)="15"),'152-CT'!$J$8=TH!F629),"x","")</f>
        <v/>
      </c>
      <c r="AF629" s="66" t="str">
        <f>IF(AND(OR(LEFT(TH!N629,2)="15",LEFT(TH!O629,2)="15"),'THE KHO'!$E$7=TH!F629),"x","")</f>
        <v/>
      </c>
      <c r="AG629" s="66" t="str">
        <f>IF(AND(N629="1521",MONTH(C629)='BK NL'!$M$11),"x","")</f>
        <v/>
      </c>
    </row>
    <row r="630" spans="1:33" ht="15.75" hidden="1" customHeight="1">
      <c r="A630" s="397" t="str">
        <f>IF(B630&lt;&gt;"",IF(AND(B630&gt;=_TM1,B630&lt;=_TM2,OR(TH!N630="1111",TH!O630="1111")),TH!D630,""),"")</f>
        <v/>
      </c>
      <c r="B630" s="63" t="str">
        <f t="shared" si="58"/>
        <v/>
      </c>
      <c r="C630" s="64"/>
      <c r="D630" s="64"/>
      <c r="E630" s="64"/>
      <c r="F630" s="67"/>
      <c r="G630" s="375"/>
      <c r="H630" s="364"/>
      <c r="I630" s="514"/>
      <c r="J630" s="514"/>
      <c r="K630" s="506"/>
      <c r="L630" s="514"/>
      <c r="M630" s="65"/>
      <c r="N630" s="66"/>
      <c r="O630" s="66"/>
      <c r="P630" s="66" t="str">
        <f>IF(AND('331-CT'!$E$7=TH!H630,OR(N630="331",O630="331")),"x","")</f>
        <v/>
      </c>
      <c r="Q630" s="66" t="str">
        <f>IF(AND($B630&gt;='111'!$N$11,$B630&lt;='111'!$O$11,OR($N630=$Q$7,$O630=$Q$7)),"x","")</f>
        <v/>
      </c>
      <c r="R630" s="66" t="str">
        <f>IF(AND($N630=$Q$7,$B630&lt;'111'!$N$11),"x","")</f>
        <v/>
      </c>
      <c r="S630" s="66" t="str">
        <f>IF(AND($O630=$Q$7,$B630&lt;'111'!$N$11),"x","")</f>
        <v/>
      </c>
      <c r="T630" s="66" t="str">
        <f>IF(AND($B630&gt;='112'!$M$9,$B630&lt;='112'!$N$9,OR($N630='112'!$I$6,$O630='112'!$I$6)),"x","")</f>
        <v/>
      </c>
      <c r="U630" s="66" t="str">
        <f>IF(AND($N630='112'!$I$6,$B630&lt;'112'!$M$9),"x","")</f>
        <v/>
      </c>
      <c r="V630" s="66" t="str">
        <f>IF(AND($O630='112'!$I$6,$B630&lt;'112'!$M$9),"x","")</f>
        <v/>
      </c>
      <c r="W630" s="66" t="str">
        <f>IF(AND('131-CT'!$H$9=TH!H630,OR(N630="131",O630="131")),"x","")</f>
        <v/>
      </c>
      <c r="X630" s="66" t="str">
        <f>IF(AND($B630&gt;='1331'!$I$9,$B630&lt;='1331'!$J$9,OR($N630=$X$7,$O630=$X$7)),"x","")</f>
        <v/>
      </c>
      <c r="Y630" s="66" t="str">
        <f>IF(AND($N630=$X$7,$B630&lt;'1331'!$I$9),"x","")</f>
        <v/>
      </c>
      <c r="Z630" s="66" t="str">
        <f>IF(AND($O630=$X$7,$B630&lt;'1331'!$I$9),"x","")</f>
        <v/>
      </c>
      <c r="AA630" s="66" t="str">
        <f>IF(AND('341-CT'!$H$9=H630,OR(LEFT(N630,3)=$AA$7,LEFT(O630,3)=$AA$7)),"x","")</f>
        <v/>
      </c>
      <c r="AB630" s="66" t="str">
        <f>IF(OR(TH!N630=TH!$AB$7,O630=TH!$AB$7),"x","")</f>
        <v/>
      </c>
      <c r="AC630" s="66" t="str">
        <f t="shared" si="60"/>
        <v/>
      </c>
      <c r="AD630" s="66" t="str">
        <f>IF(AND(MONTH(E630)='IN-NX'!$J$5,'IN-NX'!$D$7=D630,OR(LEFT(TH!N630,2)="15",LEFT(TH!O630,2)="15")),"x","")</f>
        <v/>
      </c>
      <c r="AE630" s="66" t="str">
        <f>IF(AND(OR(LEFT(TH!N630,2)="15",LEFT(TH!O630,2)="15"),'152-CT'!$J$8=TH!F630),"x","")</f>
        <v/>
      </c>
      <c r="AF630" s="66" t="str">
        <f>IF(AND(OR(LEFT(TH!N630,2)="15",LEFT(TH!O630,2)="15"),'THE KHO'!$E$7=TH!F630),"x","")</f>
        <v/>
      </c>
      <c r="AG630" s="66" t="str">
        <f>IF(AND(N630="1521",MONTH(C630)='BK NL'!$M$11),"x","")</f>
        <v/>
      </c>
    </row>
    <row r="631" spans="1:33" ht="15.75" hidden="1" customHeight="1">
      <c r="A631" s="397" t="str">
        <f>IF(B631&lt;&gt;"",IF(AND(B631&gt;=_TM1,B631&lt;=_TM2,OR(TH!N631="1111",TH!O631="1111")),TH!D631,""),"")</f>
        <v/>
      </c>
      <c r="B631" s="63" t="str">
        <f t="shared" si="58"/>
        <v/>
      </c>
      <c r="C631" s="64"/>
      <c r="D631" s="64"/>
      <c r="E631" s="64"/>
      <c r="F631" s="67"/>
      <c r="G631" s="375"/>
      <c r="H631" s="74"/>
      <c r="I631" s="514"/>
      <c r="J631" s="514"/>
      <c r="K631" s="506"/>
      <c r="L631" s="514"/>
      <c r="M631" s="65"/>
      <c r="N631" s="66"/>
      <c r="O631" s="66"/>
      <c r="P631" s="66" t="str">
        <f>IF(AND('331-CT'!$E$7=TH!H631,OR(N631="331",O631="331")),"x","")</f>
        <v/>
      </c>
      <c r="Q631" s="66" t="str">
        <f>IF(AND($B631&gt;='111'!$N$11,$B631&lt;='111'!$O$11,OR($N631=$Q$7,$O631=$Q$7)),"x","")</f>
        <v/>
      </c>
      <c r="R631" s="66" t="str">
        <f>IF(AND($N631=$Q$7,$B631&lt;'111'!$N$11),"x","")</f>
        <v/>
      </c>
      <c r="S631" s="66" t="str">
        <f>IF(AND($O631=$Q$7,$B631&lt;'111'!$N$11),"x","")</f>
        <v/>
      </c>
      <c r="T631" s="66" t="str">
        <f>IF(AND($B631&gt;='112'!$M$9,$B631&lt;='112'!$N$9,OR($N631='112'!$I$6,$O631='112'!$I$6)),"x","")</f>
        <v/>
      </c>
      <c r="U631" s="66" t="str">
        <f>IF(AND($N631='112'!$I$6,$B631&lt;'112'!$M$9),"x","")</f>
        <v/>
      </c>
      <c r="V631" s="66" t="str">
        <f>IF(AND($O631='112'!$I$6,$B631&lt;'112'!$M$9),"x","")</f>
        <v/>
      </c>
      <c r="W631" s="66" t="str">
        <f>IF(AND('131-CT'!$H$9=TH!H631,OR(N631="131",O631="131")),"x","")</f>
        <v/>
      </c>
      <c r="X631" s="66" t="str">
        <f>IF(AND($B631&gt;='1331'!$I$9,$B631&lt;='1331'!$J$9,OR($N631=$X$7,$O631=$X$7)),"x","")</f>
        <v/>
      </c>
      <c r="Y631" s="66" t="str">
        <f>IF(AND($N631=$X$7,$B631&lt;'1331'!$I$9),"x","")</f>
        <v/>
      </c>
      <c r="Z631" s="66" t="str">
        <f>IF(AND($O631=$X$7,$B631&lt;'1331'!$I$9),"x","")</f>
        <v/>
      </c>
      <c r="AA631" s="66" t="str">
        <f>IF(AND('341-CT'!$H$9=H631,OR(LEFT(N631,3)=$AA$7,LEFT(O631,3)=$AA$7)),"x","")</f>
        <v/>
      </c>
      <c r="AB631" s="66" t="str">
        <f>IF(OR(TH!N631=TH!$AB$7,O631=TH!$AB$7),"x","")</f>
        <v/>
      </c>
      <c r="AC631" s="66" t="str">
        <f t="shared" si="60"/>
        <v/>
      </c>
      <c r="AD631" s="66" t="str">
        <f>IF(AND(MONTH(E631)='IN-NX'!$J$5,'IN-NX'!$D$7=D631,OR(LEFT(TH!N631,2)="15",LEFT(TH!O631,2)="15")),"x","")</f>
        <v/>
      </c>
      <c r="AE631" s="66" t="str">
        <f>IF(AND(OR(LEFT(TH!N631,2)="15",LEFT(TH!O631,2)="15"),'152-CT'!$J$8=TH!F631),"x","")</f>
        <v/>
      </c>
      <c r="AF631" s="66" t="str">
        <f>IF(AND(OR(LEFT(TH!N631,2)="15",LEFT(TH!O631,2)="15"),'THE KHO'!$E$7=TH!F631),"x","")</f>
        <v/>
      </c>
      <c r="AG631" s="66" t="str">
        <f>IF(AND(N631="1521",MONTH(C631)='BK NL'!$M$11),"x","")</f>
        <v/>
      </c>
    </row>
    <row r="632" spans="1:33" ht="15.75" hidden="1" customHeight="1">
      <c r="A632" s="397" t="str">
        <f>IF(B632&lt;&gt;"",IF(AND(B632&gt;=_TM1,B632&lt;=_TM2,OR(TH!N632="1111",TH!O632="1111")),TH!D632,""),"")</f>
        <v/>
      </c>
      <c r="B632" s="63" t="str">
        <f t="shared" si="58"/>
        <v/>
      </c>
      <c r="C632" s="64"/>
      <c r="D632" s="64"/>
      <c r="E632" s="64"/>
      <c r="F632" s="67"/>
      <c r="G632" s="361"/>
      <c r="H632" s="74"/>
      <c r="I632" s="514"/>
      <c r="J632" s="514"/>
      <c r="K632" s="506"/>
      <c r="L632" s="514"/>
      <c r="M632" s="65"/>
      <c r="N632" s="66"/>
      <c r="O632" s="66"/>
      <c r="P632" s="66" t="str">
        <f>IF(AND('331-CT'!$E$7=TH!H632,OR(N632="331",O632="331")),"x","")</f>
        <v/>
      </c>
      <c r="Q632" s="66" t="str">
        <f>IF(AND($B632&gt;='111'!$N$11,$B632&lt;='111'!$O$11,OR($N632=$Q$7,$O632=$Q$7)),"x","")</f>
        <v/>
      </c>
      <c r="R632" s="66" t="str">
        <f>IF(AND($N632=$Q$7,$B632&lt;'111'!$N$11),"x","")</f>
        <v/>
      </c>
      <c r="S632" s="66" t="str">
        <f>IF(AND($O632=$Q$7,$B632&lt;'111'!$N$11),"x","")</f>
        <v/>
      </c>
      <c r="T632" s="66" t="str">
        <f>IF(AND($B632&gt;='112'!$M$9,$B632&lt;='112'!$N$9,OR($N632='112'!$I$6,$O632='112'!$I$6)),"x","")</f>
        <v/>
      </c>
      <c r="U632" s="66" t="str">
        <f>IF(AND($N632='112'!$I$6,$B632&lt;'112'!$M$9),"x","")</f>
        <v/>
      </c>
      <c r="V632" s="66" t="str">
        <f>IF(AND($O632='112'!$I$6,$B632&lt;'112'!$M$9),"x","")</f>
        <v/>
      </c>
      <c r="W632" s="66" t="str">
        <f>IF(AND('131-CT'!$H$9=TH!H632,OR(N632="131",O632="131")),"x","")</f>
        <v/>
      </c>
      <c r="X632" s="66" t="str">
        <f>IF(AND($B632&gt;='1331'!$I$9,$B632&lt;='1331'!$J$9,OR($N632=$X$7,$O632=$X$7)),"x","")</f>
        <v/>
      </c>
      <c r="Y632" s="66" t="str">
        <f>IF(AND($N632=$X$7,$B632&lt;'1331'!$I$9),"x","")</f>
        <v/>
      </c>
      <c r="Z632" s="66" t="str">
        <f>IF(AND($O632=$X$7,$B632&lt;'1331'!$I$9),"x","")</f>
        <v/>
      </c>
      <c r="AA632" s="66" t="str">
        <f>IF(AND('341-CT'!$H$9=H632,OR(LEFT(N632,3)=$AA$7,LEFT(O632,3)=$AA$7)),"x","")</f>
        <v/>
      </c>
      <c r="AB632" s="66" t="str">
        <f>IF(OR(TH!N632=TH!$AB$7,O632=TH!$AB$7),"x","")</f>
        <v/>
      </c>
      <c r="AC632" s="66" t="str">
        <f t="shared" si="60"/>
        <v/>
      </c>
      <c r="AD632" s="66" t="str">
        <f>IF(AND(MONTH(E632)='IN-NX'!$J$5,'IN-NX'!$D$7=D632,OR(LEFT(TH!N632,2)="15",LEFT(TH!O632,2)="15")),"x","")</f>
        <v/>
      </c>
      <c r="AE632" s="66" t="str">
        <f>IF(AND(OR(LEFT(TH!N632,2)="15",LEFT(TH!O632,2)="15"),'152-CT'!$J$8=TH!F632),"x","")</f>
        <v/>
      </c>
      <c r="AF632" s="66" t="str">
        <f>IF(AND(OR(LEFT(TH!N632,2)="15",LEFT(TH!O632,2)="15"),'THE KHO'!$E$7=TH!F632),"x","")</f>
        <v/>
      </c>
      <c r="AG632" s="66" t="str">
        <f>IF(AND(N632="1521",MONTH(C632)='BK NL'!$M$11),"x","")</f>
        <v/>
      </c>
    </row>
    <row r="633" spans="1:33" ht="15.75" hidden="1" customHeight="1">
      <c r="A633" s="397" t="str">
        <f>IF(B633&lt;&gt;"",IF(AND(B633&gt;=_TM1,B633&lt;=_TM2,OR(TH!N633="1111",TH!O633="1111")),TH!D633,""),"")</f>
        <v/>
      </c>
      <c r="B633" s="63" t="str">
        <f t="shared" si="58"/>
        <v/>
      </c>
      <c r="C633" s="64"/>
      <c r="D633" s="64"/>
      <c r="E633" s="64"/>
      <c r="F633" s="67"/>
      <c r="G633" s="361"/>
      <c r="H633" s="74"/>
      <c r="I633" s="514"/>
      <c r="J633" s="514"/>
      <c r="K633" s="506"/>
      <c r="L633" s="514"/>
      <c r="M633" s="65"/>
      <c r="N633" s="66"/>
      <c r="O633" s="66"/>
      <c r="P633" s="66" t="str">
        <f>IF(AND('331-CT'!$E$7=TH!H633,OR(N633="331",O633="331")),"x","")</f>
        <v/>
      </c>
      <c r="Q633" s="66" t="str">
        <f>IF(AND($B633&gt;='111'!$N$11,$B633&lt;='111'!$O$11,OR($N633=$Q$7,$O633=$Q$7)),"x","")</f>
        <v/>
      </c>
      <c r="R633" s="66" t="str">
        <f>IF(AND($N633=$Q$7,$B633&lt;'111'!$N$11),"x","")</f>
        <v/>
      </c>
      <c r="S633" s="66" t="str">
        <f>IF(AND($O633=$Q$7,$B633&lt;'111'!$N$11),"x","")</f>
        <v/>
      </c>
      <c r="T633" s="66" t="str">
        <f>IF(AND($B633&gt;='112'!$M$9,$B633&lt;='112'!$N$9,OR($N633='112'!$I$6,$O633='112'!$I$6)),"x","")</f>
        <v/>
      </c>
      <c r="U633" s="66" t="str">
        <f>IF(AND($N633='112'!$I$6,$B633&lt;'112'!$M$9),"x","")</f>
        <v/>
      </c>
      <c r="V633" s="66" t="str">
        <f>IF(AND($O633='112'!$I$6,$B633&lt;'112'!$M$9),"x","")</f>
        <v/>
      </c>
      <c r="W633" s="66" t="str">
        <f>IF(AND('131-CT'!$H$9=TH!H633,OR(N633="131",O633="131")),"x","")</f>
        <v/>
      </c>
      <c r="X633" s="66" t="str">
        <f>IF(AND($B633&gt;='1331'!$I$9,$B633&lt;='1331'!$J$9,OR($N633=$X$7,$O633=$X$7)),"x","")</f>
        <v/>
      </c>
      <c r="Y633" s="66" t="str">
        <f>IF(AND($N633=$X$7,$B633&lt;'1331'!$I$9),"x","")</f>
        <v/>
      </c>
      <c r="Z633" s="66" t="str">
        <f>IF(AND($O633=$X$7,$B633&lt;'1331'!$I$9),"x","")</f>
        <v/>
      </c>
      <c r="AA633" s="66" t="str">
        <f>IF(AND('341-CT'!$H$9=H633,OR(LEFT(N633,3)=$AA$7,LEFT(O633,3)=$AA$7)),"x","")</f>
        <v/>
      </c>
      <c r="AB633" s="66" t="str">
        <f>IF(OR(TH!N633=TH!$AB$7,O633=TH!$AB$7),"x","")</f>
        <v/>
      </c>
      <c r="AC633" s="66" t="str">
        <f t="shared" si="60"/>
        <v/>
      </c>
      <c r="AD633" s="66" t="str">
        <f>IF(AND(MONTH(E633)='IN-NX'!$J$5,'IN-NX'!$D$7=D633,OR(LEFT(TH!N633,2)="15",LEFT(TH!O633,2)="15")),"x","")</f>
        <v/>
      </c>
      <c r="AE633" s="66" t="str">
        <f>IF(AND(OR(LEFT(TH!N633,2)="15",LEFT(TH!O633,2)="15"),'152-CT'!$J$8=TH!F633),"x","")</f>
        <v/>
      </c>
      <c r="AF633" s="66" t="str">
        <f>IF(AND(OR(LEFT(TH!N633,2)="15",LEFT(TH!O633,2)="15"),'THE KHO'!$E$7=TH!F633),"x","")</f>
        <v/>
      </c>
      <c r="AG633" s="66" t="str">
        <f>IF(AND(N633="1521",MONTH(C633)='BK NL'!$M$11),"x","")</f>
        <v/>
      </c>
    </row>
    <row r="634" spans="1:33" ht="15.75" hidden="1" customHeight="1">
      <c r="A634" s="397" t="str">
        <f>IF(B634&lt;&gt;"",IF(AND(B634&gt;=_TM1,B634&lt;=_TM2,OR(TH!N634="1111",TH!O634="1111")),TH!D634,""),"")</f>
        <v/>
      </c>
      <c r="B634" s="63" t="str">
        <f t="shared" si="58"/>
        <v/>
      </c>
      <c r="C634" s="64"/>
      <c r="D634" s="64"/>
      <c r="E634" s="64"/>
      <c r="F634" s="67"/>
      <c r="G634" s="361"/>
      <c r="H634" s="74"/>
      <c r="I634" s="514"/>
      <c r="J634" s="514"/>
      <c r="K634" s="506"/>
      <c r="L634" s="514"/>
      <c r="M634" s="65"/>
      <c r="N634" s="66"/>
      <c r="O634" s="66"/>
      <c r="P634" s="66" t="str">
        <f>IF(AND('331-CT'!$E$7=TH!H634,OR(N634="331",O634="331")),"x","")</f>
        <v/>
      </c>
      <c r="Q634" s="66" t="str">
        <f>IF(AND($B634&gt;='111'!$N$11,$B634&lt;='111'!$O$11,OR($N634=$Q$7,$O634=$Q$7)),"x","")</f>
        <v/>
      </c>
      <c r="R634" s="66" t="str">
        <f>IF(AND($N634=$Q$7,$B634&lt;'111'!$N$11),"x","")</f>
        <v/>
      </c>
      <c r="S634" s="66" t="str">
        <f>IF(AND($O634=$Q$7,$B634&lt;'111'!$N$11),"x","")</f>
        <v/>
      </c>
      <c r="T634" s="66" t="str">
        <f>IF(AND($B634&gt;='112'!$M$9,$B634&lt;='112'!$N$9,OR($N634='112'!$I$6,$O634='112'!$I$6)),"x","")</f>
        <v/>
      </c>
      <c r="U634" s="66" t="str">
        <f>IF(AND($N634='112'!$I$6,$B634&lt;'112'!$M$9),"x","")</f>
        <v/>
      </c>
      <c r="V634" s="66" t="str">
        <f>IF(AND($O634='112'!$I$6,$B634&lt;'112'!$M$9),"x","")</f>
        <v/>
      </c>
      <c r="W634" s="66" t="str">
        <f>IF(AND('131-CT'!$H$9=TH!H634,OR(N634="131",O634="131")),"x","")</f>
        <v/>
      </c>
      <c r="X634" s="66" t="str">
        <f>IF(AND($B634&gt;='1331'!$I$9,$B634&lt;='1331'!$J$9,OR($N634=$X$7,$O634=$X$7)),"x","")</f>
        <v/>
      </c>
      <c r="Y634" s="66" t="str">
        <f>IF(AND($N634=$X$7,$B634&lt;'1331'!$I$9),"x","")</f>
        <v/>
      </c>
      <c r="Z634" s="66" t="str">
        <f>IF(AND($O634=$X$7,$B634&lt;'1331'!$I$9),"x","")</f>
        <v/>
      </c>
      <c r="AA634" s="66" t="str">
        <f>IF(AND('341-CT'!$H$9=H634,OR(LEFT(N634,3)=$AA$7,LEFT(O634,3)=$AA$7)),"x","")</f>
        <v/>
      </c>
      <c r="AB634" s="66" t="str">
        <f>IF(OR(TH!N634=TH!$AB$7,O634=TH!$AB$7),"x","")</f>
        <v/>
      </c>
      <c r="AC634" s="66" t="str">
        <f t="shared" si="60"/>
        <v/>
      </c>
      <c r="AD634" s="66" t="str">
        <f>IF(AND(MONTH(E634)='IN-NX'!$J$5,'IN-NX'!$D$7=D634,OR(LEFT(TH!N634,2)="15",LEFT(TH!O634,2)="15")),"x","")</f>
        <v/>
      </c>
      <c r="AE634" s="66" t="str">
        <f>IF(AND(OR(LEFT(TH!N634,2)="15",LEFT(TH!O634,2)="15"),'152-CT'!$J$8=TH!F634),"x","")</f>
        <v/>
      </c>
      <c r="AF634" s="66" t="str">
        <f>IF(AND(OR(LEFT(TH!N634,2)="15",LEFT(TH!O634,2)="15"),'THE KHO'!$E$7=TH!F634),"x","")</f>
        <v/>
      </c>
      <c r="AG634" s="66" t="str">
        <f>IF(AND(N634="1521",MONTH(C634)='BK NL'!$M$11),"x","")</f>
        <v/>
      </c>
    </row>
    <row r="635" spans="1:33" ht="15.75" hidden="1" customHeight="1">
      <c r="A635" s="397" t="str">
        <f>IF(B635&lt;&gt;"",IF(AND(B635&gt;=_TM1,B635&lt;=_TM2,OR(TH!N635="1111",TH!O635="1111")),TH!D635,""),"")</f>
        <v/>
      </c>
      <c r="B635" s="63" t="str">
        <f t="shared" si="58"/>
        <v/>
      </c>
      <c r="C635" s="64"/>
      <c r="D635" s="64"/>
      <c r="E635" s="64"/>
      <c r="F635" s="67"/>
      <c r="G635" s="361"/>
      <c r="H635" s="74"/>
      <c r="I635" s="514"/>
      <c r="J635" s="514"/>
      <c r="K635" s="506"/>
      <c r="L635" s="514"/>
      <c r="M635" s="65"/>
      <c r="N635" s="66"/>
      <c r="O635" s="66"/>
      <c r="P635" s="66" t="str">
        <f>IF(AND('331-CT'!$E$7=TH!H635,OR(N635="331",O635="331")),"x","")</f>
        <v/>
      </c>
      <c r="Q635" s="66" t="str">
        <f>IF(AND($B635&gt;='111'!$N$11,$B635&lt;='111'!$O$11,OR($N635=$Q$7,$O635=$Q$7)),"x","")</f>
        <v/>
      </c>
      <c r="R635" s="66" t="str">
        <f>IF(AND($N635=$Q$7,$B635&lt;'111'!$N$11),"x","")</f>
        <v/>
      </c>
      <c r="S635" s="66" t="str">
        <f>IF(AND($O635=$Q$7,$B635&lt;'111'!$N$11),"x","")</f>
        <v/>
      </c>
      <c r="T635" s="66" t="str">
        <f>IF(AND($B635&gt;='112'!$M$9,$B635&lt;='112'!$N$9,OR($N635='112'!$I$6,$O635='112'!$I$6)),"x","")</f>
        <v/>
      </c>
      <c r="U635" s="66" t="str">
        <f>IF(AND($N635='112'!$I$6,$B635&lt;'112'!$M$9),"x","")</f>
        <v/>
      </c>
      <c r="V635" s="66" t="str">
        <f>IF(AND($O635='112'!$I$6,$B635&lt;'112'!$M$9),"x","")</f>
        <v/>
      </c>
      <c r="W635" s="66" t="str">
        <f>IF(AND('131-CT'!$H$9=TH!H635,OR(N635="131",O635="131")),"x","")</f>
        <v/>
      </c>
      <c r="X635" s="66" t="str">
        <f>IF(AND($B635&gt;='1331'!$I$9,$B635&lt;='1331'!$J$9,OR($N635=$X$7,$O635=$X$7)),"x","")</f>
        <v/>
      </c>
      <c r="Y635" s="66" t="str">
        <f>IF(AND($N635=$X$7,$B635&lt;'1331'!$I$9),"x","")</f>
        <v/>
      </c>
      <c r="Z635" s="66" t="str">
        <f>IF(AND($O635=$X$7,$B635&lt;'1331'!$I$9),"x","")</f>
        <v/>
      </c>
      <c r="AA635" s="66" t="str">
        <f>IF(AND('341-CT'!$H$9=H635,OR(LEFT(N635,3)=$AA$7,LEFT(O635,3)=$AA$7)),"x","")</f>
        <v/>
      </c>
      <c r="AB635" s="66" t="str">
        <f>IF(OR(TH!N635=TH!$AB$7,O635=TH!$AB$7),"x","")</f>
        <v/>
      </c>
      <c r="AC635" s="66" t="str">
        <f t="shared" si="60"/>
        <v/>
      </c>
      <c r="AD635" s="66" t="str">
        <f>IF(AND(MONTH(E635)='IN-NX'!$J$5,'IN-NX'!$D$7=D635,OR(LEFT(TH!N635,2)="15",LEFT(TH!O635,2)="15")),"x","")</f>
        <v/>
      </c>
      <c r="AE635" s="66" t="str">
        <f>IF(AND(OR(LEFT(TH!N635,2)="15",LEFT(TH!O635,2)="15"),'152-CT'!$J$8=TH!F635),"x","")</f>
        <v/>
      </c>
      <c r="AF635" s="66" t="str">
        <f>IF(AND(OR(LEFT(TH!N635,2)="15",LEFT(TH!O635,2)="15"),'THE KHO'!$E$7=TH!F635),"x","")</f>
        <v/>
      </c>
      <c r="AG635" s="66" t="str">
        <f>IF(AND(N635="1521",MONTH(C635)='BK NL'!$M$11),"x","")</f>
        <v/>
      </c>
    </row>
    <row r="636" spans="1:33" ht="15.75" hidden="1" customHeight="1">
      <c r="A636" s="397" t="str">
        <f>IF(B636&lt;&gt;"",IF(AND(B636&gt;=_TM1,B636&lt;=_TM2,OR(TH!N636="1111",TH!O636="1111")),TH!D636,""),"")</f>
        <v/>
      </c>
      <c r="B636" s="63" t="str">
        <f t="shared" si="58"/>
        <v/>
      </c>
      <c r="C636" s="64"/>
      <c r="D636" s="64"/>
      <c r="E636" s="64"/>
      <c r="F636" s="67"/>
      <c r="G636" s="361"/>
      <c r="H636" s="74"/>
      <c r="I636" s="514"/>
      <c r="J636" s="514"/>
      <c r="K636" s="506"/>
      <c r="L636" s="514"/>
      <c r="M636" s="65"/>
      <c r="N636" s="66"/>
      <c r="O636" s="66"/>
      <c r="P636" s="66" t="str">
        <f>IF(AND('331-CT'!$E$7=TH!H636,OR(N636="331",O636="331")),"x","")</f>
        <v/>
      </c>
      <c r="Q636" s="66" t="str">
        <f>IF(AND($B636&gt;='111'!$N$11,$B636&lt;='111'!$O$11,OR($N636=$Q$7,$O636=$Q$7)),"x","")</f>
        <v/>
      </c>
      <c r="R636" s="66" t="str">
        <f>IF(AND($N636=$Q$7,$B636&lt;'111'!$N$11),"x","")</f>
        <v/>
      </c>
      <c r="S636" s="66" t="str">
        <f>IF(AND($O636=$Q$7,$B636&lt;'111'!$N$11),"x","")</f>
        <v/>
      </c>
      <c r="T636" s="66" t="str">
        <f>IF(AND($B636&gt;='112'!$M$9,$B636&lt;='112'!$N$9,OR($N636='112'!$I$6,$O636='112'!$I$6)),"x","")</f>
        <v/>
      </c>
      <c r="U636" s="66" t="str">
        <f>IF(AND($N636='112'!$I$6,$B636&lt;'112'!$M$9),"x","")</f>
        <v/>
      </c>
      <c r="V636" s="66" t="str">
        <f>IF(AND($O636='112'!$I$6,$B636&lt;'112'!$M$9),"x","")</f>
        <v/>
      </c>
      <c r="W636" s="66" t="str">
        <f>IF(AND('131-CT'!$H$9=TH!H636,OR(N636="131",O636="131")),"x","")</f>
        <v/>
      </c>
      <c r="X636" s="66" t="str">
        <f>IF(AND($B636&gt;='1331'!$I$9,$B636&lt;='1331'!$J$9,OR($N636=$X$7,$O636=$X$7)),"x","")</f>
        <v/>
      </c>
      <c r="Y636" s="66" t="str">
        <f>IF(AND($N636=$X$7,$B636&lt;'1331'!$I$9),"x","")</f>
        <v/>
      </c>
      <c r="Z636" s="66" t="str">
        <f>IF(AND($O636=$X$7,$B636&lt;'1331'!$I$9),"x","")</f>
        <v/>
      </c>
      <c r="AA636" s="66" t="str">
        <f>IF(AND('341-CT'!$H$9=H636,OR(LEFT(N636,3)=$AA$7,LEFT(O636,3)=$AA$7)),"x","")</f>
        <v/>
      </c>
      <c r="AB636" s="66" t="str">
        <f>IF(OR(TH!N636=TH!$AB$7,O636=TH!$AB$7),"x","")</f>
        <v/>
      </c>
      <c r="AC636" s="66" t="str">
        <f t="shared" si="60"/>
        <v/>
      </c>
      <c r="AD636" s="66" t="str">
        <f>IF(AND(MONTH(E636)='IN-NX'!$J$5,'IN-NX'!$D$7=D636,OR(LEFT(TH!N636,2)="15",LEFT(TH!O636,2)="15")),"x","")</f>
        <v/>
      </c>
      <c r="AE636" s="66" t="str">
        <f>IF(AND(OR(LEFT(TH!N636,2)="15",LEFT(TH!O636,2)="15"),'152-CT'!$J$8=TH!F636),"x","")</f>
        <v/>
      </c>
      <c r="AF636" s="66" t="str">
        <f>IF(AND(OR(LEFT(TH!N636,2)="15",LEFT(TH!O636,2)="15"),'THE KHO'!$E$7=TH!F636),"x","")</f>
        <v/>
      </c>
      <c r="AG636" s="66" t="str">
        <f>IF(AND(N636="1521",MONTH(C636)='BK NL'!$M$11),"x","")</f>
        <v/>
      </c>
    </row>
    <row r="637" spans="1:33" ht="15.75" hidden="1" customHeight="1">
      <c r="A637" s="397" t="str">
        <f>IF(B637&lt;&gt;"",IF(AND(B637&gt;=_TM1,B637&lt;=_TM2,OR(TH!N637="1111",TH!O637="1111")),TH!D637,""),"")</f>
        <v/>
      </c>
      <c r="B637" s="63" t="str">
        <f t="shared" si="58"/>
        <v/>
      </c>
      <c r="C637" s="64"/>
      <c r="D637" s="64"/>
      <c r="E637" s="64"/>
      <c r="F637" s="67"/>
      <c r="G637" s="361"/>
      <c r="H637" s="74"/>
      <c r="I637" s="514"/>
      <c r="J637" s="514"/>
      <c r="K637" s="506"/>
      <c r="L637" s="514"/>
      <c r="M637" s="65"/>
      <c r="N637" s="66"/>
      <c r="O637" s="66"/>
      <c r="P637" s="66" t="str">
        <f>IF(AND('331-CT'!$E$7=TH!H637,OR(N637="331",O637="331")),"x","")</f>
        <v/>
      </c>
      <c r="Q637" s="66" t="str">
        <f>IF(AND($B637&gt;='111'!$N$11,$B637&lt;='111'!$O$11,OR($N637=$Q$7,$O637=$Q$7)),"x","")</f>
        <v/>
      </c>
      <c r="R637" s="66" t="str">
        <f>IF(AND($N637=$Q$7,$B637&lt;'111'!$N$11),"x","")</f>
        <v/>
      </c>
      <c r="S637" s="66" t="str">
        <f>IF(AND($O637=$Q$7,$B637&lt;'111'!$N$11),"x","")</f>
        <v/>
      </c>
      <c r="T637" s="66" t="str">
        <f>IF(AND($B637&gt;='112'!$M$9,$B637&lt;='112'!$N$9,OR($N637='112'!$I$6,$O637='112'!$I$6)),"x","")</f>
        <v/>
      </c>
      <c r="U637" s="66" t="str">
        <f>IF(AND($N637='112'!$I$6,$B637&lt;'112'!$M$9),"x","")</f>
        <v/>
      </c>
      <c r="V637" s="66" t="str">
        <f>IF(AND($O637='112'!$I$6,$B637&lt;'112'!$M$9),"x","")</f>
        <v/>
      </c>
      <c r="W637" s="66" t="str">
        <f>IF(AND('131-CT'!$H$9=TH!H637,OR(N637="131",O637="131")),"x","")</f>
        <v/>
      </c>
      <c r="X637" s="66" t="str">
        <f>IF(AND($B637&gt;='1331'!$I$9,$B637&lt;='1331'!$J$9,OR($N637=$X$7,$O637=$X$7)),"x","")</f>
        <v/>
      </c>
      <c r="Y637" s="66" t="str">
        <f>IF(AND($N637=$X$7,$B637&lt;'1331'!$I$9),"x","")</f>
        <v/>
      </c>
      <c r="Z637" s="66" t="str">
        <f>IF(AND($O637=$X$7,$B637&lt;'1331'!$I$9),"x","")</f>
        <v/>
      </c>
      <c r="AA637" s="66" t="str">
        <f>IF(AND('341-CT'!$H$9=H637,OR(LEFT(N637,3)=$AA$7,LEFT(O637,3)=$AA$7)),"x","")</f>
        <v/>
      </c>
      <c r="AB637" s="66" t="str">
        <f>IF(OR(TH!N637=TH!$AB$7,O637=TH!$AB$7),"x","")</f>
        <v/>
      </c>
      <c r="AC637" s="66" t="str">
        <f t="shared" si="60"/>
        <v/>
      </c>
      <c r="AD637" s="66" t="str">
        <f>IF(AND(MONTH(E637)='IN-NX'!$J$5,'IN-NX'!$D$7=D637,OR(LEFT(TH!N637,2)="15",LEFT(TH!O637,2)="15")),"x","")</f>
        <v/>
      </c>
      <c r="AE637" s="66" t="str">
        <f>IF(AND(OR(LEFT(TH!N637,2)="15",LEFT(TH!O637,2)="15"),'152-CT'!$J$8=TH!F637),"x","")</f>
        <v/>
      </c>
      <c r="AF637" s="66" t="str">
        <f>IF(AND(OR(LEFT(TH!N637,2)="15",LEFT(TH!O637,2)="15"),'THE KHO'!$E$7=TH!F637),"x","")</f>
        <v/>
      </c>
      <c r="AG637" s="66" t="str">
        <f>IF(AND(N637="1521",MONTH(C637)='BK NL'!$M$11),"x","")</f>
        <v/>
      </c>
    </row>
    <row r="638" spans="1:33" ht="15.75" hidden="1" customHeight="1">
      <c r="A638" s="397" t="str">
        <f>IF(B638&lt;&gt;"",IF(AND(B638&gt;=_TM1,B638&lt;=_TM2,OR(TH!N638="1111",TH!O638="1111")),TH!D638,""),"")</f>
        <v/>
      </c>
      <c r="B638" s="63" t="str">
        <f t="shared" si="58"/>
        <v/>
      </c>
      <c r="C638" s="64"/>
      <c r="D638" s="64"/>
      <c r="E638" s="64"/>
      <c r="F638" s="67"/>
      <c r="G638" s="375"/>
      <c r="H638" s="74"/>
      <c r="I638" s="514"/>
      <c r="J638" s="514"/>
      <c r="K638" s="506"/>
      <c r="L638" s="514"/>
      <c r="M638" s="65"/>
      <c r="N638" s="66"/>
      <c r="O638" s="66"/>
      <c r="P638" s="66" t="str">
        <f>IF(AND('331-CT'!$E$7=TH!H638,OR(N638="331",O638="331")),"x","")</f>
        <v/>
      </c>
      <c r="Q638" s="66" t="str">
        <f>IF(AND($B638&gt;='111'!$N$11,$B638&lt;='111'!$O$11,OR($N638=$Q$7,$O638=$Q$7)),"x","")</f>
        <v/>
      </c>
      <c r="R638" s="66" t="str">
        <f>IF(AND($N638=$Q$7,$B638&lt;'111'!$N$11),"x","")</f>
        <v/>
      </c>
      <c r="S638" s="66" t="str">
        <f>IF(AND($O638=$Q$7,$B638&lt;'111'!$N$11),"x","")</f>
        <v/>
      </c>
      <c r="T638" s="66" t="str">
        <f>IF(AND($B638&gt;='112'!$M$9,$B638&lt;='112'!$N$9,OR($N638='112'!$I$6,$O638='112'!$I$6)),"x","")</f>
        <v/>
      </c>
      <c r="U638" s="66" t="str">
        <f>IF(AND($N638='112'!$I$6,$B638&lt;'112'!$M$9),"x","")</f>
        <v/>
      </c>
      <c r="V638" s="66" t="str">
        <f>IF(AND($O638='112'!$I$6,$B638&lt;'112'!$M$9),"x","")</f>
        <v/>
      </c>
      <c r="W638" s="66" t="str">
        <f>IF(AND('131-CT'!$H$9=TH!H638,OR(N638="131",O638="131")),"x","")</f>
        <v/>
      </c>
      <c r="X638" s="66" t="str">
        <f>IF(AND($B638&gt;='1331'!$I$9,$B638&lt;='1331'!$J$9,OR($N638=$X$7,$O638=$X$7)),"x","")</f>
        <v/>
      </c>
      <c r="Y638" s="66" t="str">
        <f>IF(AND($N638=$X$7,$B638&lt;'1331'!$I$9),"x","")</f>
        <v/>
      </c>
      <c r="Z638" s="66" t="str">
        <f>IF(AND($O638=$X$7,$B638&lt;'1331'!$I$9),"x","")</f>
        <v/>
      </c>
      <c r="AA638" s="66" t="str">
        <f>IF(AND('341-CT'!$H$9=H638,OR(LEFT(N638,3)=$AA$7,LEFT(O638,3)=$AA$7)),"x","")</f>
        <v/>
      </c>
      <c r="AB638" s="66" t="str">
        <f>IF(OR(TH!N638=TH!$AB$7,O638=TH!$AB$7),"x","")</f>
        <v/>
      </c>
      <c r="AC638" s="66" t="str">
        <f t="shared" si="60"/>
        <v/>
      </c>
      <c r="AD638" s="66" t="str">
        <f>IF(AND(MONTH(E638)='IN-NX'!$J$5,'IN-NX'!$D$7=D638,OR(LEFT(TH!N638,2)="15",LEFT(TH!O638,2)="15")),"x","")</f>
        <v/>
      </c>
      <c r="AE638" s="66" t="str">
        <f>IF(AND(OR(LEFT(TH!N638,2)="15",LEFT(TH!O638,2)="15"),'152-CT'!$J$8=TH!F638),"x","")</f>
        <v/>
      </c>
      <c r="AF638" s="66" t="str">
        <f>IF(AND(OR(LEFT(TH!N638,2)="15",LEFT(TH!O638,2)="15"),'THE KHO'!$E$7=TH!F638),"x","")</f>
        <v/>
      </c>
      <c r="AG638" s="66" t="str">
        <f>IF(AND(N638="1521",MONTH(C638)='BK NL'!$M$11),"x","")</f>
        <v/>
      </c>
    </row>
    <row r="639" spans="1:33" ht="15.75" hidden="1" customHeight="1">
      <c r="A639" s="397" t="str">
        <f>IF(B639&lt;&gt;"",IF(AND(B639&gt;=_TM1,B639&lt;=_TM2,OR(TH!N639="1111",TH!O639="1111")),TH!D639,""),"")</f>
        <v/>
      </c>
      <c r="B639" s="63" t="str">
        <f t="shared" si="58"/>
        <v/>
      </c>
      <c r="C639" s="64"/>
      <c r="D639" s="64"/>
      <c r="E639" s="64"/>
      <c r="F639" s="67"/>
      <c r="G639" s="375"/>
      <c r="H639" s="74"/>
      <c r="I639" s="514"/>
      <c r="J639" s="514"/>
      <c r="K639" s="506"/>
      <c r="L639" s="514"/>
      <c r="M639" s="65"/>
      <c r="N639" s="66"/>
      <c r="O639" s="66"/>
      <c r="P639" s="66" t="str">
        <f>IF(AND('331-CT'!$E$7=TH!H639,OR(N639="331",O639="331")),"x","")</f>
        <v/>
      </c>
      <c r="Q639" s="66" t="str">
        <f>IF(AND($B639&gt;='111'!$N$11,$B639&lt;='111'!$O$11,OR($N639=$Q$7,$O639=$Q$7)),"x","")</f>
        <v/>
      </c>
      <c r="R639" s="66" t="str">
        <f>IF(AND($N639=$Q$7,$B639&lt;'111'!$N$11),"x","")</f>
        <v/>
      </c>
      <c r="S639" s="66" t="str">
        <f>IF(AND($O639=$Q$7,$B639&lt;'111'!$N$11),"x","")</f>
        <v/>
      </c>
      <c r="T639" s="66" t="str">
        <f>IF(AND($B639&gt;='112'!$M$9,$B639&lt;='112'!$N$9,OR($N639='112'!$I$6,$O639='112'!$I$6)),"x","")</f>
        <v/>
      </c>
      <c r="U639" s="66" t="str">
        <f>IF(AND($N639='112'!$I$6,$B639&lt;'112'!$M$9),"x","")</f>
        <v/>
      </c>
      <c r="V639" s="66" t="str">
        <f>IF(AND($O639='112'!$I$6,$B639&lt;'112'!$M$9),"x","")</f>
        <v/>
      </c>
      <c r="W639" s="66" t="str">
        <f>IF(AND('131-CT'!$H$9=TH!H639,OR(N639="131",O639="131")),"x","")</f>
        <v/>
      </c>
      <c r="X639" s="66" t="str">
        <f>IF(AND($B639&gt;='1331'!$I$9,$B639&lt;='1331'!$J$9,OR($N639=$X$7,$O639=$X$7)),"x","")</f>
        <v/>
      </c>
      <c r="Y639" s="66" t="str">
        <f>IF(AND($N639=$X$7,$B639&lt;'1331'!$I$9),"x","")</f>
        <v/>
      </c>
      <c r="Z639" s="66" t="str">
        <f>IF(AND($O639=$X$7,$B639&lt;'1331'!$I$9),"x","")</f>
        <v/>
      </c>
      <c r="AA639" s="66" t="str">
        <f>IF(AND('341-CT'!$H$9=H639,OR(LEFT(N639,3)=$AA$7,LEFT(O639,3)=$AA$7)),"x","")</f>
        <v/>
      </c>
      <c r="AB639" s="66" t="str">
        <f>IF(OR(TH!N639=TH!$AB$7,O639=TH!$AB$7),"x","")</f>
        <v/>
      </c>
      <c r="AC639" s="66" t="str">
        <f t="shared" si="60"/>
        <v/>
      </c>
      <c r="AD639" s="66" t="str">
        <f>IF(AND(MONTH(E639)='IN-NX'!$J$5,'IN-NX'!$D$7=D639,OR(LEFT(TH!N639,2)="15",LEFT(TH!O639,2)="15")),"x","")</f>
        <v/>
      </c>
      <c r="AE639" s="66" t="str">
        <f>IF(AND(OR(LEFT(TH!N639,2)="15",LEFT(TH!O639,2)="15"),'152-CT'!$J$8=TH!F639),"x","")</f>
        <v/>
      </c>
      <c r="AF639" s="66" t="str">
        <f>IF(AND(OR(LEFT(TH!N639,2)="15",LEFT(TH!O639,2)="15"),'THE KHO'!$E$7=TH!F639),"x","")</f>
        <v/>
      </c>
      <c r="AG639" s="66" t="str">
        <f>IF(AND(N639="1521",MONTH(C639)='BK NL'!$M$11),"x","")</f>
        <v/>
      </c>
    </row>
    <row r="640" spans="1:33" ht="15.75" hidden="1" customHeight="1">
      <c r="A640" s="397" t="str">
        <f>IF(B640&lt;&gt;"",IF(AND(B640&gt;=_TM1,B640&lt;=_TM2,OR(TH!N640="1111",TH!O640="1111")),TH!D640,""),"")</f>
        <v/>
      </c>
      <c r="B640" s="63" t="str">
        <f t="shared" si="58"/>
        <v/>
      </c>
      <c r="C640" s="64"/>
      <c r="D640" s="64"/>
      <c r="E640" s="64"/>
      <c r="F640" s="67"/>
      <c r="G640" s="375"/>
      <c r="H640" s="74"/>
      <c r="I640" s="514"/>
      <c r="J640" s="514"/>
      <c r="K640" s="506"/>
      <c r="L640" s="514"/>
      <c r="M640" s="65"/>
      <c r="N640" s="365"/>
      <c r="O640" s="66"/>
      <c r="P640" s="66" t="str">
        <f>IF(AND('331-CT'!$E$7=TH!H640,OR(N640="331",O640="331")),"x","")</f>
        <v/>
      </c>
      <c r="Q640" s="66" t="str">
        <f>IF(AND($B640&gt;='111'!$N$11,$B640&lt;='111'!$O$11,OR($N640=$Q$7,$O640=$Q$7)),"x","")</f>
        <v/>
      </c>
      <c r="R640" s="66" t="str">
        <f>IF(AND($N640=$Q$7,$B640&lt;'111'!$N$11),"x","")</f>
        <v/>
      </c>
      <c r="S640" s="66" t="str">
        <f>IF(AND($O640=$Q$7,$B640&lt;'111'!$N$11),"x","")</f>
        <v/>
      </c>
      <c r="T640" s="66" t="str">
        <f>IF(AND($B640&gt;='112'!$M$9,$B640&lt;='112'!$N$9,OR($N640='112'!$I$6,$O640='112'!$I$6)),"x","")</f>
        <v/>
      </c>
      <c r="U640" s="66" t="str">
        <f>IF(AND($N640='112'!$I$6,$B640&lt;'112'!$M$9),"x","")</f>
        <v/>
      </c>
      <c r="V640" s="66" t="str">
        <f>IF(AND($O640='112'!$I$6,$B640&lt;'112'!$M$9),"x","")</f>
        <v/>
      </c>
      <c r="W640" s="66" t="str">
        <f>IF(AND('131-CT'!$H$9=TH!H640,OR(N640="131",O640="131")),"x","")</f>
        <v/>
      </c>
      <c r="X640" s="66" t="str">
        <f>IF(AND($B640&gt;='1331'!$I$9,$B640&lt;='1331'!$J$9,OR($N640=$X$7,$O640=$X$7)),"x","")</f>
        <v/>
      </c>
      <c r="Y640" s="66" t="str">
        <f>IF(AND($N640=$X$7,$B640&lt;'1331'!$I$9),"x","")</f>
        <v/>
      </c>
      <c r="Z640" s="66" t="str">
        <f>IF(AND($O640=$X$7,$B640&lt;'1331'!$I$9),"x","")</f>
        <v/>
      </c>
      <c r="AA640" s="66" t="str">
        <f>IF(AND('341-CT'!$H$9=H640,OR(LEFT(N640,3)=$AA$7,LEFT(O640,3)=$AA$7)),"x","")</f>
        <v/>
      </c>
      <c r="AB640" s="66" t="str">
        <f>IF(OR(TH!N640=TH!$AB$7,O640=TH!$AB$7),"x","")</f>
        <v/>
      </c>
      <c r="AC640" s="66" t="str">
        <f t="shared" si="60"/>
        <v/>
      </c>
      <c r="AD640" s="66" t="str">
        <f>IF(AND(MONTH(E640)='IN-NX'!$J$5,'IN-NX'!$D$7=D640,OR(LEFT(TH!N640,2)="15",LEFT(TH!O640,2)="15")),"x","")</f>
        <v/>
      </c>
      <c r="AE640" s="66" t="str">
        <f>IF(AND(OR(LEFT(TH!N640,2)="15",LEFT(TH!O640,2)="15"),'152-CT'!$J$8=TH!F640),"x","")</f>
        <v/>
      </c>
      <c r="AF640" s="66" t="str">
        <f>IF(AND(OR(LEFT(TH!N640,2)="15",LEFT(TH!O640,2)="15"),'THE KHO'!$E$7=TH!F640),"x","")</f>
        <v/>
      </c>
      <c r="AG640" s="66" t="str">
        <f>IF(AND(N640="1521",MONTH(C640)='BK NL'!$M$11),"x","")</f>
        <v/>
      </c>
    </row>
    <row r="641" spans="1:33" ht="15.75" hidden="1" customHeight="1">
      <c r="A641" s="397" t="str">
        <f>IF(B641&lt;&gt;"",IF(AND(B641&gt;=_TM1,B641&lt;=_TM2,OR(TH!N641="1111",TH!O641="1111")),TH!D641,""),"")</f>
        <v/>
      </c>
      <c r="B641" s="63" t="str">
        <f t="shared" si="58"/>
        <v/>
      </c>
      <c r="C641" s="64"/>
      <c r="D641" s="64"/>
      <c r="E641" s="64"/>
      <c r="F641" s="67"/>
      <c r="G641" s="375"/>
      <c r="H641" s="74"/>
      <c r="I641" s="514"/>
      <c r="J641" s="514"/>
      <c r="K641" s="506"/>
      <c r="L641" s="514"/>
      <c r="M641" s="65"/>
      <c r="N641" s="365"/>
      <c r="O641" s="66"/>
      <c r="P641" s="66" t="str">
        <f>IF(AND('331-CT'!$E$7=TH!H641,OR(N641="331",O641="331")),"x","")</f>
        <v/>
      </c>
      <c r="Q641" s="66" t="str">
        <f>IF(AND($B641&gt;='111'!$N$11,$B641&lt;='111'!$O$11,OR($N641=$Q$7,$O641=$Q$7)),"x","")</f>
        <v/>
      </c>
      <c r="R641" s="66" t="str">
        <f>IF(AND($N641=$Q$7,$B641&lt;'111'!$N$11),"x","")</f>
        <v/>
      </c>
      <c r="S641" s="66" t="str">
        <f>IF(AND($O641=$Q$7,$B641&lt;'111'!$N$11),"x","")</f>
        <v/>
      </c>
      <c r="T641" s="66" t="str">
        <f>IF(AND($B641&gt;='112'!$M$9,$B641&lt;='112'!$N$9,OR($N641='112'!$I$6,$O641='112'!$I$6)),"x","")</f>
        <v/>
      </c>
      <c r="U641" s="66" t="str">
        <f>IF(AND($N641='112'!$I$6,$B641&lt;'112'!$M$9),"x","")</f>
        <v/>
      </c>
      <c r="V641" s="66" t="str">
        <f>IF(AND($O641='112'!$I$6,$B641&lt;'112'!$M$9),"x","")</f>
        <v/>
      </c>
      <c r="W641" s="66" t="str">
        <f>IF(AND('131-CT'!$H$9=TH!H641,OR(N641="131",O641="131")),"x","")</f>
        <v/>
      </c>
      <c r="X641" s="66" t="str">
        <f>IF(AND($B641&gt;='1331'!$I$9,$B641&lt;='1331'!$J$9,OR($N641=$X$7,$O641=$X$7)),"x","")</f>
        <v/>
      </c>
      <c r="Y641" s="66" t="str">
        <f>IF(AND($N641=$X$7,$B641&lt;'1331'!$I$9),"x","")</f>
        <v/>
      </c>
      <c r="Z641" s="66" t="str">
        <f>IF(AND($O641=$X$7,$B641&lt;'1331'!$I$9),"x","")</f>
        <v/>
      </c>
      <c r="AA641" s="66" t="str">
        <f>IF(AND('341-CT'!$H$9=H641,OR(LEFT(N641,3)=$AA$7,LEFT(O641,3)=$AA$7)),"x","")</f>
        <v/>
      </c>
      <c r="AB641" s="66" t="str">
        <f>IF(OR(TH!N641=TH!$AB$7,O641=TH!$AB$7),"x","")</f>
        <v/>
      </c>
      <c r="AC641" s="66" t="str">
        <f t="shared" si="60"/>
        <v/>
      </c>
      <c r="AD641" s="66" t="str">
        <f>IF(AND(MONTH(E641)='IN-NX'!$J$5,'IN-NX'!$D$7=D641,OR(LEFT(TH!N641,2)="15",LEFT(TH!O641,2)="15")),"x","")</f>
        <v/>
      </c>
      <c r="AE641" s="66" t="str">
        <f>IF(AND(OR(LEFT(TH!N641,2)="15",LEFT(TH!O641,2)="15"),'152-CT'!$J$8=TH!F641),"x","")</f>
        <v/>
      </c>
      <c r="AF641" s="66" t="str">
        <f>IF(AND(OR(LEFT(TH!N641,2)="15",LEFT(TH!O641,2)="15"),'THE KHO'!$E$7=TH!F641),"x","")</f>
        <v/>
      </c>
      <c r="AG641" s="66" t="str">
        <f>IF(AND(N641="1521",MONTH(C641)='BK NL'!$M$11),"x","")</f>
        <v/>
      </c>
    </row>
    <row r="642" spans="1:33" ht="15.75" hidden="1" customHeight="1">
      <c r="A642" s="397" t="str">
        <f>IF(B642&lt;&gt;"",IF(AND(B642&gt;=_TM1,B642&lt;=_TM2,OR(TH!N642="1111",TH!O642="1111")),TH!D642,""),"")</f>
        <v/>
      </c>
      <c r="B642" s="63" t="str">
        <f t="shared" si="58"/>
        <v/>
      </c>
      <c r="C642" s="64"/>
      <c r="D642" s="64"/>
      <c r="E642" s="64"/>
      <c r="F642" s="67"/>
      <c r="G642" s="375"/>
      <c r="H642" s="74"/>
      <c r="I642" s="514"/>
      <c r="J642" s="514"/>
      <c r="K642" s="506"/>
      <c r="L642" s="514"/>
      <c r="M642" s="65"/>
      <c r="N642" s="66"/>
      <c r="O642" s="66"/>
      <c r="P642" s="66" t="str">
        <f>IF(AND('331-CT'!$E$7=TH!H642,OR(N642="331",O642="331")),"x","")</f>
        <v/>
      </c>
      <c r="Q642" s="66" t="str">
        <f>IF(AND($B642&gt;='111'!$N$11,$B642&lt;='111'!$O$11,OR($N642=$Q$7,$O642=$Q$7)),"x","")</f>
        <v/>
      </c>
      <c r="R642" s="66" t="str">
        <f>IF(AND($N642=$Q$7,$B642&lt;'111'!$N$11),"x","")</f>
        <v/>
      </c>
      <c r="S642" s="66" t="str">
        <f>IF(AND($O642=$Q$7,$B642&lt;'111'!$N$11),"x","")</f>
        <v/>
      </c>
      <c r="T642" s="66" t="str">
        <f>IF(AND($B642&gt;='112'!$M$9,$B642&lt;='112'!$N$9,OR($N642='112'!$I$6,$O642='112'!$I$6)),"x","")</f>
        <v/>
      </c>
      <c r="U642" s="66" t="str">
        <f>IF(AND($N642='112'!$I$6,$B642&lt;'112'!$M$9),"x","")</f>
        <v/>
      </c>
      <c r="V642" s="66" t="str">
        <f>IF(AND($O642='112'!$I$6,$B642&lt;'112'!$M$9),"x","")</f>
        <v/>
      </c>
      <c r="W642" s="66" t="str">
        <f>IF(AND('131-CT'!$H$9=TH!H642,OR(N642="131",O642="131")),"x","")</f>
        <v/>
      </c>
      <c r="X642" s="66" t="str">
        <f>IF(AND($B642&gt;='1331'!$I$9,$B642&lt;='1331'!$J$9,OR($N642=$X$7,$O642=$X$7)),"x","")</f>
        <v/>
      </c>
      <c r="Y642" s="66" t="str">
        <f>IF(AND($N642=$X$7,$B642&lt;'1331'!$I$9),"x","")</f>
        <v/>
      </c>
      <c r="Z642" s="66" t="str">
        <f>IF(AND($O642=$X$7,$B642&lt;'1331'!$I$9),"x","")</f>
        <v/>
      </c>
      <c r="AA642" s="66" t="str">
        <f>IF(AND('341-CT'!$H$9=H642,OR(LEFT(N642,3)=$AA$7,LEFT(O642,3)=$AA$7)),"x","")</f>
        <v/>
      </c>
      <c r="AB642" s="66" t="str">
        <f>IF(OR(TH!N642=TH!$AB$7,O642=TH!$AB$7),"x","")</f>
        <v/>
      </c>
      <c r="AC642" s="66" t="str">
        <f t="shared" si="60"/>
        <v/>
      </c>
      <c r="AD642" s="66" t="str">
        <f>IF(AND(MONTH(E642)='IN-NX'!$J$5,'IN-NX'!$D$7=D642,OR(LEFT(TH!N642,2)="15",LEFT(TH!O642,2)="15")),"x","")</f>
        <v/>
      </c>
      <c r="AE642" s="66" t="str">
        <f>IF(AND(OR(LEFT(TH!N642,2)="15",LEFT(TH!O642,2)="15"),'152-CT'!$J$8=TH!F642),"x","")</f>
        <v/>
      </c>
      <c r="AF642" s="66" t="str">
        <f>IF(AND(OR(LEFT(TH!N642,2)="15",LEFT(TH!O642,2)="15"),'THE KHO'!$E$7=TH!F642),"x","")</f>
        <v/>
      </c>
      <c r="AG642" s="66" t="str">
        <f>IF(AND(N642="1521",MONTH(C642)='BK NL'!$M$11),"x","")</f>
        <v/>
      </c>
    </row>
    <row r="643" spans="1:33" ht="15.75" hidden="1" customHeight="1">
      <c r="A643" s="397" t="str">
        <f>IF(B643&lt;&gt;"",IF(AND(B643&gt;=_TM1,B643&lt;=_TM2,OR(TH!N643="1111",TH!O643="1111")),TH!D643,""),"")</f>
        <v/>
      </c>
      <c r="B643" s="63" t="str">
        <f t="shared" si="58"/>
        <v/>
      </c>
      <c r="C643" s="64"/>
      <c r="D643" s="64"/>
      <c r="E643" s="64"/>
      <c r="F643" s="67"/>
      <c r="G643" s="375"/>
      <c r="H643" s="74"/>
      <c r="I643" s="514"/>
      <c r="J643" s="514"/>
      <c r="K643" s="506"/>
      <c r="L643" s="514"/>
      <c r="M643" s="65"/>
      <c r="N643" s="66"/>
      <c r="O643" s="66"/>
      <c r="P643" s="66" t="str">
        <f>IF(AND('331-CT'!$E$7=TH!H643,OR(N643="331",O643="331")),"x","")</f>
        <v/>
      </c>
      <c r="Q643" s="66" t="str">
        <f>IF(AND($B643&gt;='111'!$N$11,$B643&lt;='111'!$O$11,OR($N643=$Q$7,$O643=$Q$7)),"x","")</f>
        <v/>
      </c>
      <c r="R643" s="66" t="str">
        <f>IF(AND($N643=$Q$7,$B643&lt;'111'!$N$11),"x","")</f>
        <v/>
      </c>
      <c r="S643" s="66" t="str">
        <f>IF(AND($O643=$Q$7,$B643&lt;'111'!$N$11),"x","")</f>
        <v/>
      </c>
      <c r="T643" s="66" t="str">
        <f>IF(AND($B643&gt;='112'!$M$9,$B643&lt;='112'!$N$9,OR($N643='112'!$I$6,$O643='112'!$I$6)),"x","")</f>
        <v/>
      </c>
      <c r="U643" s="66" t="str">
        <f>IF(AND($N643='112'!$I$6,$B643&lt;'112'!$M$9),"x","")</f>
        <v/>
      </c>
      <c r="V643" s="66" t="str">
        <f>IF(AND($O643='112'!$I$6,$B643&lt;'112'!$M$9),"x","")</f>
        <v/>
      </c>
      <c r="W643" s="66" t="str">
        <f>IF(AND('131-CT'!$H$9=TH!H643,OR(N643="131",O643="131")),"x","")</f>
        <v/>
      </c>
      <c r="X643" s="66" t="str">
        <f>IF(AND($B643&gt;='1331'!$I$9,$B643&lt;='1331'!$J$9,OR($N643=$X$7,$O643=$X$7)),"x","")</f>
        <v/>
      </c>
      <c r="Y643" s="66" t="str">
        <f>IF(AND($N643=$X$7,$B643&lt;'1331'!$I$9),"x","")</f>
        <v/>
      </c>
      <c r="Z643" s="66" t="str">
        <f>IF(AND($O643=$X$7,$B643&lt;'1331'!$I$9),"x","")</f>
        <v/>
      </c>
      <c r="AA643" s="66" t="str">
        <f>IF(AND('341-CT'!$H$9=H643,OR(LEFT(N643,3)=$AA$7,LEFT(O643,3)=$AA$7)),"x","")</f>
        <v/>
      </c>
      <c r="AB643" s="66" t="str">
        <f>IF(OR(TH!N643=TH!$AB$7,O643=TH!$AB$7),"x","")</f>
        <v/>
      </c>
      <c r="AC643" s="66" t="str">
        <f t="shared" si="60"/>
        <v/>
      </c>
      <c r="AD643" s="66" t="str">
        <f>IF(AND(MONTH(E643)='IN-NX'!$J$5,'IN-NX'!$D$7=D643,OR(LEFT(TH!N643,2)="15",LEFT(TH!O643,2)="15")),"x","")</f>
        <v/>
      </c>
      <c r="AE643" s="66" t="str">
        <f>IF(AND(OR(LEFT(TH!N643,2)="15",LEFT(TH!O643,2)="15"),'152-CT'!$J$8=TH!F643),"x","")</f>
        <v/>
      </c>
      <c r="AF643" s="66" t="str">
        <f>IF(AND(OR(LEFT(TH!N643,2)="15",LEFT(TH!O643,2)="15"),'THE KHO'!$E$7=TH!F643),"x","")</f>
        <v/>
      </c>
      <c r="AG643" s="66" t="str">
        <f>IF(AND(N643="1521",MONTH(C643)='BK NL'!$M$11),"x","")</f>
        <v/>
      </c>
    </row>
    <row r="644" spans="1:33" ht="15.75" hidden="1" customHeight="1">
      <c r="A644" s="397" t="str">
        <f>IF(B644&lt;&gt;"",IF(AND(B644&gt;=_TM1,B644&lt;=_TM2,OR(TH!N644="1111",TH!O644="1111")),TH!D644,""),"")</f>
        <v/>
      </c>
      <c r="B644" s="63" t="str">
        <f t="shared" si="58"/>
        <v/>
      </c>
      <c r="C644" s="64"/>
      <c r="D644" s="64"/>
      <c r="E644" s="64"/>
      <c r="F644" s="67"/>
      <c r="G644" s="375"/>
      <c r="H644" s="74"/>
      <c r="I644" s="514"/>
      <c r="J644" s="514"/>
      <c r="K644" s="506"/>
      <c r="L644" s="514"/>
      <c r="M644" s="65"/>
      <c r="N644" s="66"/>
      <c r="O644" s="66"/>
      <c r="P644" s="66" t="str">
        <f>IF(AND('331-CT'!$E$7=TH!H644,OR(N644="331",O644="331")),"x","")</f>
        <v/>
      </c>
      <c r="Q644" s="66" t="str">
        <f>IF(AND($B644&gt;='111'!$N$11,$B644&lt;='111'!$O$11,OR($N644=$Q$7,$O644=$Q$7)),"x","")</f>
        <v/>
      </c>
      <c r="R644" s="66" t="str">
        <f>IF(AND($N644=$Q$7,$B644&lt;'111'!$N$11),"x","")</f>
        <v/>
      </c>
      <c r="S644" s="66" t="str">
        <f>IF(AND($O644=$Q$7,$B644&lt;'111'!$N$11),"x","")</f>
        <v/>
      </c>
      <c r="T644" s="66" t="str">
        <f>IF(AND($B644&gt;='112'!$M$9,$B644&lt;='112'!$N$9,OR($N644='112'!$I$6,$O644='112'!$I$6)),"x","")</f>
        <v/>
      </c>
      <c r="U644" s="66" t="str">
        <f>IF(AND($N644='112'!$I$6,$B644&lt;'112'!$M$9),"x","")</f>
        <v/>
      </c>
      <c r="V644" s="66" t="str">
        <f>IF(AND($O644='112'!$I$6,$B644&lt;'112'!$M$9),"x","")</f>
        <v/>
      </c>
      <c r="W644" s="66" t="str">
        <f>IF(AND('131-CT'!$H$9=TH!H644,OR(N644="131",O644="131")),"x","")</f>
        <v/>
      </c>
      <c r="X644" s="66" t="str">
        <f>IF(AND($B644&gt;='1331'!$I$9,$B644&lt;='1331'!$J$9,OR($N644=$X$7,$O644=$X$7)),"x","")</f>
        <v/>
      </c>
      <c r="Y644" s="66" t="str">
        <f>IF(AND($N644=$X$7,$B644&lt;'1331'!$I$9),"x","")</f>
        <v/>
      </c>
      <c r="Z644" s="66" t="str">
        <f>IF(AND($O644=$X$7,$B644&lt;'1331'!$I$9),"x","")</f>
        <v/>
      </c>
      <c r="AA644" s="66" t="str">
        <f>IF(AND('341-CT'!$H$9=H644,OR(LEFT(N644,3)=$AA$7,LEFT(O644,3)=$AA$7)),"x","")</f>
        <v/>
      </c>
      <c r="AB644" s="66" t="str">
        <f>IF(OR(TH!N644=TH!$AB$7,O644=TH!$AB$7),"x","")</f>
        <v/>
      </c>
      <c r="AC644" s="66" t="str">
        <f t="shared" si="60"/>
        <v/>
      </c>
      <c r="AD644" s="66" t="str">
        <f>IF(AND(MONTH(E644)='IN-NX'!$J$5,'IN-NX'!$D$7=D644,OR(LEFT(TH!N644,2)="15",LEFT(TH!O644,2)="15")),"x","")</f>
        <v/>
      </c>
      <c r="AE644" s="66" t="str">
        <f>IF(AND(OR(LEFT(TH!N644,2)="15",LEFT(TH!O644,2)="15"),'152-CT'!$J$8=TH!F644),"x","")</f>
        <v/>
      </c>
      <c r="AF644" s="66" t="str">
        <f>IF(AND(OR(LEFT(TH!N644,2)="15",LEFT(TH!O644,2)="15"),'THE KHO'!$E$7=TH!F644),"x","")</f>
        <v/>
      </c>
      <c r="AG644" s="66" t="str">
        <f>IF(AND(N644="1521",MONTH(C644)='BK NL'!$M$11),"x","")</f>
        <v/>
      </c>
    </row>
    <row r="645" spans="1:33" ht="15.75" hidden="1" customHeight="1">
      <c r="A645" s="397" t="str">
        <f>IF(B645&lt;&gt;"",IF(AND(B645&gt;=_TM1,B645&lt;=_TM2,OR(TH!N645="1111",TH!O645="1111")),TH!D645,""),"")</f>
        <v/>
      </c>
      <c r="B645" s="63" t="str">
        <f t="shared" si="58"/>
        <v/>
      </c>
      <c r="C645" s="64"/>
      <c r="D645" s="64"/>
      <c r="E645" s="64"/>
      <c r="F645" s="67"/>
      <c r="G645" s="375"/>
      <c r="H645" s="74"/>
      <c r="I645" s="514"/>
      <c r="J645" s="514"/>
      <c r="K645" s="506"/>
      <c r="L645" s="514"/>
      <c r="M645" s="65"/>
      <c r="N645" s="66"/>
      <c r="O645" s="66"/>
      <c r="P645" s="66" t="str">
        <f>IF(AND('331-CT'!$E$7=TH!H645,OR(N645="331",O645="331")),"x","")</f>
        <v/>
      </c>
      <c r="Q645" s="66" t="str">
        <f>IF(AND($B645&gt;='111'!$N$11,$B645&lt;='111'!$O$11,OR($N645=$Q$7,$O645=$Q$7)),"x","")</f>
        <v/>
      </c>
      <c r="R645" s="66" t="str">
        <f>IF(AND($N645=$Q$7,$B645&lt;'111'!$N$11),"x","")</f>
        <v/>
      </c>
      <c r="S645" s="66" t="str">
        <f>IF(AND($O645=$Q$7,$B645&lt;'111'!$N$11),"x","")</f>
        <v/>
      </c>
      <c r="T645" s="66" t="str">
        <f>IF(AND($B645&gt;='112'!$M$9,$B645&lt;='112'!$N$9,OR($N645='112'!$I$6,$O645='112'!$I$6)),"x","")</f>
        <v/>
      </c>
      <c r="U645" s="66" t="str">
        <f>IF(AND($N645='112'!$I$6,$B645&lt;'112'!$M$9),"x","")</f>
        <v/>
      </c>
      <c r="V645" s="66" t="str">
        <f>IF(AND($O645='112'!$I$6,$B645&lt;'112'!$M$9),"x","")</f>
        <v/>
      </c>
      <c r="W645" s="66" t="str">
        <f>IF(AND('131-CT'!$H$9=TH!H645,OR(N645="131",O645="131")),"x","")</f>
        <v/>
      </c>
      <c r="X645" s="66" t="str">
        <f>IF(AND($B645&gt;='1331'!$I$9,$B645&lt;='1331'!$J$9,OR($N645=$X$7,$O645=$X$7)),"x","")</f>
        <v/>
      </c>
      <c r="Y645" s="66" t="str">
        <f>IF(AND($N645=$X$7,$B645&lt;'1331'!$I$9),"x","")</f>
        <v/>
      </c>
      <c r="Z645" s="66" t="str">
        <f>IF(AND($O645=$X$7,$B645&lt;'1331'!$I$9),"x","")</f>
        <v/>
      </c>
      <c r="AA645" s="66" t="str">
        <f>IF(AND('341-CT'!$H$9=H645,OR(LEFT(N645,3)=$AA$7,LEFT(O645,3)=$AA$7)),"x","")</f>
        <v/>
      </c>
      <c r="AB645" s="66" t="str">
        <f>IF(OR(TH!N645=TH!$AB$7,O645=TH!$AB$7),"x","")</f>
        <v/>
      </c>
      <c r="AC645" s="66" t="str">
        <f t="shared" si="60"/>
        <v/>
      </c>
      <c r="AD645" s="66" t="str">
        <f>IF(AND(MONTH(E645)='IN-NX'!$J$5,'IN-NX'!$D$7=D645,OR(LEFT(TH!N645,2)="15",LEFT(TH!O645,2)="15")),"x","")</f>
        <v/>
      </c>
      <c r="AE645" s="66" t="str">
        <f>IF(AND(OR(LEFT(TH!N645,2)="15",LEFT(TH!O645,2)="15"),'152-CT'!$J$8=TH!F645),"x","")</f>
        <v/>
      </c>
      <c r="AF645" s="66" t="str">
        <f>IF(AND(OR(LEFT(TH!N645,2)="15",LEFT(TH!O645,2)="15"),'THE KHO'!$E$7=TH!F645),"x","")</f>
        <v/>
      </c>
      <c r="AG645" s="66" t="str">
        <f>IF(AND(N645="1521",MONTH(C645)='BK NL'!$M$11),"x","")</f>
        <v/>
      </c>
    </row>
    <row r="646" spans="1:33" ht="15.75" hidden="1" customHeight="1">
      <c r="A646" s="397" t="str">
        <f>IF(B646&lt;&gt;"",IF(AND(B646&gt;=_TM1,B646&lt;=_TM2,OR(TH!N646="1111",TH!O646="1111")),TH!D646,""),"")</f>
        <v/>
      </c>
      <c r="B646" s="63" t="str">
        <f t="shared" si="58"/>
        <v/>
      </c>
      <c r="C646" s="64"/>
      <c r="D646" s="64"/>
      <c r="E646" s="64"/>
      <c r="F646" s="67"/>
      <c r="G646" s="375"/>
      <c r="H646" s="74"/>
      <c r="I646" s="514"/>
      <c r="J646" s="514"/>
      <c r="K646" s="506"/>
      <c r="L646" s="514"/>
      <c r="M646" s="65"/>
      <c r="N646" s="66"/>
      <c r="O646" s="66"/>
      <c r="P646" s="66" t="str">
        <f>IF(AND('331-CT'!$E$7=TH!H646,OR(N646="331",O646="331")),"x","")</f>
        <v/>
      </c>
      <c r="Q646" s="66" t="str">
        <f>IF(AND($B646&gt;='111'!$N$11,$B646&lt;='111'!$O$11,OR($N646=$Q$7,$O646=$Q$7)),"x","")</f>
        <v/>
      </c>
      <c r="R646" s="66" t="str">
        <f>IF(AND($N646=$Q$7,$B646&lt;'111'!$N$11),"x","")</f>
        <v/>
      </c>
      <c r="S646" s="66" t="str">
        <f>IF(AND($O646=$Q$7,$B646&lt;'111'!$N$11),"x","")</f>
        <v/>
      </c>
      <c r="T646" s="66" t="str">
        <f>IF(AND($B646&gt;='112'!$M$9,$B646&lt;='112'!$N$9,OR($N646='112'!$I$6,$O646='112'!$I$6)),"x","")</f>
        <v/>
      </c>
      <c r="U646" s="66" t="str">
        <f>IF(AND($N646='112'!$I$6,$B646&lt;'112'!$M$9),"x","")</f>
        <v/>
      </c>
      <c r="V646" s="66" t="str">
        <f>IF(AND($O646='112'!$I$6,$B646&lt;'112'!$M$9),"x","")</f>
        <v/>
      </c>
      <c r="W646" s="66" t="str">
        <f>IF(AND('131-CT'!$H$9=TH!H646,OR(N646="131",O646="131")),"x","")</f>
        <v/>
      </c>
      <c r="X646" s="66" t="str">
        <f>IF(AND($B646&gt;='1331'!$I$9,$B646&lt;='1331'!$J$9,OR($N646=$X$7,$O646=$X$7)),"x","")</f>
        <v/>
      </c>
      <c r="Y646" s="66" t="str">
        <f>IF(AND($N646=$X$7,$B646&lt;'1331'!$I$9),"x","")</f>
        <v/>
      </c>
      <c r="Z646" s="66" t="str">
        <f>IF(AND($O646=$X$7,$B646&lt;'1331'!$I$9),"x","")</f>
        <v/>
      </c>
      <c r="AA646" s="66" t="str">
        <f>IF(AND('341-CT'!$H$9=H646,OR(LEFT(N646,3)=$AA$7,LEFT(O646,3)=$AA$7)),"x","")</f>
        <v/>
      </c>
      <c r="AB646" s="66" t="str">
        <f>IF(OR(TH!N646=TH!$AB$7,O646=TH!$AB$7),"x","")</f>
        <v/>
      </c>
      <c r="AC646" s="66" t="str">
        <f t="shared" si="60"/>
        <v/>
      </c>
      <c r="AD646" s="66" t="str">
        <f>IF(AND(MONTH(E646)='IN-NX'!$J$5,'IN-NX'!$D$7=D646,OR(LEFT(TH!N646,2)="15",LEFT(TH!O646,2)="15")),"x","")</f>
        <v/>
      </c>
      <c r="AE646" s="66" t="str">
        <f>IF(AND(OR(LEFT(TH!N646,2)="15",LEFT(TH!O646,2)="15"),'152-CT'!$J$8=TH!F646),"x","")</f>
        <v/>
      </c>
      <c r="AF646" s="66" t="str">
        <f>IF(AND(OR(LEFT(TH!N646,2)="15",LEFT(TH!O646,2)="15"),'THE KHO'!$E$7=TH!F646),"x","")</f>
        <v/>
      </c>
      <c r="AG646" s="66" t="str">
        <f>IF(AND(N646="1521",MONTH(C646)='BK NL'!$M$11),"x","")</f>
        <v/>
      </c>
    </row>
    <row r="647" spans="1:33" ht="15.75" hidden="1" customHeight="1">
      <c r="A647" s="397" t="str">
        <f>IF(B647&lt;&gt;"",IF(AND(B647&gt;=_TM1,B647&lt;=_TM2,OR(TH!N647="1111",TH!O647="1111")),TH!D647,""),"")</f>
        <v/>
      </c>
      <c r="B647" s="63" t="str">
        <f t="shared" si="58"/>
        <v/>
      </c>
      <c r="C647" s="64"/>
      <c r="D647" s="64"/>
      <c r="E647" s="64"/>
      <c r="F647" s="67"/>
      <c r="G647" s="375"/>
      <c r="H647" s="74"/>
      <c r="I647" s="514"/>
      <c r="J647" s="514"/>
      <c r="K647" s="506"/>
      <c r="L647" s="514"/>
      <c r="M647" s="65"/>
      <c r="N647" s="66"/>
      <c r="O647" s="66"/>
      <c r="P647" s="66" t="str">
        <f>IF(AND('331-CT'!$E$7=TH!H647,OR(N647="331",O647="331")),"x","")</f>
        <v/>
      </c>
      <c r="Q647" s="66" t="str">
        <f>IF(AND($B647&gt;='111'!$N$11,$B647&lt;='111'!$O$11,OR($N647=$Q$7,$O647=$Q$7)),"x","")</f>
        <v/>
      </c>
      <c r="R647" s="66" t="str">
        <f>IF(AND($N647=$Q$7,$B647&lt;'111'!$N$11),"x","")</f>
        <v/>
      </c>
      <c r="S647" s="66" t="str">
        <f>IF(AND($O647=$Q$7,$B647&lt;'111'!$N$11),"x","")</f>
        <v/>
      </c>
      <c r="T647" s="66" t="str">
        <f>IF(AND($B647&gt;='112'!$M$9,$B647&lt;='112'!$N$9,OR($N647='112'!$I$6,$O647='112'!$I$6)),"x","")</f>
        <v/>
      </c>
      <c r="U647" s="66" t="str">
        <f>IF(AND($N647='112'!$I$6,$B647&lt;'112'!$M$9),"x","")</f>
        <v/>
      </c>
      <c r="V647" s="66" t="str">
        <f>IF(AND($O647='112'!$I$6,$B647&lt;'112'!$M$9),"x","")</f>
        <v/>
      </c>
      <c r="W647" s="66" t="str">
        <f>IF(AND('131-CT'!$H$9=TH!H647,OR(N647="131",O647="131")),"x","")</f>
        <v/>
      </c>
      <c r="X647" s="66" t="str">
        <f>IF(AND($B647&gt;='1331'!$I$9,$B647&lt;='1331'!$J$9,OR($N647=$X$7,$O647=$X$7)),"x","")</f>
        <v/>
      </c>
      <c r="Y647" s="66" t="str">
        <f>IF(AND($N647=$X$7,$B647&lt;'1331'!$I$9),"x","")</f>
        <v/>
      </c>
      <c r="Z647" s="66" t="str">
        <f>IF(AND($O647=$X$7,$B647&lt;'1331'!$I$9),"x","")</f>
        <v/>
      </c>
      <c r="AA647" s="66" t="str">
        <f>IF(AND('341-CT'!$H$9=H647,OR(LEFT(N647,3)=$AA$7,LEFT(O647,3)=$AA$7)),"x","")</f>
        <v/>
      </c>
      <c r="AB647" s="66" t="str">
        <f>IF(OR(TH!N647=TH!$AB$7,O647=TH!$AB$7),"x","")</f>
        <v/>
      </c>
      <c r="AC647" s="66" t="str">
        <f t="shared" si="60"/>
        <v/>
      </c>
      <c r="AD647" s="66" t="str">
        <f>IF(AND(MONTH(E647)='IN-NX'!$J$5,'IN-NX'!$D$7=D647,OR(LEFT(TH!N647,2)="15",LEFT(TH!O647,2)="15")),"x","")</f>
        <v/>
      </c>
      <c r="AE647" s="66" t="str">
        <f>IF(AND(OR(LEFT(TH!N647,2)="15",LEFT(TH!O647,2)="15"),'152-CT'!$J$8=TH!F647),"x","")</f>
        <v/>
      </c>
      <c r="AF647" s="66" t="str">
        <f>IF(AND(OR(LEFT(TH!N647,2)="15",LEFT(TH!O647,2)="15"),'THE KHO'!$E$7=TH!F647),"x","")</f>
        <v/>
      </c>
      <c r="AG647" s="66" t="str">
        <f>IF(AND(N647="1521",MONTH(C647)='BK NL'!$M$11),"x","")</f>
        <v/>
      </c>
    </row>
    <row r="648" spans="1:33" ht="15.75" hidden="1" customHeight="1">
      <c r="A648" s="397" t="str">
        <f>IF(B648&lt;&gt;"",IF(AND(B648&gt;=_TM1,B648&lt;=_TM2,OR(TH!N648="1111",TH!O648="1111")),TH!D648,""),"")</f>
        <v/>
      </c>
      <c r="B648" s="63" t="str">
        <f t="shared" si="58"/>
        <v/>
      </c>
      <c r="C648" s="64"/>
      <c r="D648" s="64"/>
      <c r="E648" s="64"/>
      <c r="F648" s="67"/>
      <c r="G648" s="375"/>
      <c r="H648" s="74"/>
      <c r="I648" s="514"/>
      <c r="J648" s="514"/>
      <c r="K648" s="506"/>
      <c r="L648" s="514"/>
      <c r="M648" s="65"/>
      <c r="N648" s="66"/>
      <c r="O648" s="66"/>
      <c r="P648" s="66" t="str">
        <f>IF(AND('331-CT'!$E$7=TH!H648,OR(N648="331",O648="331")),"x","")</f>
        <v/>
      </c>
      <c r="Q648" s="66" t="str">
        <f>IF(AND($B648&gt;='111'!$N$11,$B648&lt;='111'!$O$11,OR($N648=$Q$7,$O648=$Q$7)),"x","")</f>
        <v/>
      </c>
      <c r="R648" s="66" t="str">
        <f>IF(AND($N648=$Q$7,$B648&lt;'111'!$N$11),"x","")</f>
        <v/>
      </c>
      <c r="S648" s="66" t="str">
        <f>IF(AND($O648=$Q$7,$B648&lt;'111'!$N$11),"x","")</f>
        <v/>
      </c>
      <c r="T648" s="66" t="str">
        <f>IF(AND($B648&gt;='112'!$M$9,$B648&lt;='112'!$N$9,OR($N648='112'!$I$6,$O648='112'!$I$6)),"x","")</f>
        <v/>
      </c>
      <c r="U648" s="66" t="str">
        <f>IF(AND($N648='112'!$I$6,$B648&lt;'112'!$M$9),"x","")</f>
        <v/>
      </c>
      <c r="V648" s="66" t="str">
        <f>IF(AND($O648='112'!$I$6,$B648&lt;'112'!$M$9),"x","")</f>
        <v/>
      </c>
      <c r="W648" s="66" t="str">
        <f>IF(AND('131-CT'!$H$9=TH!H648,OR(N648="131",O648="131")),"x","")</f>
        <v/>
      </c>
      <c r="X648" s="66" t="str">
        <f>IF(AND($B648&gt;='1331'!$I$9,$B648&lt;='1331'!$J$9,OR($N648=$X$7,$O648=$X$7)),"x","")</f>
        <v/>
      </c>
      <c r="Y648" s="66" t="str">
        <f>IF(AND($N648=$X$7,$B648&lt;'1331'!$I$9),"x","")</f>
        <v/>
      </c>
      <c r="Z648" s="66" t="str">
        <f>IF(AND($O648=$X$7,$B648&lt;'1331'!$I$9),"x","")</f>
        <v/>
      </c>
      <c r="AA648" s="66" t="str">
        <f>IF(AND('341-CT'!$H$9=H648,OR(LEFT(N648,3)=$AA$7,LEFT(O648,3)=$AA$7)),"x","")</f>
        <v/>
      </c>
      <c r="AB648" s="66" t="str">
        <f>IF(OR(TH!N648=TH!$AB$7,O648=TH!$AB$7),"x","")</f>
        <v/>
      </c>
      <c r="AC648" s="66" t="str">
        <f t="shared" si="60"/>
        <v/>
      </c>
      <c r="AD648" s="66" t="str">
        <f>IF(AND(MONTH(E648)='IN-NX'!$J$5,'IN-NX'!$D$7=D648,OR(LEFT(TH!N648,2)="15",LEFT(TH!O648,2)="15")),"x","")</f>
        <v/>
      </c>
      <c r="AE648" s="66" t="str">
        <f>IF(AND(OR(LEFT(TH!N648,2)="15",LEFT(TH!O648,2)="15"),'152-CT'!$J$8=TH!F648),"x","")</f>
        <v/>
      </c>
      <c r="AF648" s="66" t="str">
        <f>IF(AND(OR(LEFT(TH!N648,2)="15",LEFT(TH!O648,2)="15"),'THE KHO'!$E$7=TH!F648),"x","")</f>
        <v/>
      </c>
      <c r="AG648" s="66" t="str">
        <f>IF(AND(N648="1521",MONTH(C648)='BK NL'!$M$11),"x","")</f>
        <v/>
      </c>
    </row>
    <row r="649" spans="1:33" ht="15.75" hidden="1" customHeight="1">
      <c r="A649" s="397" t="str">
        <f>IF(B649&lt;&gt;"",IF(AND(B649&gt;=_TM1,B649&lt;=_TM2,OR(TH!N649="1111",TH!O649="1111")),TH!D649,""),"")</f>
        <v/>
      </c>
      <c r="B649" s="63" t="str">
        <f t="shared" si="58"/>
        <v/>
      </c>
      <c r="C649" s="64"/>
      <c r="D649" s="64"/>
      <c r="E649" s="64"/>
      <c r="F649" s="67"/>
      <c r="G649" s="375"/>
      <c r="H649" s="74"/>
      <c r="I649" s="514"/>
      <c r="J649" s="514"/>
      <c r="K649" s="506"/>
      <c r="L649" s="514"/>
      <c r="M649" s="65"/>
      <c r="N649" s="66"/>
      <c r="O649" s="66"/>
      <c r="P649" s="66" t="str">
        <f>IF(AND('331-CT'!$E$7=TH!H649,OR(N649="331",O649="331")),"x","")</f>
        <v/>
      </c>
      <c r="Q649" s="66" t="str">
        <f>IF(AND($B649&gt;='111'!$N$11,$B649&lt;='111'!$O$11,OR($N649=$Q$7,$O649=$Q$7)),"x","")</f>
        <v/>
      </c>
      <c r="R649" s="66" t="str">
        <f>IF(AND($N649=$Q$7,$B649&lt;'111'!$N$11),"x","")</f>
        <v/>
      </c>
      <c r="S649" s="66" t="str">
        <f>IF(AND($O649=$Q$7,$B649&lt;'111'!$N$11),"x","")</f>
        <v/>
      </c>
      <c r="T649" s="66" t="str">
        <f>IF(AND($B649&gt;='112'!$M$9,$B649&lt;='112'!$N$9,OR($N649='112'!$I$6,$O649='112'!$I$6)),"x","")</f>
        <v/>
      </c>
      <c r="U649" s="66" t="str">
        <f>IF(AND($N649='112'!$I$6,$B649&lt;'112'!$M$9),"x","")</f>
        <v/>
      </c>
      <c r="V649" s="66" t="str">
        <f>IF(AND($O649='112'!$I$6,$B649&lt;'112'!$M$9),"x","")</f>
        <v/>
      </c>
      <c r="W649" s="66" t="str">
        <f>IF(AND('131-CT'!$H$9=TH!H649,OR(N649="131",O649="131")),"x","")</f>
        <v/>
      </c>
      <c r="X649" s="66" t="str">
        <f>IF(AND($B649&gt;='1331'!$I$9,$B649&lt;='1331'!$J$9,OR($N649=$X$7,$O649=$X$7)),"x","")</f>
        <v/>
      </c>
      <c r="Y649" s="66" t="str">
        <f>IF(AND($N649=$X$7,$B649&lt;'1331'!$I$9),"x","")</f>
        <v/>
      </c>
      <c r="Z649" s="66" t="str">
        <f>IF(AND($O649=$X$7,$B649&lt;'1331'!$I$9),"x","")</f>
        <v/>
      </c>
      <c r="AA649" s="66" t="str">
        <f>IF(AND('341-CT'!$H$9=H649,OR(LEFT(N649,3)=$AA$7,LEFT(O649,3)=$AA$7)),"x","")</f>
        <v/>
      </c>
      <c r="AB649" s="66" t="str">
        <f>IF(OR(TH!N649=TH!$AB$7,O649=TH!$AB$7),"x","")</f>
        <v/>
      </c>
      <c r="AC649" s="66" t="str">
        <f t="shared" si="60"/>
        <v/>
      </c>
      <c r="AD649" s="66" t="str">
        <f>IF(AND(MONTH(E649)='IN-NX'!$J$5,'IN-NX'!$D$7=D649,OR(LEFT(TH!N649,2)="15",LEFT(TH!O649,2)="15")),"x","")</f>
        <v/>
      </c>
      <c r="AE649" s="66" t="str">
        <f>IF(AND(OR(LEFT(TH!N649,2)="15",LEFT(TH!O649,2)="15"),'152-CT'!$J$8=TH!F649),"x","")</f>
        <v/>
      </c>
      <c r="AF649" s="66" t="str">
        <f>IF(AND(OR(LEFT(TH!N649,2)="15",LEFT(TH!O649,2)="15"),'THE KHO'!$E$7=TH!F649),"x","")</f>
        <v/>
      </c>
      <c r="AG649" s="66" t="str">
        <f>IF(AND(N649="1521",MONTH(C649)='BK NL'!$M$11),"x","")</f>
        <v/>
      </c>
    </row>
    <row r="650" spans="1:33" ht="15.75" hidden="1" customHeight="1">
      <c r="A650" s="397" t="str">
        <f>IF(B650&lt;&gt;"",IF(AND(B650&gt;=_TM1,B650&lt;=_TM2,OR(TH!N650="1111",TH!O650="1111")),TH!D650,""),"")</f>
        <v/>
      </c>
      <c r="B650" s="63" t="str">
        <f t="shared" si="58"/>
        <v/>
      </c>
      <c r="C650" s="64"/>
      <c r="D650" s="64"/>
      <c r="E650" s="64"/>
      <c r="F650" s="67"/>
      <c r="G650" s="375"/>
      <c r="H650" s="74"/>
      <c r="I650" s="514"/>
      <c r="J650" s="514"/>
      <c r="K650" s="506"/>
      <c r="L650" s="514"/>
      <c r="M650" s="65"/>
      <c r="N650" s="66"/>
      <c r="O650" s="66"/>
      <c r="P650" s="66" t="str">
        <f>IF(AND('331-CT'!$E$7=TH!H650,OR(N650="331",O650="331")),"x","")</f>
        <v/>
      </c>
      <c r="Q650" s="66" t="str">
        <f>IF(AND($B650&gt;='111'!$N$11,$B650&lt;='111'!$O$11,OR($N650=$Q$7,$O650=$Q$7)),"x","")</f>
        <v/>
      </c>
      <c r="R650" s="66" t="str">
        <f>IF(AND($N650=$Q$7,$B650&lt;'111'!$N$11),"x","")</f>
        <v/>
      </c>
      <c r="S650" s="66" t="str">
        <f>IF(AND($O650=$Q$7,$B650&lt;'111'!$N$11),"x","")</f>
        <v/>
      </c>
      <c r="T650" s="66" t="str">
        <f>IF(AND($B650&gt;='112'!$M$9,$B650&lt;='112'!$N$9,OR($N650='112'!$I$6,$O650='112'!$I$6)),"x","")</f>
        <v/>
      </c>
      <c r="U650" s="66" t="str">
        <f>IF(AND($N650='112'!$I$6,$B650&lt;'112'!$M$9),"x","")</f>
        <v/>
      </c>
      <c r="V650" s="66" t="str">
        <f>IF(AND($O650='112'!$I$6,$B650&lt;'112'!$M$9),"x","")</f>
        <v/>
      </c>
      <c r="W650" s="66" t="str">
        <f>IF(AND('131-CT'!$H$9=TH!H650,OR(N650="131",O650="131")),"x","")</f>
        <v/>
      </c>
      <c r="X650" s="66" t="str">
        <f>IF(AND($B650&gt;='1331'!$I$9,$B650&lt;='1331'!$J$9,OR($N650=$X$7,$O650=$X$7)),"x","")</f>
        <v/>
      </c>
      <c r="Y650" s="66" t="str">
        <f>IF(AND($N650=$X$7,$B650&lt;'1331'!$I$9),"x","")</f>
        <v/>
      </c>
      <c r="Z650" s="66" t="str">
        <f>IF(AND($O650=$X$7,$B650&lt;'1331'!$I$9),"x","")</f>
        <v/>
      </c>
      <c r="AA650" s="66" t="str">
        <f>IF(AND('341-CT'!$H$9=H650,OR(LEFT(N650,3)=$AA$7,LEFT(O650,3)=$AA$7)),"x","")</f>
        <v/>
      </c>
      <c r="AB650" s="66" t="str">
        <f>IF(OR(TH!N650=TH!$AB$7,O650=TH!$AB$7),"x","")</f>
        <v/>
      </c>
      <c r="AC650" s="66" t="str">
        <f t="shared" si="60"/>
        <v/>
      </c>
      <c r="AD650" s="66" t="str">
        <f>IF(AND(MONTH(E650)='IN-NX'!$J$5,'IN-NX'!$D$7=D650,OR(LEFT(TH!N650,2)="15",LEFT(TH!O650,2)="15")),"x","")</f>
        <v/>
      </c>
      <c r="AE650" s="66" t="str">
        <f>IF(AND(OR(LEFT(TH!N650,2)="15",LEFT(TH!O650,2)="15"),'152-CT'!$J$8=TH!F650),"x","")</f>
        <v/>
      </c>
      <c r="AF650" s="66" t="str">
        <f>IF(AND(OR(LEFT(TH!N650,2)="15",LEFT(TH!O650,2)="15"),'THE KHO'!$E$7=TH!F650),"x","")</f>
        <v/>
      </c>
      <c r="AG650" s="66" t="str">
        <f>IF(AND(N650="1521",MONTH(C650)='BK NL'!$M$11),"x","")</f>
        <v/>
      </c>
    </row>
    <row r="651" spans="1:33" ht="15.75" hidden="1" customHeight="1">
      <c r="A651" s="397" t="str">
        <f>IF(B651&lt;&gt;"",IF(AND(B651&gt;=_TM1,B651&lt;=_TM2,OR(TH!N651="1111",TH!O651="1111")),TH!D651,""),"")</f>
        <v/>
      </c>
      <c r="B651" s="63" t="str">
        <f t="shared" si="58"/>
        <v/>
      </c>
      <c r="C651" s="64"/>
      <c r="D651" s="64"/>
      <c r="E651" s="64"/>
      <c r="F651" s="67"/>
      <c r="G651" s="375"/>
      <c r="H651" s="74"/>
      <c r="I651" s="514"/>
      <c r="J651" s="514"/>
      <c r="K651" s="506"/>
      <c r="L651" s="514"/>
      <c r="M651" s="65"/>
      <c r="N651" s="66"/>
      <c r="O651" s="66"/>
      <c r="P651" s="66" t="str">
        <f>IF(AND('331-CT'!$E$7=TH!H651,OR(N651="331",O651="331")),"x","")</f>
        <v/>
      </c>
      <c r="Q651" s="66" t="str">
        <f>IF(AND($B651&gt;='111'!$N$11,$B651&lt;='111'!$O$11,OR($N651=$Q$7,$O651=$Q$7)),"x","")</f>
        <v/>
      </c>
      <c r="R651" s="66" t="str">
        <f>IF(AND($N651=$Q$7,$B651&lt;'111'!$N$11),"x","")</f>
        <v/>
      </c>
      <c r="S651" s="66" t="str">
        <f>IF(AND($O651=$Q$7,$B651&lt;'111'!$N$11),"x","")</f>
        <v/>
      </c>
      <c r="T651" s="66" t="str">
        <f>IF(AND($B651&gt;='112'!$M$9,$B651&lt;='112'!$N$9,OR($N651='112'!$I$6,$O651='112'!$I$6)),"x","")</f>
        <v/>
      </c>
      <c r="U651" s="66" t="str">
        <f>IF(AND($N651='112'!$I$6,$B651&lt;'112'!$M$9),"x","")</f>
        <v/>
      </c>
      <c r="V651" s="66" t="str">
        <f>IF(AND($O651='112'!$I$6,$B651&lt;'112'!$M$9),"x","")</f>
        <v/>
      </c>
      <c r="W651" s="66" t="str">
        <f>IF(AND('131-CT'!$H$9=TH!H651,OR(N651="131",O651="131")),"x","")</f>
        <v/>
      </c>
      <c r="X651" s="66" t="str">
        <f>IF(AND($B651&gt;='1331'!$I$9,$B651&lt;='1331'!$J$9,OR($N651=$X$7,$O651=$X$7)),"x","")</f>
        <v/>
      </c>
      <c r="Y651" s="66" t="str">
        <f>IF(AND($N651=$X$7,$B651&lt;'1331'!$I$9),"x","")</f>
        <v/>
      </c>
      <c r="Z651" s="66" t="str">
        <f>IF(AND($O651=$X$7,$B651&lt;'1331'!$I$9),"x","")</f>
        <v/>
      </c>
      <c r="AA651" s="66" t="str">
        <f>IF(AND('341-CT'!$H$9=H651,OR(LEFT(N651,3)=$AA$7,LEFT(O651,3)=$AA$7)),"x","")</f>
        <v/>
      </c>
      <c r="AB651" s="66" t="str">
        <f>IF(OR(TH!N651=TH!$AB$7,O651=TH!$AB$7),"x","")</f>
        <v/>
      </c>
      <c r="AC651" s="66" t="str">
        <f t="shared" si="60"/>
        <v/>
      </c>
      <c r="AD651" s="66" t="str">
        <f>IF(AND(MONTH(E651)='IN-NX'!$J$5,'IN-NX'!$D$7=D651,OR(LEFT(TH!N651,2)="15",LEFT(TH!O651,2)="15")),"x","")</f>
        <v/>
      </c>
      <c r="AE651" s="66" t="str">
        <f>IF(AND(OR(LEFT(TH!N651,2)="15",LEFT(TH!O651,2)="15"),'152-CT'!$J$8=TH!F651),"x","")</f>
        <v/>
      </c>
      <c r="AF651" s="66" t="str">
        <f>IF(AND(OR(LEFT(TH!N651,2)="15",LEFT(TH!O651,2)="15"),'THE KHO'!$E$7=TH!F651),"x","")</f>
        <v/>
      </c>
      <c r="AG651" s="66" t="str">
        <f>IF(AND(N651="1521",MONTH(C651)='BK NL'!$M$11),"x","")</f>
        <v/>
      </c>
    </row>
    <row r="652" spans="1:33" ht="15.75" hidden="1" customHeight="1">
      <c r="A652" s="397" t="str">
        <f>IF(B652&lt;&gt;"",IF(AND(B652&gt;=_TM1,B652&lt;=_TM2,OR(TH!N652="1111",TH!O652="1111")),TH!D652,""),"")</f>
        <v/>
      </c>
      <c r="B652" s="63" t="str">
        <f t="shared" si="58"/>
        <v/>
      </c>
      <c r="C652" s="64"/>
      <c r="D652" s="64"/>
      <c r="E652" s="64"/>
      <c r="F652" s="67"/>
      <c r="G652" s="375"/>
      <c r="H652" s="74"/>
      <c r="I652" s="514"/>
      <c r="J652" s="514"/>
      <c r="K652" s="506"/>
      <c r="L652" s="514"/>
      <c r="M652" s="65"/>
      <c r="N652" s="66"/>
      <c r="O652" s="66"/>
      <c r="P652" s="66" t="str">
        <f>IF(AND('331-CT'!$E$7=TH!H652,OR(N652="331",O652="331")),"x","")</f>
        <v/>
      </c>
      <c r="Q652" s="66" t="str">
        <f>IF(AND($B652&gt;='111'!$N$11,$B652&lt;='111'!$O$11,OR($N652=$Q$7,$O652=$Q$7)),"x","")</f>
        <v/>
      </c>
      <c r="R652" s="66" t="str">
        <f>IF(AND($N652=$Q$7,$B652&lt;'111'!$N$11),"x","")</f>
        <v/>
      </c>
      <c r="S652" s="66" t="str">
        <f>IF(AND($O652=$Q$7,$B652&lt;'111'!$N$11),"x","")</f>
        <v/>
      </c>
      <c r="T652" s="66" t="str">
        <f>IF(AND($B652&gt;='112'!$M$9,$B652&lt;='112'!$N$9,OR($N652='112'!$I$6,$O652='112'!$I$6)),"x","")</f>
        <v/>
      </c>
      <c r="U652" s="66" t="str">
        <f>IF(AND($N652='112'!$I$6,$B652&lt;'112'!$M$9),"x","")</f>
        <v/>
      </c>
      <c r="V652" s="66" t="str">
        <f>IF(AND($O652='112'!$I$6,$B652&lt;'112'!$M$9),"x","")</f>
        <v/>
      </c>
      <c r="W652" s="66" t="str">
        <f>IF(AND('131-CT'!$H$9=TH!H652,OR(N652="131",O652="131")),"x","")</f>
        <v/>
      </c>
      <c r="X652" s="66" t="str">
        <f>IF(AND($B652&gt;='1331'!$I$9,$B652&lt;='1331'!$J$9,OR($N652=$X$7,$O652=$X$7)),"x","")</f>
        <v/>
      </c>
      <c r="Y652" s="66" t="str">
        <f>IF(AND($N652=$X$7,$B652&lt;'1331'!$I$9),"x","")</f>
        <v/>
      </c>
      <c r="Z652" s="66" t="str">
        <f>IF(AND($O652=$X$7,$B652&lt;'1331'!$I$9),"x","")</f>
        <v/>
      </c>
      <c r="AA652" s="66" t="str">
        <f>IF(AND('341-CT'!$H$9=H652,OR(LEFT(N652,3)=$AA$7,LEFT(O652,3)=$AA$7)),"x","")</f>
        <v/>
      </c>
      <c r="AB652" s="66" t="str">
        <f>IF(OR(TH!N652=TH!$AB$7,O652=TH!$AB$7),"x","")</f>
        <v/>
      </c>
      <c r="AC652" s="66" t="str">
        <f t="shared" si="60"/>
        <v/>
      </c>
      <c r="AD652" s="66" t="str">
        <f>IF(AND(MONTH(E652)='IN-NX'!$J$5,'IN-NX'!$D$7=D652,OR(LEFT(TH!N652,2)="15",LEFT(TH!O652,2)="15")),"x","")</f>
        <v/>
      </c>
      <c r="AE652" s="66" t="str">
        <f>IF(AND(OR(LEFT(TH!N652,2)="15",LEFT(TH!O652,2)="15"),'152-CT'!$J$8=TH!F652),"x","")</f>
        <v/>
      </c>
      <c r="AF652" s="66" t="str">
        <f>IF(AND(OR(LEFT(TH!N652,2)="15",LEFT(TH!O652,2)="15"),'THE KHO'!$E$7=TH!F652),"x","")</f>
        <v/>
      </c>
      <c r="AG652" s="66" t="str">
        <f>IF(AND(N652="1521",MONTH(C652)='BK NL'!$M$11),"x","")</f>
        <v/>
      </c>
    </row>
    <row r="653" spans="1:33" ht="15.75" hidden="1" customHeight="1">
      <c r="A653" s="397" t="str">
        <f>IF(B653&lt;&gt;"",IF(AND(B653&gt;=_TM1,B653&lt;=_TM2,OR(TH!N653="1111",TH!O653="1111")),TH!D653,""),"")</f>
        <v/>
      </c>
      <c r="B653" s="63" t="str">
        <f t="shared" ref="B653:B716" si="61">IF(C653&lt;&gt;"",MONTH(C653),"")</f>
        <v/>
      </c>
      <c r="C653" s="64"/>
      <c r="D653" s="64"/>
      <c r="E653" s="64"/>
      <c r="F653" s="67"/>
      <c r="G653" s="375"/>
      <c r="H653" s="74"/>
      <c r="I653" s="514"/>
      <c r="J653" s="514"/>
      <c r="K653" s="506"/>
      <c r="L653" s="514"/>
      <c r="M653" s="65"/>
      <c r="N653" s="66"/>
      <c r="O653" s="66"/>
      <c r="P653" s="66" t="str">
        <f>IF(AND('331-CT'!$E$7=TH!H653,OR(N653="331",O653="331")),"x","")</f>
        <v/>
      </c>
      <c r="Q653" s="66" t="str">
        <f>IF(AND($B653&gt;='111'!$N$11,$B653&lt;='111'!$O$11,OR($N653=$Q$7,$O653=$Q$7)),"x","")</f>
        <v/>
      </c>
      <c r="R653" s="66" t="str">
        <f>IF(AND($N653=$Q$7,$B653&lt;'111'!$N$11),"x","")</f>
        <v/>
      </c>
      <c r="S653" s="66" t="str">
        <f>IF(AND($O653=$Q$7,$B653&lt;'111'!$N$11),"x","")</f>
        <v/>
      </c>
      <c r="T653" s="66" t="str">
        <f>IF(AND($B653&gt;='112'!$M$9,$B653&lt;='112'!$N$9,OR($N653='112'!$I$6,$O653='112'!$I$6)),"x","")</f>
        <v/>
      </c>
      <c r="U653" s="66" t="str">
        <f>IF(AND($N653='112'!$I$6,$B653&lt;'112'!$M$9),"x","")</f>
        <v/>
      </c>
      <c r="V653" s="66" t="str">
        <f>IF(AND($O653='112'!$I$6,$B653&lt;'112'!$M$9),"x","")</f>
        <v/>
      </c>
      <c r="W653" s="66" t="str">
        <f>IF(AND('131-CT'!$H$9=TH!H653,OR(N653="131",O653="131")),"x","")</f>
        <v/>
      </c>
      <c r="X653" s="66" t="str">
        <f>IF(AND($B653&gt;='1331'!$I$9,$B653&lt;='1331'!$J$9,OR($N653=$X$7,$O653=$X$7)),"x","")</f>
        <v/>
      </c>
      <c r="Y653" s="66" t="str">
        <f>IF(AND($N653=$X$7,$B653&lt;'1331'!$I$9),"x","")</f>
        <v/>
      </c>
      <c r="Z653" s="66" t="str">
        <f>IF(AND($O653=$X$7,$B653&lt;'1331'!$I$9),"x","")</f>
        <v/>
      </c>
      <c r="AA653" s="66" t="str">
        <f>IF(AND('341-CT'!$H$9=H653,OR(LEFT(N653,3)=$AA$7,LEFT(O653,3)=$AA$7)),"x","")</f>
        <v/>
      </c>
      <c r="AB653" s="66" t="str">
        <f>IF(OR(TH!N653=TH!$AB$7,O653=TH!$AB$7),"x","")</f>
        <v/>
      </c>
      <c r="AC653" s="66" t="str">
        <f t="shared" si="60"/>
        <v/>
      </c>
      <c r="AD653" s="66" t="str">
        <f>IF(AND(MONTH(E653)='IN-NX'!$J$5,'IN-NX'!$D$7=D653,OR(LEFT(TH!N653,2)="15",LEFT(TH!O653,2)="15")),"x","")</f>
        <v/>
      </c>
      <c r="AE653" s="66" t="str">
        <f>IF(AND(OR(LEFT(TH!N653,2)="15",LEFT(TH!O653,2)="15"),'152-CT'!$J$8=TH!F653),"x","")</f>
        <v/>
      </c>
      <c r="AF653" s="66" t="str">
        <f>IF(AND(OR(LEFT(TH!N653,2)="15",LEFT(TH!O653,2)="15"),'THE KHO'!$E$7=TH!F653),"x","")</f>
        <v/>
      </c>
      <c r="AG653" s="66" t="str">
        <f>IF(AND(N653="1521",MONTH(C653)='BK NL'!$M$11),"x","")</f>
        <v/>
      </c>
    </row>
    <row r="654" spans="1:33" ht="15.75" hidden="1" customHeight="1">
      <c r="A654" s="397" t="str">
        <f>IF(B654&lt;&gt;"",IF(AND(B654&gt;=_TM1,B654&lt;=_TM2,OR(TH!N654="1111",TH!O654="1111")),TH!D654,""),"")</f>
        <v/>
      </c>
      <c r="B654" s="63" t="str">
        <f t="shared" si="61"/>
        <v/>
      </c>
      <c r="C654" s="64"/>
      <c r="D654" s="64"/>
      <c r="E654" s="64"/>
      <c r="F654" s="67"/>
      <c r="G654" s="361"/>
      <c r="H654" s="74"/>
      <c r="I654" s="514"/>
      <c r="J654" s="514"/>
      <c r="K654" s="506"/>
      <c r="L654" s="514"/>
      <c r="M654" s="65"/>
      <c r="N654" s="66"/>
      <c r="O654" s="66"/>
      <c r="P654" s="66" t="str">
        <f>IF(AND('331-CT'!$E$7=TH!H654,OR(N654="331",O654="331")),"x","")</f>
        <v/>
      </c>
      <c r="Q654" s="66" t="str">
        <f>IF(AND($B654&gt;='111'!$N$11,$B654&lt;='111'!$O$11,OR($N654=$Q$7,$O654=$Q$7)),"x","")</f>
        <v/>
      </c>
      <c r="R654" s="66" t="str">
        <f>IF(AND($N654=$Q$7,$B654&lt;'111'!$N$11),"x","")</f>
        <v/>
      </c>
      <c r="S654" s="66" t="str">
        <f>IF(AND($O654=$Q$7,$B654&lt;'111'!$N$11),"x","")</f>
        <v/>
      </c>
      <c r="T654" s="66" t="str">
        <f>IF(AND($B654&gt;='112'!$M$9,$B654&lt;='112'!$N$9,OR($N654='112'!$I$6,$O654='112'!$I$6)),"x","")</f>
        <v/>
      </c>
      <c r="U654" s="66" t="str">
        <f>IF(AND($N654='112'!$I$6,$B654&lt;'112'!$M$9),"x","")</f>
        <v/>
      </c>
      <c r="V654" s="66" t="str">
        <f>IF(AND($O654='112'!$I$6,$B654&lt;'112'!$M$9),"x","")</f>
        <v/>
      </c>
      <c r="W654" s="66" t="str">
        <f>IF(AND('131-CT'!$H$9=TH!H654,OR(N654="131",O654="131")),"x","")</f>
        <v/>
      </c>
      <c r="X654" s="66" t="str">
        <f>IF(AND($B654&gt;='1331'!$I$9,$B654&lt;='1331'!$J$9,OR($N654=$X$7,$O654=$X$7)),"x","")</f>
        <v/>
      </c>
      <c r="Y654" s="66" t="str">
        <f>IF(AND($N654=$X$7,$B654&lt;'1331'!$I$9),"x","")</f>
        <v/>
      </c>
      <c r="Z654" s="66" t="str">
        <f>IF(AND($O654=$X$7,$B654&lt;'1331'!$I$9),"x","")</f>
        <v/>
      </c>
      <c r="AA654" s="66" t="str">
        <f>IF(AND('341-CT'!$H$9=H654,OR(LEFT(N654,3)=$AA$7,LEFT(O654,3)=$AA$7)),"x","")</f>
        <v/>
      </c>
      <c r="AB654" s="66" t="str">
        <f>IF(OR(TH!N654=TH!$AB$7,O654=TH!$AB$7),"x","")</f>
        <v/>
      </c>
      <c r="AC654" s="66" t="str">
        <f t="shared" si="60"/>
        <v/>
      </c>
      <c r="AD654" s="66" t="str">
        <f>IF(AND(MONTH(E654)='IN-NX'!$J$5,'IN-NX'!$D$7=D654,OR(LEFT(TH!N654,2)="15",LEFT(TH!O654,2)="15")),"x","")</f>
        <v/>
      </c>
      <c r="AE654" s="66" t="str">
        <f>IF(AND(OR(LEFT(TH!N654,2)="15",LEFT(TH!O654,2)="15"),'152-CT'!$J$8=TH!F654),"x","")</f>
        <v/>
      </c>
      <c r="AF654" s="66" t="str">
        <f>IF(AND(OR(LEFT(TH!N654,2)="15",LEFT(TH!O654,2)="15"),'THE KHO'!$E$7=TH!F654),"x","")</f>
        <v/>
      </c>
      <c r="AG654" s="66" t="str">
        <f>IF(AND(N654="1521",MONTH(C654)='BK NL'!$M$11),"x","")</f>
        <v/>
      </c>
    </row>
    <row r="655" spans="1:33" ht="15.75" hidden="1" customHeight="1">
      <c r="A655" s="397" t="str">
        <f>IF(B655&lt;&gt;"",IF(AND(B655&gt;=_TM1,B655&lt;=_TM2,OR(TH!N655="1111",TH!O655="1111")),TH!D655,""),"")</f>
        <v/>
      </c>
      <c r="B655" s="63" t="str">
        <f t="shared" si="61"/>
        <v/>
      </c>
      <c r="C655" s="64"/>
      <c r="D655" s="64"/>
      <c r="E655" s="64"/>
      <c r="F655" s="67"/>
      <c r="G655" s="375"/>
      <c r="H655" s="74"/>
      <c r="I655" s="514"/>
      <c r="J655" s="514"/>
      <c r="K655" s="506"/>
      <c r="L655" s="514"/>
      <c r="M655" s="65"/>
      <c r="N655" s="66"/>
      <c r="O655" s="66"/>
      <c r="P655" s="66" t="str">
        <f>IF(AND('331-CT'!$E$7=TH!H655,OR(N655="331",O655="331")),"x","")</f>
        <v/>
      </c>
      <c r="Q655" s="66" t="str">
        <f>IF(AND($B655&gt;='111'!$N$11,$B655&lt;='111'!$O$11,OR($N655=$Q$7,$O655=$Q$7)),"x","")</f>
        <v/>
      </c>
      <c r="R655" s="66" t="str">
        <f>IF(AND($N655=$Q$7,$B655&lt;'111'!$N$11),"x","")</f>
        <v/>
      </c>
      <c r="S655" s="66" t="str">
        <f>IF(AND($O655=$Q$7,$B655&lt;'111'!$N$11),"x","")</f>
        <v/>
      </c>
      <c r="T655" s="66" t="str">
        <f>IF(AND($B655&gt;='112'!$M$9,$B655&lt;='112'!$N$9,OR($N655='112'!$I$6,$O655='112'!$I$6)),"x","")</f>
        <v/>
      </c>
      <c r="U655" s="66" t="str">
        <f>IF(AND($N655='112'!$I$6,$B655&lt;'112'!$M$9),"x","")</f>
        <v/>
      </c>
      <c r="V655" s="66" t="str">
        <f>IF(AND($O655='112'!$I$6,$B655&lt;'112'!$M$9),"x","")</f>
        <v/>
      </c>
      <c r="W655" s="66" t="str">
        <f>IF(AND('131-CT'!$H$9=TH!H655,OR(N655="131",O655="131")),"x","")</f>
        <v/>
      </c>
      <c r="X655" s="66" t="str">
        <f>IF(AND($B655&gt;='1331'!$I$9,$B655&lt;='1331'!$J$9,OR($N655=$X$7,$O655=$X$7)),"x","")</f>
        <v/>
      </c>
      <c r="Y655" s="66" t="str">
        <f>IF(AND($N655=$X$7,$B655&lt;'1331'!$I$9),"x","")</f>
        <v/>
      </c>
      <c r="Z655" s="66" t="str">
        <f>IF(AND($O655=$X$7,$B655&lt;'1331'!$I$9),"x","")</f>
        <v/>
      </c>
      <c r="AA655" s="66" t="str">
        <f>IF(AND('341-CT'!$H$9=H655,OR(LEFT(N655,3)=$AA$7,LEFT(O655,3)=$AA$7)),"x","")</f>
        <v/>
      </c>
      <c r="AB655" s="66" t="str">
        <f>IF(OR(TH!N655=TH!$AB$7,O655=TH!$AB$7),"x","")</f>
        <v/>
      </c>
      <c r="AC655" s="66" t="str">
        <f t="shared" si="60"/>
        <v/>
      </c>
      <c r="AD655" s="66" t="str">
        <f>IF(AND(MONTH(E655)='IN-NX'!$J$5,'IN-NX'!$D$7=D655,OR(LEFT(TH!N655,2)="15",LEFT(TH!O655,2)="15")),"x","")</f>
        <v/>
      </c>
      <c r="AE655" s="66" t="str">
        <f>IF(AND(OR(LEFT(TH!N655,2)="15",LEFT(TH!O655,2)="15"),'152-CT'!$J$8=TH!F655),"x","")</f>
        <v/>
      </c>
      <c r="AF655" s="66" t="str">
        <f>IF(AND(OR(LEFT(TH!N655,2)="15",LEFT(TH!O655,2)="15"),'THE KHO'!$E$7=TH!F655),"x","")</f>
        <v/>
      </c>
      <c r="AG655" s="66" t="str">
        <f>IF(AND(N655="1521",MONTH(C655)='BK NL'!$M$11),"x","")</f>
        <v/>
      </c>
    </row>
    <row r="656" spans="1:33" ht="15.75" hidden="1" customHeight="1">
      <c r="A656" s="397" t="str">
        <f>IF(B656&lt;&gt;"",IF(AND(B656&gt;=_TM1,B656&lt;=_TM2,OR(TH!N656="1111",TH!O656="1111")),TH!D656,""),"")</f>
        <v/>
      </c>
      <c r="B656" s="63" t="str">
        <f t="shared" si="61"/>
        <v/>
      </c>
      <c r="C656" s="64"/>
      <c r="D656" s="64"/>
      <c r="E656" s="64"/>
      <c r="F656" s="67"/>
      <c r="G656" s="375"/>
      <c r="H656" s="366"/>
      <c r="I656" s="512"/>
      <c r="J656" s="512"/>
      <c r="K656" s="504"/>
      <c r="L656" s="512"/>
      <c r="M656" s="65"/>
      <c r="N656" s="66"/>
      <c r="O656" s="66"/>
      <c r="P656" s="66" t="str">
        <f>IF(AND('331-CT'!$E$7=TH!H656,OR(N656="331",O656="331")),"x","")</f>
        <v/>
      </c>
      <c r="Q656" s="66" t="str">
        <f>IF(AND($B656&gt;='111'!$N$11,$B656&lt;='111'!$O$11,OR($N656=$Q$7,$O656=$Q$7)),"x","")</f>
        <v/>
      </c>
      <c r="R656" s="66" t="str">
        <f>IF(AND($N656=$Q$7,$B656&lt;'111'!$N$11),"x","")</f>
        <v/>
      </c>
      <c r="S656" s="66" t="str">
        <f>IF(AND($O656=$Q$7,$B656&lt;'111'!$N$11),"x","")</f>
        <v/>
      </c>
      <c r="T656" s="66" t="str">
        <f>IF(AND($B656&gt;='112'!$M$9,$B656&lt;='112'!$N$9,OR($N656='112'!$I$6,$O656='112'!$I$6)),"x","")</f>
        <v/>
      </c>
      <c r="U656" s="66" t="str">
        <f>IF(AND($N656='112'!$I$6,$B656&lt;'112'!$M$9),"x","")</f>
        <v/>
      </c>
      <c r="V656" s="66" t="str">
        <f>IF(AND($O656='112'!$I$6,$B656&lt;'112'!$M$9),"x","")</f>
        <v/>
      </c>
      <c r="W656" s="66" t="str">
        <f>IF(AND('131-CT'!$H$9=TH!H656,OR(N656="131",O656="131")),"x","")</f>
        <v/>
      </c>
      <c r="X656" s="66" t="str">
        <f>IF(AND($B656&gt;='1331'!$I$9,$B656&lt;='1331'!$J$9,OR($N656=$X$7,$O656=$X$7)),"x","")</f>
        <v/>
      </c>
      <c r="Y656" s="66" t="str">
        <f>IF(AND($N656=$X$7,$B656&lt;'1331'!$I$9),"x","")</f>
        <v/>
      </c>
      <c r="Z656" s="66" t="str">
        <f>IF(AND($O656=$X$7,$B656&lt;'1331'!$I$9),"x","")</f>
        <v/>
      </c>
      <c r="AA656" s="66" t="str">
        <f>IF(AND('341-CT'!$H$9=H656,OR(LEFT(N656,3)=$AA$7,LEFT(O656,3)=$AA$7)),"x","")</f>
        <v/>
      </c>
      <c r="AB656" s="66" t="str">
        <f>IF(OR(TH!N656=TH!$AB$7,O656=TH!$AB$7),"x","")</f>
        <v/>
      </c>
      <c r="AC656" s="66" t="str">
        <f t="shared" si="60"/>
        <v/>
      </c>
      <c r="AD656" s="66" t="str">
        <f>IF(AND(MONTH(E656)='IN-NX'!$J$5,'IN-NX'!$D$7=D656,OR(LEFT(TH!N656,2)="15",LEFT(TH!O656,2)="15")),"x","")</f>
        <v/>
      </c>
      <c r="AE656" s="66" t="str">
        <f>IF(AND(OR(LEFT(TH!N656,2)="15",LEFT(TH!O656,2)="15"),'152-CT'!$J$8=TH!F656),"x","")</f>
        <v/>
      </c>
      <c r="AF656" s="66" t="str">
        <f>IF(AND(OR(LEFT(TH!N656,2)="15",LEFT(TH!O656,2)="15"),'THE KHO'!$E$7=TH!F656),"x","")</f>
        <v/>
      </c>
      <c r="AG656" s="66" t="str">
        <f>IF(AND(N656="1521",MONTH(C656)='BK NL'!$M$11),"x","")</f>
        <v/>
      </c>
    </row>
    <row r="657" spans="1:33" ht="15.75" hidden="1" customHeight="1">
      <c r="A657" s="397" t="str">
        <f>IF(B657&lt;&gt;"",IF(AND(B657&gt;=_TM1,B657&lt;=_TM2,OR(TH!N657="1111",TH!O657="1111")),TH!D657,""),"")</f>
        <v/>
      </c>
      <c r="B657" s="63" t="str">
        <f t="shared" si="61"/>
        <v/>
      </c>
      <c r="C657" s="64"/>
      <c r="D657" s="64"/>
      <c r="E657" s="64"/>
      <c r="F657" s="67"/>
      <c r="G657" s="375"/>
      <c r="H657" s="366"/>
      <c r="I657" s="512"/>
      <c r="J657" s="512"/>
      <c r="K657" s="504"/>
      <c r="L657" s="512"/>
      <c r="M657" s="65"/>
      <c r="N657" s="66"/>
      <c r="O657" s="66"/>
      <c r="P657" s="66" t="str">
        <f>IF(AND('331-CT'!$E$7=TH!H657,OR(N657="331",O657="331")),"x","")</f>
        <v/>
      </c>
      <c r="Q657" s="66" t="str">
        <f>IF(AND($B657&gt;='111'!$N$11,$B657&lt;='111'!$O$11,OR($N657=$Q$7,$O657=$Q$7)),"x","")</f>
        <v/>
      </c>
      <c r="R657" s="66" t="str">
        <f>IF(AND($N657=$Q$7,$B657&lt;'111'!$N$11),"x","")</f>
        <v/>
      </c>
      <c r="S657" s="66" t="str">
        <f>IF(AND($O657=$Q$7,$B657&lt;'111'!$N$11),"x","")</f>
        <v/>
      </c>
      <c r="T657" s="66" t="str">
        <f>IF(AND($B657&gt;='112'!$M$9,$B657&lt;='112'!$N$9,OR($N657='112'!$I$6,$O657='112'!$I$6)),"x","")</f>
        <v/>
      </c>
      <c r="U657" s="66" t="str">
        <f>IF(AND($N657='112'!$I$6,$B657&lt;'112'!$M$9),"x","")</f>
        <v/>
      </c>
      <c r="V657" s="66" t="str">
        <f>IF(AND($O657='112'!$I$6,$B657&lt;'112'!$M$9),"x","")</f>
        <v/>
      </c>
      <c r="W657" s="66" t="str">
        <f>IF(AND('131-CT'!$H$9=TH!H657,OR(N657="131",O657="131")),"x","")</f>
        <v/>
      </c>
      <c r="X657" s="66" t="str">
        <f>IF(AND($B657&gt;='1331'!$I$9,$B657&lt;='1331'!$J$9,OR($N657=$X$7,$O657=$X$7)),"x","")</f>
        <v/>
      </c>
      <c r="Y657" s="66" t="str">
        <f>IF(AND($N657=$X$7,$B657&lt;'1331'!$I$9),"x","")</f>
        <v/>
      </c>
      <c r="Z657" s="66" t="str">
        <f>IF(AND($O657=$X$7,$B657&lt;'1331'!$I$9),"x","")</f>
        <v/>
      </c>
      <c r="AA657" s="66" t="str">
        <f>IF(AND('341-CT'!$H$9=H657,OR(LEFT(N657,3)=$AA$7,LEFT(O657,3)=$AA$7)),"x","")</f>
        <v/>
      </c>
      <c r="AB657" s="66" t="str">
        <f>IF(OR(TH!N657=TH!$AB$7,O657=TH!$AB$7),"x","")</f>
        <v/>
      </c>
      <c r="AC657" s="66" t="str">
        <f t="shared" si="60"/>
        <v/>
      </c>
      <c r="AD657" s="66" t="str">
        <f>IF(AND(MONTH(E657)='IN-NX'!$J$5,'IN-NX'!$D$7=D657,OR(LEFT(TH!N657,2)="15",LEFT(TH!O657,2)="15")),"x","")</f>
        <v/>
      </c>
      <c r="AE657" s="66" t="str">
        <f>IF(AND(OR(LEFT(TH!N657,2)="15",LEFT(TH!O657,2)="15"),'152-CT'!$J$8=TH!F657),"x","")</f>
        <v/>
      </c>
      <c r="AF657" s="66" t="str">
        <f>IF(AND(OR(LEFT(TH!N657,2)="15",LEFT(TH!O657,2)="15"),'THE KHO'!$E$7=TH!F657),"x","")</f>
        <v/>
      </c>
      <c r="AG657" s="66" t="str">
        <f>IF(AND(N657="1521",MONTH(C657)='BK NL'!$M$11),"x","")</f>
        <v/>
      </c>
    </row>
    <row r="658" spans="1:33" ht="15.75" hidden="1" customHeight="1">
      <c r="A658" s="397" t="str">
        <f>IF(B658&lt;&gt;"",IF(AND(B658&gt;=_TM1,B658&lt;=_TM2,OR(TH!N658="1111",TH!O658="1111")),TH!D658,""),"")</f>
        <v/>
      </c>
      <c r="B658" s="63" t="str">
        <f t="shared" si="61"/>
        <v/>
      </c>
      <c r="C658" s="64"/>
      <c r="D658" s="64"/>
      <c r="E658" s="64"/>
      <c r="F658" s="67"/>
      <c r="G658" s="375"/>
      <c r="H658" s="74"/>
      <c r="I658" s="514"/>
      <c r="J658" s="514"/>
      <c r="K658" s="506"/>
      <c r="L658" s="514"/>
      <c r="M658" s="65"/>
      <c r="N658" s="66"/>
      <c r="O658" s="66"/>
      <c r="P658" s="66" t="str">
        <f>IF(AND('331-CT'!$E$7=TH!H658,OR(N658="331",O658="331")),"x","")</f>
        <v/>
      </c>
      <c r="Q658" s="66" t="str">
        <f>IF(AND($B658&gt;='111'!$N$11,$B658&lt;='111'!$O$11,OR($N658=$Q$7,$O658=$Q$7)),"x","")</f>
        <v/>
      </c>
      <c r="R658" s="66" t="str">
        <f>IF(AND($N658=$Q$7,$B658&lt;'111'!$N$11),"x","")</f>
        <v/>
      </c>
      <c r="S658" s="66" t="str">
        <f>IF(AND($O658=$Q$7,$B658&lt;'111'!$N$11),"x","")</f>
        <v/>
      </c>
      <c r="T658" s="66" t="str">
        <f>IF(AND($B658&gt;='112'!$M$9,$B658&lt;='112'!$N$9,OR($N658='112'!$I$6,$O658='112'!$I$6)),"x","")</f>
        <v/>
      </c>
      <c r="U658" s="66" t="str">
        <f>IF(AND($N658='112'!$I$6,$B658&lt;'112'!$M$9),"x","")</f>
        <v/>
      </c>
      <c r="V658" s="66" t="str">
        <f>IF(AND($O658='112'!$I$6,$B658&lt;'112'!$M$9),"x","")</f>
        <v/>
      </c>
      <c r="W658" s="66" t="str">
        <f>IF(AND('131-CT'!$H$9=TH!H658,OR(N658="131",O658="131")),"x","")</f>
        <v/>
      </c>
      <c r="X658" s="66" t="str">
        <f>IF(AND($B658&gt;='1331'!$I$9,$B658&lt;='1331'!$J$9,OR($N658=$X$7,$O658=$X$7)),"x","")</f>
        <v/>
      </c>
      <c r="Y658" s="66" t="str">
        <f>IF(AND($N658=$X$7,$B658&lt;'1331'!$I$9),"x","")</f>
        <v/>
      </c>
      <c r="Z658" s="66" t="str">
        <f>IF(AND($O658=$X$7,$B658&lt;'1331'!$I$9),"x","")</f>
        <v/>
      </c>
      <c r="AA658" s="66" t="str">
        <f>IF(AND('341-CT'!$H$9=H658,OR(LEFT(N658,3)=$AA$7,LEFT(O658,3)=$AA$7)),"x","")</f>
        <v/>
      </c>
      <c r="AB658" s="66" t="str">
        <f>IF(OR(TH!N658=TH!$AB$7,O658=TH!$AB$7),"x","")</f>
        <v/>
      </c>
      <c r="AC658" s="66" t="str">
        <f t="shared" ref="AC658:AC721" si="62">IF(AND(1&lt;=$B658,$B658&lt;=3),"1",IF(AND(4&lt;=$B658,$B658&lt;=6),"2",IF(AND(7&lt;=$B658,$B658&lt;=9),"3",IF(AND(10&lt;=$B658,$B658&lt;=12),"4",""))))</f>
        <v/>
      </c>
      <c r="AD658" s="66" t="str">
        <f>IF(AND(MONTH(E658)='IN-NX'!$J$5,'IN-NX'!$D$7=D658,OR(LEFT(TH!N658,2)="15",LEFT(TH!O658,2)="15")),"x","")</f>
        <v/>
      </c>
      <c r="AE658" s="66" t="str">
        <f>IF(AND(OR(LEFT(TH!N658,2)="15",LEFT(TH!O658,2)="15"),'152-CT'!$J$8=TH!F658),"x","")</f>
        <v/>
      </c>
      <c r="AF658" s="66" t="str">
        <f>IF(AND(OR(LEFT(TH!N658,2)="15",LEFT(TH!O658,2)="15"),'THE KHO'!$E$7=TH!F658),"x","")</f>
        <v/>
      </c>
      <c r="AG658" s="66" t="str">
        <f>IF(AND(N658="1521",MONTH(C658)='BK NL'!$M$11),"x","")</f>
        <v/>
      </c>
    </row>
    <row r="659" spans="1:33" ht="15.75" hidden="1" customHeight="1">
      <c r="A659" s="397" t="str">
        <f>IF(B659&lt;&gt;"",IF(AND(B659&gt;=_TM1,B659&lt;=_TM2,OR(TH!N659="1111",TH!O659="1111")),TH!D659,""),"")</f>
        <v/>
      </c>
      <c r="B659" s="63" t="str">
        <f t="shared" si="61"/>
        <v/>
      </c>
      <c r="C659" s="64"/>
      <c r="D659" s="64"/>
      <c r="E659" s="64"/>
      <c r="F659" s="67"/>
      <c r="G659" s="375"/>
      <c r="H659" s="74"/>
      <c r="I659" s="514"/>
      <c r="J659" s="514"/>
      <c r="K659" s="506"/>
      <c r="L659" s="514"/>
      <c r="M659" s="65"/>
      <c r="N659" s="66"/>
      <c r="O659" s="66"/>
      <c r="P659" s="66" t="str">
        <f>IF(AND('331-CT'!$E$7=TH!H659,OR(N659="331",O659="331")),"x","")</f>
        <v/>
      </c>
      <c r="Q659" s="66" t="str">
        <f>IF(AND($B659&gt;='111'!$N$11,$B659&lt;='111'!$O$11,OR($N659=$Q$7,$O659=$Q$7)),"x","")</f>
        <v/>
      </c>
      <c r="R659" s="66" t="str">
        <f>IF(AND($N659=$Q$7,$B659&lt;'111'!$N$11),"x","")</f>
        <v/>
      </c>
      <c r="S659" s="66" t="str">
        <f>IF(AND($O659=$Q$7,$B659&lt;'111'!$N$11),"x","")</f>
        <v/>
      </c>
      <c r="T659" s="66" t="str">
        <f>IF(AND($B659&gt;='112'!$M$9,$B659&lt;='112'!$N$9,OR($N659='112'!$I$6,$O659='112'!$I$6)),"x","")</f>
        <v/>
      </c>
      <c r="U659" s="66" t="str">
        <f>IF(AND($N659='112'!$I$6,$B659&lt;'112'!$M$9),"x","")</f>
        <v/>
      </c>
      <c r="V659" s="66" t="str">
        <f>IF(AND($O659='112'!$I$6,$B659&lt;'112'!$M$9),"x","")</f>
        <v/>
      </c>
      <c r="W659" s="66" t="str">
        <f>IF(AND('131-CT'!$H$9=TH!H659,OR(N659="131",O659="131")),"x","")</f>
        <v/>
      </c>
      <c r="X659" s="66" t="str">
        <f>IF(AND($B659&gt;='1331'!$I$9,$B659&lt;='1331'!$J$9,OR($N659=$X$7,$O659=$X$7)),"x","")</f>
        <v/>
      </c>
      <c r="Y659" s="66" t="str">
        <f>IF(AND($N659=$X$7,$B659&lt;'1331'!$I$9),"x","")</f>
        <v/>
      </c>
      <c r="Z659" s="66" t="str">
        <f>IF(AND($O659=$X$7,$B659&lt;'1331'!$I$9),"x","")</f>
        <v/>
      </c>
      <c r="AA659" s="66" t="str">
        <f>IF(AND('341-CT'!$H$9=H659,OR(LEFT(N659,3)=$AA$7,LEFT(O659,3)=$AA$7)),"x","")</f>
        <v/>
      </c>
      <c r="AB659" s="66" t="str">
        <f>IF(OR(TH!N659=TH!$AB$7,O659=TH!$AB$7),"x","")</f>
        <v/>
      </c>
      <c r="AC659" s="66" t="str">
        <f t="shared" si="62"/>
        <v/>
      </c>
      <c r="AD659" s="66" t="str">
        <f>IF(AND(MONTH(E659)='IN-NX'!$J$5,'IN-NX'!$D$7=D659,OR(LEFT(TH!N659,2)="15",LEFT(TH!O659,2)="15")),"x","")</f>
        <v/>
      </c>
      <c r="AE659" s="66" t="str">
        <f>IF(AND(OR(LEFT(TH!N659,2)="15",LEFT(TH!O659,2)="15"),'152-CT'!$J$8=TH!F659),"x","")</f>
        <v/>
      </c>
      <c r="AF659" s="66" t="str">
        <f>IF(AND(OR(LEFT(TH!N659,2)="15",LEFT(TH!O659,2)="15"),'THE KHO'!$E$7=TH!F659),"x","")</f>
        <v/>
      </c>
      <c r="AG659" s="66" t="str">
        <f>IF(AND(N659="1521",MONTH(C659)='BK NL'!$M$11),"x","")</f>
        <v/>
      </c>
    </row>
    <row r="660" spans="1:33" ht="15.75" hidden="1" customHeight="1">
      <c r="A660" s="397" t="str">
        <f>IF(B660&lt;&gt;"",IF(AND(B660&gt;=_TM1,B660&lt;=_TM2,OR(TH!N660="1111",TH!O660="1111")),TH!D660,""),"")</f>
        <v/>
      </c>
      <c r="B660" s="63" t="str">
        <f t="shared" si="61"/>
        <v/>
      </c>
      <c r="C660" s="64"/>
      <c r="D660" s="64"/>
      <c r="E660" s="64"/>
      <c r="F660" s="67"/>
      <c r="G660" s="361"/>
      <c r="H660" s="74"/>
      <c r="I660" s="514"/>
      <c r="J660" s="514"/>
      <c r="K660" s="506"/>
      <c r="L660" s="514"/>
      <c r="M660" s="65"/>
      <c r="N660" s="66"/>
      <c r="O660" s="66"/>
      <c r="P660" s="66" t="str">
        <f>IF(AND('331-CT'!$E$7=TH!H660,OR(N660="331",O660="331")),"x","")</f>
        <v/>
      </c>
      <c r="Q660" s="66" t="str">
        <f>IF(AND($B660&gt;='111'!$N$11,$B660&lt;='111'!$O$11,OR($N660=$Q$7,$O660=$Q$7)),"x","")</f>
        <v/>
      </c>
      <c r="R660" s="66" t="str">
        <f>IF(AND($N660=$Q$7,$B660&lt;'111'!$N$11),"x","")</f>
        <v/>
      </c>
      <c r="S660" s="66" t="str">
        <f>IF(AND($O660=$Q$7,$B660&lt;'111'!$N$11),"x","")</f>
        <v/>
      </c>
      <c r="T660" s="66" t="str">
        <f>IF(AND($B660&gt;='112'!$M$9,$B660&lt;='112'!$N$9,OR($N660='112'!$I$6,$O660='112'!$I$6)),"x","")</f>
        <v/>
      </c>
      <c r="U660" s="66" t="str">
        <f>IF(AND($N660='112'!$I$6,$B660&lt;'112'!$M$9),"x","")</f>
        <v/>
      </c>
      <c r="V660" s="66" t="str">
        <f>IF(AND($O660='112'!$I$6,$B660&lt;'112'!$M$9),"x","")</f>
        <v/>
      </c>
      <c r="W660" s="66" t="str">
        <f>IF(AND('131-CT'!$H$9=TH!H660,OR(N660="131",O660="131")),"x","")</f>
        <v/>
      </c>
      <c r="X660" s="66" t="str">
        <f>IF(AND($B660&gt;='1331'!$I$9,$B660&lt;='1331'!$J$9,OR($N660=$X$7,$O660=$X$7)),"x","")</f>
        <v/>
      </c>
      <c r="Y660" s="66" t="str">
        <f>IF(AND($N660=$X$7,$B660&lt;'1331'!$I$9),"x","")</f>
        <v/>
      </c>
      <c r="Z660" s="66" t="str">
        <f>IF(AND($O660=$X$7,$B660&lt;'1331'!$I$9),"x","")</f>
        <v/>
      </c>
      <c r="AA660" s="66" t="str">
        <f>IF(AND('341-CT'!$H$9=H660,OR(LEFT(N660,3)=$AA$7,LEFT(O660,3)=$AA$7)),"x","")</f>
        <v/>
      </c>
      <c r="AB660" s="66" t="str">
        <f>IF(OR(TH!N660=TH!$AB$7,O660=TH!$AB$7),"x","")</f>
        <v/>
      </c>
      <c r="AC660" s="66" t="str">
        <f t="shared" si="62"/>
        <v/>
      </c>
      <c r="AD660" s="66" t="str">
        <f>IF(AND(MONTH(E660)='IN-NX'!$J$5,'IN-NX'!$D$7=D660,OR(LEFT(TH!N660,2)="15",LEFT(TH!O660,2)="15")),"x","")</f>
        <v/>
      </c>
      <c r="AE660" s="66" t="str">
        <f>IF(AND(OR(LEFT(TH!N660,2)="15",LEFT(TH!O660,2)="15"),'152-CT'!$J$8=TH!F660),"x","")</f>
        <v/>
      </c>
      <c r="AF660" s="66" t="str">
        <f>IF(AND(OR(LEFT(TH!N660,2)="15",LEFT(TH!O660,2)="15"),'THE KHO'!$E$7=TH!F660),"x","")</f>
        <v/>
      </c>
      <c r="AG660" s="66" t="str">
        <f>IF(AND(N660="1521",MONTH(C660)='BK NL'!$M$11),"x","")</f>
        <v/>
      </c>
    </row>
    <row r="661" spans="1:33" ht="15.75" hidden="1" customHeight="1">
      <c r="A661" s="397" t="str">
        <f>IF(B661&lt;&gt;"",IF(AND(B661&gt;=_TM1,B661&lt;=_TM2,OR(TH!N661="1111",TH!O661="1111")),TH!D661,""),"")</f>
        <v/>
      </c>
      <c r="B661" s="63" t="str">
        <f t="shared" si="61"/>
        <v/>
      </c>
      <c r="C661" s="64"/>
      <c r="D661" s="64"/>
      <c r="E661" s="64"/>
      <c r="F661" s="67"/>
      <c r="G661" s="361"/>
      <c r="H661" s="74"/>
      <c r="I661" s="514"/>
      <c r="J661" s="514"/>
      <c r="K661" s="506"/>
      <c r="L661" s="514"/>
      <c r="M661" s="65"/>
      <c r="N661" s="66"/>
      <c r="O661" s="66"/>
      <c r="P661" s="66" t="str">
        <f>IF(AND('331-CT'!$E$7=TH!H661,OR(N661="331",O661="331")),"x","")</f>
        <v/>
      </c>
      <c r="Q661" s="66" t="str">
        <f>IF(AND($B661&gt;='111'!$N$11,$B661&lt;='111'!$O$11,OR($N661=$Q$7,$O661=$Q$7)),"x","")</f>
        <v/>
      </c>
      <c r="R661" s="66" t="str">
        <f>IF(AND($N661=$Q$7,$B661&lt;'111'!$N$11),"x","")</f>
        <v/>
      </c>
      <c r="S661" s="66" t="str">
        <f>IF(AND($O661=$Q$7,$B661&lt;'111'!$N$11),"x","")</f>
        <v/>
      </c>
      <c r="T661" s="66" t="str">
        <f>IF(AND($B661&gt;='112'!$M$9,$B661&lt;='112'!$N$9,OR($N661='112'!$I$6,$O661='112'!$I$6)),"x","")</f>
        <v/>
      </c>
      <c r="U661" s="66" t="str">
        <f>IF(AND($N661='112'!$I$6,$B661&lt;'112'!$M$9),"x","")</f>
        <v/>
      </c>
      <c r="V661" s="66" t="str">
        <f>IF(AND($O661='112'!$I$6,$B661&lt;'112'!$M$9),"x","")</f>
        <v/>
      </c>
      <c r="W661" s="66" t="str">
        <f>IF(AND('131-CT'!$H$9=TH!H661,OR(N661="131",O661="131")),"x","")</f>
        <v/>
      </c>
      <c r="X661" s="66" t="str">
        <f>IF(AND($B661&gt;='1331'!$I$9,$B661&lt;='1331'!$J$9,OR($N661=$X$7,$O661=$X$7)),"x","")</f>
        <v/>
      </c>
      <c r="Y661" s="66" t="str">
        <f>IF(AND($N661=$X$7,$B661&lt;'1331'!$I$9),"x","")</f>
        <v/>
      </c>
      <c r="Z661" s="66" t="str">
        <f>IF(AND($O661=$X$7,$B661&lt;'1331'!$I$9),"x","")</f>
        <v/>
      </c>
      <c r="AA661" s="66" t="str">
        <f>IF(AND('341-CT'!$H$9=H661,OR(LEFT(N661,3)=$AA$7,LEFT(O661,3)=$AA$7)),"x","")</f>
        <v/>
      </c>
      <c r="AB661" s="66" t="str">
        <f>IF(OR(TH!N661=TH!$AB$7,O661=TH!$AB$7),"x","")</f>
        <v/>
      </c>
      <c r="AC661" s="66" t="str">
        <f t="shared" si="62"/>
        <v/>
      </c>
      <c r="AD661" s="66" t="str">
        <f>IF(AND(MONTH(E661)='IN-NX'!$J$5,'IN-NX'!$D$7=D661,OR(LEFT(TH!N661,2)="15",LEFT(TH!O661,2)="15")),"x","")</f>
        <v/>
      </c>
      <c r="AE661" s="66" t="str">
        <f>IF(AND(OR(LEFT(TH!N661,2)="15",LEFT(TH!O661,2)="15"),'152-CT'!$J$8=TH!F661),"x","")</f>
        <v/>
      </c>
      <c r="AF661" s="66" t="str">
        <f>IF(AND(OR(LEFT(TH!N661,2)="15",LEFT(TH!O661,2)="15"),'THE KHO'!$E$7=TH!F661),"x","")</f>
        <v/>
      </c>
      <c r="AG661" s="66" t="str">
        <f>IF(AND(N661="1521",MONTH(C661)='BK NL'!$M$11),"x","")</f>
        <v/>
      </c>
    </row>
    <row r="662" spans="1:33" ht="15.75" hidden="1" customHeight="1">
      <c r="A662" s="397" t="str">
        <f>IF(B662&lt;&gt;"",IF(AND(B662&gt;=_TM1,B662&lt;=_TM2,OR(TH!N662="1111",TH!O662="1111")),TH!D662,""),"")</f>
        <v/>
      </c>
      <c r="B662" s="63" t="str">
        <f t="shared" si="61"/>
        <v/>
      </c>
      <c r="C662" s="64"/>
      <c r="D662" s="64"/>
      <c r="E662" s="64"/>
      <c r="F662" s="67"/>
      <c r="G662" s="361"/>
      <c r="H662" s="74"/>
      <c r="I662" s="514"/>
      <c r="J662" s="514"/>
      <c r="K662" s="506"/>
      <c r="L662" s="514"/>
      <c r="M662" s="65"/>
      <c r="N662" s="66"/>
      <c r="O662" s="66"/>
      <c r="P662" s="66" t="str">
        <f>IF(AND('331-CT'!$E$7=TH!H662,OR(N662="331",O662="331")),"x","")</f>
        <v/>
      </c>
      <c r="Q662" s="66" t="str">
        <f>IF(AND($B662&gt;='111'!$N$11,$B662&lt;='111'!$O$11,OR($N662=$Q$7,$O662=$Q$7)),"x","")</f>
        <v/>
      </c>
      <c r="R662" s="66" t="str">
        <f>IF(AND($N662=$Q$7,$B662&lt;'111'!$N$11),"x","")</f>
        <v/>
      </c>
      <c r="S662" s="66" t="str">
        <f>IF(AND($O662=$Q$7,$B662&lt;'111'!$N$11),"x","")</f>
        <v/>
      </c>
      <c r="T662" s="66" t="str">
        <f>IF(AND($B662&gt;='112'!$M$9,$B662&lt;='112'!$N$9,OR($N662='112'!$I$6,$O662='112'!$I$6)),"x","")</f>
        <v/>
      </c>
      <c r="U662" s="66" t="str">
        <f>IF(AND($N662='112'!$I$6,$B662&lt;'112'!$M$9),"x","")</f>
        <v/>
      </c>
      <c r="V662" s="66" t="str">
        <f>IF(AND($O662='112'!$I$6,$B662&lt;'112'!$M$9),"x","")</f>
        <v/>
      </c>
      <c r="W662" s="66" t="str">
        <f>IF(AND('131-CT'!$H$9=TH!H662,OR(N662="131",O662="131")),"x","")</f>
        <v/>
      </c>
      <c r="X662" s="66" t="str">
        <f>IF(AND($B662&gt;='1331'!$I$9,$B662&lt;='1331'!$J$9,OR($N662=$X$7,$O662=$X$7)),"x","")</f>
        <v/>
      </c>
      <c r="Y662" s="66" t="str">
        <f>IF(AND($N662=$X$7,$B662&lt;'1331'!$I$9),"x","")</f>
        <v/>
      </c>
      <c r="Z662" s="66" t="str">
        <f>IF(AND($O662=$X$7,$B662&lt;'1331'!$I$9),"x","")</f>
        <v/>
      </c>
      <c r="AA662" s="66" t="str">
        <f>IF(AND('341-CT'!$H$9=H662,OR(LEFT(N662,3)=$AA$7,LEFT(O662,3)=$AA$7)),"x","")</f>
        <v/>
      </c>
      <c r="AB662" s="66" t="str">
        <f>IF(OR(TH!N662=TH!$AB$7,O662=TH!$AB$7),"x","")</f>
        <v/>
      </c>
      <c r="AC662" s="66" t="str">
        <f t="shared" si="62"/>
        <v/>
      </c>
      <c r="AD662" s="66" t="str">
        <f>IF(AND(MONTH(E662)='IN-NX'!$J$5,'IN-NX'!$D$7=D662,OR(LEFT(TH!N662,2)="15",LEFT(TH!O662,2)="15")),"x","")</f>
        <v/>
      </c>
      <c r="AE662" s="66" t="str">
        <f>IF(AND(OR(LEFT(TH!N662,2)="15",LEFT(TH!O662,2)="15"),'152-CT'!$J$8=TH!F662),"x","")</f>
        <v/>
      </c>
      <c r="AF662" s="66" t="str">
        <f>IF(AND(OR(LEFT(TH!N662,2)="15",LEFT(TH!O662,2)="15"),'THE KHO'!$E$7=TH!F662),"x","")</f>
        <v/>
      </c>
      <c r="AG662" s="66" t="str">
        <f>IF(AND(N662="1521",MONTH(C662)='BK NL'!$M$11),"x","")</f>
        <v/>
      </c>
    </row>
    <row r="663" spans="1:33" ht="15.75" hidden="1" customHeight="1">
      <c r="A663" s="397" t="str">
        <f>IF(B663&lt;&gt;"",IF(AND(B663&gt;=_TM1,B663&lt;=_TM2,OR(TH!N663="1111",TH!O663="1111")),TH!D663,""),"")</f>
        <v/>
      </c>
      <c r="B663" s="63" t="str">
        <f t="shared" si="61"/>
        <v/>
      </c>
      <c r="C663" s="64"/>
      <c r="D663" s="64"/>
      <c r="E663" s="64"/>
      <c r="F663" s="67"/>
      <c r="G663" s="361"/>
      <c r="H663" s="74"/>
      <c r="I663" s="514"/>
      <c r="J663" s="514"/>
      <c r="K663" s="506"/>
      <c r="L663" s="514"/>
      <c r="M663" s="65"/>
      <c r="N663" s="66"/>
      <c r="O663" s="66"/>
      <c r="P663" s="66" t="str">
        <f>IF(AND('331-CT'!$E$7=TH!H663,OR(N663="331",O663="331")),"x","")</f>
        <v/>
      </c>
      <c r="Q663" s="66" t="str">
        <f>IF(AND($B663&gt;='111'!$N$11,$B663&lt;='111'!$O$11,OR($N663=$Q$7,$O663=$Q$7)),"x","")</f>
        <v/>
      </c>
      <c r="R663" s="66" t="str">
        <f>IF(AND($N663=$Q$7,$B663&lt;'111'!$N$11),"x","")</f>
        <v/>
      </c>
      <c r="S663" s="66" t="str">
        <f>IF(AND($O663=$Q$7,$B663&lt;'111'!$N$11),"x","")</f>
        <v/>
      </c>
      <c r="T663" s="66" t="str">
        <f>IF(AND($B663&gt;='112'!$M$9,$B663&lt;='112'!$N$9,OR($N663='112'!$I$6,$O663='112'!$I$6)),"x","")</f>
        <v/>
      </c>
      <c r="U663" s="66" t="str">
        <f>IF(AND($N663='112'!$I$6,$B663&lt;'112'!$M$9),"x","")</f>
        <v/>
      </c>
      <c r="V663" s="66" t="str">
        <f>IF(AND($O663='112'!$I$6,$B663&lt;'112'!$M$9),"x","")</f>
        <v/>
      </c>
      <c r="W663" s="66" t="str">
        <f>IF(AND('131-CT'!$H$9=TH!H663,OR(N663="131",O663="131")),"x","")</f>
        <v/>
      </c>
      <c r="X663" s="66" t="str">
        <f>IF(AND($B663&gt;='1331'!$I$9,$B663&lt;='1331'!$J$9,OR($N663=$X$7,$O663=$X$7)),"x","")</f>
        <v/>
      </c>
      <c r="Y663" s="66" t="str">
        <f>IF(AND($N663=$X$7,$B663&lt;'1331'!$I$9),"x","")</f>
        <v/>
      </c>
      <c r="Z663" s="66" t="str">
        <f>IF(AND($O663=$X$7,$B663&lt;'1331'!$I$9),"x","")</f>
        <v/>
      </c>
      <c r="AA663" s="66" t="str">
        <f>IF(AND('341-CT'!$H$9=H663,OR(LEFT(N663,3)=$AA$7,LEFT(O663,3)=$AA$7)),"x","")</f>
        <v/>
      </c>
      <c r="AB663" s="66" t="str">
        <f>IF(OR(TH!N663=TH!$AB$7,O663=TH!$AB$7),"x","")</f>
        <v/>
      </c>
      <c r="AC663" s="66" t="str">
        <f t="shared" si="62"/>
        <v/>
      </c>
      <c r="AD663" s="66" t="str">
        <f>IF(AND(MONTH(E663)='IN-NX'!$J$5,'IN-NX'!$D$7=D663,OR(LEFT(TH!N663,2)="15",LEFT(TH!O663,2)="15")),"x","")</f>
        <v/>
      </c>
      <c r="AE663" s="66" t="str">
        <f>IF(AND(OR(LEFT(TH!N663,2)="15",LEFT(TH!O663,2)="15"),'152-CT'!$J$8=TH!F663),"x","")</f>
        <v/>
      </c>
      <c r="AF663" s="66" t="str">
        <f>IF(AND(OR(LEFT(TH!N663,2)="15",LEFT(TH!O663,2)="15"),'THE KHO'!$E$7=TH!F663),"x","")</f>
        <v/>
      </c>
      <c r="AG663" s="66" t="str">
        <f>IF(AND(N663="1521",MONTH(C663)='BK NL'!$M$11),"x","")</f>
        <v/>
      </c>
    </row>
    <row r="664" spans="1:33" ht="15.75" hidden="1" customHeight="1">
      <c r="A664" s="397" t="str">
        <f>IF(B664&lt;&gt;"",IF(AND(B664&gt;=_TM1,B664&lt;=_TM2,OR(TH!N664="1111",TH!O664="1111")),TH!D664,""),"")</f>
        <v/>
      </c>
      <c r="B664" s="63" t="str">
        <f t="shared" si="61"/>
        <v/>
      </c>
      <c r="C664" s="64"/>
      <c r="D664" s="64"/>
      <c r="E664" s="64"/>
      <c r="F664" s="67"/>
      <c r="G664" s="361"/>
      <c r="H664" s="74"/>
      <c r="I664" s="514"/>
      <c r="J664" s="514"/>
      <c r="K664" s="506"/>
      <c r="L664" s="514"/>
      <c r="M664" s="65"/>
      <c r="N664" s="66"/>
      <c r="O664" s="66"/>
      <c r="P664" s="66" t="str">
        <f>IF(AND('331-CT'!$E$7=TH!H664,OR(N664="331",O664="331")),"x","")</f>
        <v/>
      </c>
      <c r="Q664" s="66" t="str">
        <f>IF(AND($B664&gt;='111'!$N$11,$B664&lt;='111'!$O$11,OR($N664=$Q$7,$O664=$Q$7)),"x","")</f>
        <v/>
      </c>
      <c r="R664" s="66" t="str">
        <f>IF(AND($N664=$Q$7,$B664&lt;'111'!$N$11),"x","")</f>
        <v/>
      </c>
      <c r="S664" s="66" t="str">
        <f>IF(AND($O664=$Q$7,$B664&lt;'111'!$N$11),"x","")</f>
        <v/>
      </c>
      <c r="T664" s="66" t="str">
        <f>IF(AND($B664&gt;='112'!$M$9,$B664&lt;='112'!$N$9,OR($N664='112'!$I$6,$O664='112'!$I$6)),"x","")</f>
        <v/>
      </c>
      <c r="U664" s="66" t="str">
        <f>IF(AND($N664='112'!$I$6,$B664&lt;'112'!$M$9),"x","")</f>
        <v/>
      </c>
      <c r="V664" s="66" t="str">
        <f>IF(AND($O664='112'!$I$6,$B664&lt;'112'!$M$9),"x","")</f>
        <v/>
      </c>
      <c r="W664" s="66" t="str">
        <f>IF(AND('131-CT'!$H$9=TH!H664,OR(N664="131",O664="131")),"x","")</f>
        <v/>
      </c>
      <c r="X664" s="66" t="str">
        <f>IF(AND($B664&gt;='1331'!$I$9,$B664&lt;='1331'!$J$9,OR($N664=$X$7,$O664=$X$7)),"x","")</f>
        <v/>
      </c>
      <c r="Y664" s="66" t="str">
        <f>IF(AND($N664=$X$7,$B664&lt;'1331'!$I$9),"x","")</f>
        <v/>
      </c>
      <c r="Z664" s="66" t="str">
        <f>IF(AND($O664=$X$7,$B664&lt;'1331'!$I$9),"x","")</f>
        <v/>
      </c>
      <c r="AA664" s="66" t="str">
        <f>IF(AND('341-CT'!$H$9=H664,OR(LEFT(N664,3)=$AA$7,LEFT(O664,3)=$AA$7)),"x","")</f>
        <v/>
      </c>
      <c r="AB664" s="66" t="str">
        <f>IF(OR(TH!N664=TH!$AB$7,O664=TH!$AB$7),"x","")</f>
        <v/>
      </c>
      <c r="AC664" s="66" t="str">
        <f t="shared" si="62"/>
        <v/>
      </c>
      <c r="AD664" s="66" t="str">
        <f>IF(AND(MONTH(E664)='IN-NX'!$J$5,'IN-NX'!$D$7=D664,OR(LEFT(TH!N664,2)="15",LEFT(TH!O664,2)="15")),"x","")</f>
        <v/>
      </c>
      <c r="AE664" s="66" t="str">
        <f>IF(AND(OR(LEFT(TH!N664,2)="15",LEFT(TH!O664,2)="15"),'152-CT'!$J$8=TH!F664),"x","")</f>
        <v/>
      </c>
      <c r="AF664" s="66" t="str">
        <f>IF(AND(OR(LEFT(TH!N664,2)="15",LEFT(TH!O664,2)="15"),'THE KHO'!$E$7=TH!F664),"x","")</f>
        <v/>
      </c>
      <c r="AG664" s="66" t="str">
        <f>IF(AND(N664="1521",MONTH(C664)='BK NL'!$M$11),"x","")</f>
        <v/>
      </c>
    </row>
    <row r="665" spans="1:33" ht="15.75" hidden="1" customHeight="1">
      <c r="A665" s="397" t="str">
        <f>IF(B665&lt;&gt;"",IF(AND(B665&gt;=_TM1,B665&lt;=_TM2,OR(TH!N665="1111",TH!O665="1111")),TH!D665,""),"")</f>
        <v/>
      </c>
      <c r="B665" s="63" t="str">
        <f t="shared" si="61"/>
        <v/>
      </c>
      <c r="C665" s="64"/>
      <c r="D665" s="64"/>
      <c r="E665" s="64"/>
      <c r="F665" s="67"/>
      <c r="G665" s="361"/>
      <c r="H665" s="74"/>
      <c r="I665" s="514"/>
      <c r="J665" s="514"/>
      <c r="K665" s="506"/>
      <c r="L665" s="514"/>
      <c r="M665" s="65"/>
      <c r="N665" s="66"/>
      <c r="O665" s="66"/>
      <c r="P665" s="66" t="str">
        <f>IF(AND('331-CT'!$E$7=TH!H665,OR(N665="331",O665="331")),"x","")</f>
        <v/>
      </c>
      <c r="Q665" s="66" t="str">
        <f>IF(AND($B665&gt;='111'!$N$11,$B665&lt;='111'!$O$11,OR($N665=$Q$7,$O665=$Q$7)),"x","")</f>
        <v/>
      </c>
      <c r="R665" s="66" t="str">
        <f>IF(AND($N665=$Q$7,$B665&lt;'111'!$N$11),"x","")</f>
        <v/>
      </c>
      <c r="S665" s="66" t="str">
        <f>IF(AND($O665=$Q$7,$B665&lt;'111'!$N$11),"x","")</f>
        <v/>
      </c>
      <c r="T665" s="66" t="str">
        <f>IF(AND($B665&gt;='112'!$M$9,$B665&lt;='112'!$N$9,OR($N665='112'!$I$6,$O665='112'!$I$6)),"x","")</f>
        <v/>
      </c>
      <c r="U665" s="66" t="str">
        <f>IF(AND($N665='112'!$I$6,$B665&lt;'112'!$M$9),"x","")</f>
        <v/>
      </c>
      <c r="V665" s="66" t="str">
        <f>IF(AND($O665='112'!$I$6,$B665&lt;'112'!$M$9),"x","")</f>
        <v/>
      </c>
      <c r="W665" s="66" t="str">
        <f>IF(AND('131-CT'!$H$9=TH!H665,OR(N665="131",O665="131")),"x","")</f>
        <v/>
      </c>
      <c r="X665" s="66" t="str">
        <f>IF(AND($B665&gt;='1331'!$I$9,$B665&lt;='1331'!$J$9,OR($N665=$X$7,$O665=$X$7)),"x","")</f>
        <v/>
      </c>
      <c r="Y665" s="66" t="str">
        <f>IF(AND($N665=$X$7,$B665&lt;'1331'!$I$9),"x","")</f>
        <v/>
      </c>
      <c r="Z665" s="66" t="str">
        <f>IF(AND($O665=$X$7,$B665&lt;'1331'!$I$9),"x","")</f>
        <v/>
      </c>
      <c r="AA665" s="66" t="str">
        <f>IF(AND('341-CT'!$H$9=H665,OR(LEFT(N665,3)=$AA$7,LEFT(O665,3)=$AA$7)),"x","")</f>
        <v/>
      </c>
      <c r="AB665" s="66" t="str">
        <f>IF(OR(TH!N665=TH!$AB$7,O665=TH!$AB$7),"x","")</f>
        <v/>
      </c>
      <c r="AC665" s="66" t="str">
        <f t="shared" si="62"/>
        <v/>
      </c>
      <c r="AD665" s="66" t="str">
        <f>IF(AND(MONTH(E665)='IN-NX'!$J$5,'IN-NX'!$D$7=D665,OR(LEFT(TH!N665,2)="15",LEFT(TH!O665,2)="15")),"x","")</f>
        <v/>
      </c>
      <c r="AE665" s="66" t="str">
        <f>IF(AND(OR(LEFT(TH!N665,2)="15",LEFT(TH!O665,2)="15"),'152-CT'!$J$8=TH!F665),"x","")</f>
        <v/>
      </c>
      <c r="AF665" s="66" t="str">
        <f>IF(AND(OR(LEFT(TH!N665,2)="15",LEFT(TH!O665,2)="15"),'THE KHO'!$E$7=TH!F665),"x","")</f>
        <v/>
      </c>
      <c r="AG665" s="66" t="str">
        <f>IF(AND(N665="1521",MONTH(C665)='BK NL'!$M$11),"x","")</f>
        <v/>
      </c>
    </row>
    <row r="666" spans="1:33" ht="15.75" hidden="1" customHeight="1">
      <c r="A666" s="397" t="str">
        <f>IF(B666&lt;&gt;"",IF(AND(B666&gt;=_TM1,B666&lt;=_TM2,OR(TH!N666="1111",TH!O666="1111")),TH!D666,""),"")</f>
        <v/>
      </c>
      <c r="B666" s="63" t="str">
        <f t="shared" si="61"/>
        <v/>
      </c>
      <c r="C666" s="64"/>
      <c r="D666" s="64"/>
      <c r="E666" s="64"/>
      <c r="F666" s="67"/>
      <c r="G666" s="361"/>
      <c r="H666" s="74"/>
      <c r="I666" s="514"/>
      <c r="J666" s="514"/>
      <c r="K666" s="506"/>
      <c r="L666" s="514"/>
      <c r="M666" s="65"/>
      <c r="N666" s="66"/>
      <c r="O666" s="66"/>
      <c r="P666" s="66" t="str">
        <f>IF(AND('331-CT'!$E$7=TH!H666,OR(N666="331",O666="331")),"x","")</f>
        <v/>
      </c>
      <c r="Q666" s="66" t="str">
        <f>IF(AND($B666&gt;='111'!$N$11,$B666&lt;='111'!$O$11,OR($N666=$Q$7,$O666=$Q$7)),"x","")</f>
        <v/>
      </c>
      <c r="R666" s="66" t="str">
        <f>IF(AND($N666=$Q$7,$B666&lt;'111'!$N$11),"x","")</f>
        <v/>
      </c>
      <c r="S666" s="66" t="str">
        <f>IF(AND($O666=$Q$7,$B666&lt;'111'!$N$11),"x","")</f>
        <v/>
      </c>
      <c r="T666" s="66" t="str">
        <f>IF(AND($B666&gt;='112'!$M$9,$B666&lt;='112'!$N$9,OR($N666='112'!$I$6,$O666='112'!$I$6)),"x","")</f>
        <v/>
      </c>
      <c r="U666" s="66" t="str">
        <f>IF(AND($N666='112'!$I$6,$B666&lt;'112'!$M$9),"x","")</f>
        <v/>
      </c>
      <c r="V666" s="66" t="str">
        <f>IF(AND($O666='112'!$I$6,$B666&lt;'112'!$M$9),"x","")</f>
        <v/>
      </c>
      <c r="W666" s="66" t="str">
        <f>IF(AND('131-CT'!$H$9=TH!H666,OR(N666="131",O666="131")),"x","")</f>
        <v/>
      </c>
      <c r="X666" s="66" t="str">
        <f>IF(AND($B666&gt;='1331'!$I$9,$B666&lt;='1331'!$J$9,OR($N666=$X$7,$O666=$X$7)),"x","")</f>
        <v/>
      </c>
      <c r="Y666" s="66" t="str">
        <f>IF(AND($N666=$X$7,$B666&lt;'1331'!$I$9),"x","")</f>
        <v/>
      </c>
      <c r="Z666" s="66" t="str">
        <f>IF(AND($O666=$X$7,$B666&lt;'1331'!$I$9),"x","")</f>
        <v/>
      </c>
      <c r="AA666" s="66" t="str">
        <f>IF(AND('341-CT'!$H$9=H666,OR(LEFT(N666,3)=$AA$7,LEFT(O666,3)=$AA$7)),"x","")</f>
        <v/>
      </c>
      <c r="AB666" s="66" t="str">
        <f>IF(OR(TH!N666=TH!$AB$7,O666=TH!$AB$7),"x","")</f>
        <v/>
      </c>
      <c r="AC666" s="66" t="str">
        <f t="shared" si="62"/>
        <v/>
      </c>
      <c r="AD666" s="66" t="str">
        <f>IF(AND(MONTH(E666)='IN-NX'!$J$5,'IN-NX'!$D$7=D666,OR(LEFT(TH!N666,2)="15",LEFT(TH!O666,2)="15")),"x","")</f>
        <v/>
      </c>
      <c r="AE666" s="66" t="str">
        <f>IF(AND(OR(LEFT(TH!N666,2)="15",LEFT(TH!O666,2)="15"),'152-CT'!$J$8=TH!F666),"x","")</f>
        <v/>
      </c>
      <c r="AF666" s="66" t="str">
        <f>IF(AND(OR(LEFT(TH!N666,2)="15",LEFT(TH!O666,2)="15"),'THE KHO'!$E$7=TH!F666),"x","")</f>
        <v/>
      </c>
      <c r="AG666" s="66" t="str">
        <f>IF(AND(N666="1521",MONTH(C666)='BK NL'!$M$11),"x","")</f>
        <v/>
      </c>
    </row>
    <row r="667" spans="1:33" ht="15.75" hidden="1" customHeight="1">
      <c r="A667" s="397" t="str">
        <f>IF(B667&lt;&gt;"",IF(AND(B667&gt;=_TM1,B667&lt;=_TM2,OR(TH!N667="1111",TH!O667="1111")),TH!D667,""),"")</f>
        <v/>
      </c>
      <c r="B667" s="63" t="str">
        <f t="shared" si="61"/>
        <v/>
      </c>
      <c r="C667" s="64"/>
      <c r="D667" s="64"/>
      <c r="E667" s="64"/>
      <c r="F667" s="67"/>
      <c r="G667" s="361"/>
      <c r="H667" s="74"/>
      <c r="I667" s="514"/>
      <c r="J667" s="514"/>
      <c r="K667" s="506"/>
      <c r="L667" s="514"/>
      <c r="M667" s="65"/>
      <c r="N667" s="66"/>
      <c r="O667" s="66"/>
      <c r="P667" s="66" t="str">
        <f>IF(AND('331-CT'!$E$7=TH!H667,OR(N667="331",O667="331")),"x","")</f>
        <v/>
      </c>
      <c r="Q667" s="66" t="str">
        <f>IF(AND($B667&gt;='111'!$N$11,$B667&lt;='111'!$O$11,OR($N667=$Q$7,$O667=$Q$7)),"x","")</f>
        <v/>
      </c>
      <c r="R667" s="66" t="str">
        <f>IF(AND($N667=$Q$7,$B667&lt;'111'!$N$11),"x","")</f>
        <v/>
      </c>
      <c r="S667" s="66" t="str">
        <f>IF(AND($O667=$Q$7,$B667&lt;'111'!$N$11),"x","")</f>
        <v/>
      </c>
      <c r="T667" s="66" t="str">
        <f>IF(AND($B667&gt;='112'!$M$9,$B667&lt;='112'!$N$9,OR($N667='112'!$I$6,$O667='112'!$I$6)),"x","")</f>
        <v/>
      </c>
      <c r="U667" s="66" t="str">
        <f>IF(AND($N667='112'!$I$6,$B667&lt;'112'!$M$9),"x","")</f>
        <v/>
      </c>
      <c r="V667" s="66" t="str">
        <f>IF(AND($O667='112'!$I$6,$B667&lt;'112'!$M$9),"x","")</f>
        <v/>
      </c>
      <c r="W667" s="66" t="str">
        <f>IF(AND('131-CT'!$H$9=TH!H667,OR(N667="131",O667="131")),"x","")</f>
        <v/>
      </c>
      <c r="X667" s="66" t="str">
        <f>IF(AND($B667&gt;='1331'!$I$9,$B667&lt;='1331'!$J$9,OR($N667=$X$7,$O667=$X$7)),"x","")</f>
        <v/>
      </c>
      <c r="Y667" s="66" t="str">
        <f>IF(AND($N667=$X$7,$B667&lt;'1331'!$I$9),"x","")</f>
        <v/>
      </c>
      <c r="Z667" s="66" t="str">
        <f>IF(AND($O667=$X$7,$B667&lt;'1331'!$I$9),"x","")</f>
        <v/>
      </c>
      <c r="AA667" s="66" t="str">
        <f>IF(AND('341-CT'!$H$9=H667,OR(LEFT(N667,3)=$AA$7,LEFT(O667,3)=$AA$7)),"x","")</f>
        <v/>
      </c>
      <c r="AB667" s="66" t="str">
        <f>IF(OR(TH!N667=TH!$AB$7,O667=TH!$AB$7),"x","")</f>
        <v/>
      </c>
      <c r="AC667" s="66" t="str">
        <f t="shared" si="62"/>
        <v/>
      </c>
      <c r="AD667" s="66" t="str">
        <f>IF(AND(MONTH(E667)='IN-NX'!$J$5,'IN-NX'!$D$7=D667,OR(LEFT(TH!N667,2)="15",LEFT(TH!O667,2)="15")),"x","")</f>
        <v/>
      </c>
      <c r="AE667" s="66" t="str">
        <f>IF(AND(OR(LEFT(TH!N667,2)="15",LEFT(TH!O667,2)="15"),'152-CT'!$J$8=TH!F667),"x","")</f>
        <v/>
      </c>
      <c r="AF667" s="66" t="str">
        <f>IF(AND(OR(LEFT(TH!N667,2)="15",LEFT(TH!O667,2)="15"),'THE KHO'!$E$7=TH!F667),"x","")</f>
        <v/>
      </c>
      <c r="AG667" s="66" t="str">
        <f>IF(AND(N667="1521",MONTH(C667)='BK NL'!$M$11),"x","")</f>
        <v/>
      </c>
    </row>
    <row r="668" spans="1:33" ht="15.75" hidden="1" customHeight="1">
      <c r="A668" s="397" t="str">
        <f>IF(B668&lt;&gt;"",IF(AND(B668&gt;=_TM1,B668&lt;=_TM2,OR(TH!N668="1111",TH!O668="1111")),TH!D668,""),"")</f>
        <v/>
      </c>
      <c r="B668" s="63" t="str">
        <f t="shared" si="61"/>
        <v/>
      </c>
      <c r="C668" s="64"/>
      <c r="D668" s="64"/>
      <c r="E668" s="64"/>
      <c r="F668" s="67"/>
      <c r="G668" s="361"/>
      <c r="H668" s="74"/>
      <c r="I668" s="514"/>
      <c r="J668" s="514"/>
      <c r="K668" s="506"/>
      <c r="L668" s="514"/>
      <c r="M668" s="65"/>
      <c r="N668" s="66"/>
      <c r="O668" s="66"/>
      <c r="P668" s="66" t="str">
        <f>IF(AND('331-CT'!$E$7=TH!H668,OR(N668="331",O668="331")),"x","")</f>
        <v/>
      </c>
      <c r="Q668" s="66" t="str">
        <f>IF(AND($B668&gt;='111'!$N$11,$B668&lt;='111'!$O$11,OR($N668=$Q$7,$O668=$Q$7)),"x","")</f>
        <v/>
      </c>
      <c r="R668" s="66" t="str">
        <f>IF(AND($N668=$Q$7,$B668&lt;'111'!$N$11),"x","")</f>
        <v/>
      </c>
      <c r="S668" s="66" t="str">
        <f>IF(AND($O668=$Q$7,$B668&lt;'111'!$N$11),"x","")</f>
        <v/>
      </c>
      <c r="T668" s="66" t="str">
        <f>IF(AND($B668&gt;='112'!$M$9,$B668&lt;='112'!$N$9,OR($N668='112'!$I$6,$O668='112'!$I$6)),"x","")</f>
        <v/>
      </c>
      <c r="U668" s="66" t="str">
        <f>IF(AND($N668='112'!$I$6,$B668&lt;'112'!$M$9),"x","")</f>
        <v/>
      </c>
      <c r="V668" s="66" t="str">
        <f>IF(AND($O668='112'!$I$6,$B668&lt;'112'!$M$9),"x","")</f>
        <v/>
      </c>
      <c r="W668" s="66" t="str">
        <f>IF(AND('131-CT'!$H$9=TH!H668,OR(N668="131",O668="131")),"x","")</f>
        <v/>
      </c>
      <c r="X668" s="66" t="str">
        <f>IF(AND($B668&gt;='1331'!$I$9,$B668&lt;='1331'!$J$9,OR($N668=$X$7,$O668=$X$7)),"x","")</f>
        <v/>
      </c>
      <c r="Y668" s="66" t="str">
        <f>IF(AND($N668=$X$7,$B668&lt;'1331'!$I$9),"x","")</f>
        <v/>
      </c>
      <c r="Z668" s="66" t="str">
        <f>IF(AND($O668=$X$7,$B668&lt;'1331'!$I$9),"x","")</f>
        <v/>
      </c>
      <c r="AA668" s="66" t="str">
        <f>IF(AND('341-CT'!$H$9=H668,OR(LEFT(N668,3)=$AA$7,LEFT(O668,3)=$AA$7)),"x","")</f>
        <v/>
      </c>
      <c r="AB668" s="66" t="str">
        <f>IF(OR(TH!N668=TH!$AB$7,O668=TH!$AB$7),"x","")</f>
        <v/>
      </c>
      <c r="AC668" s="66" t="str">
        <f t="shared" si="62"/>
        <v/>
      </c>
      <c r="AD668" s="66" t="str">
        <f>IF(AND(MONTH(E668)='IN-NX'!$J$5,'IN-NX'!$D$7=D668,OR(LEFT(TH!N668,2)="15",LEFT(TH!O668,2)="15")),"x","")</f>
        <v/>
      </c>
      <c r="AE668" s="66" t="str">
        <f>IF(AND(OR(LEFT(TH!N668,2)="15",LEFT(TH!O668,2)="15"),'152-CT'!$J$8=TH!F668),"x","")</f>
        <v/>
      </c>
      <c r="AF668" s="66" t="str">
        <f>IF(AND(OR(LEFT(TH!N668,2)="15",LEFT(TH!O668,2)="15"),'THE KHO'!$E$7=TH!F668),"x","")</f>
        <v/>
      </c>
      <c r="AG668" s="66" t="str">
        <f>IF(AND(N668="1521",MONTH(C668)='BK NL'!$M$11),"x","")</f>
        <v/>
      </c>
    </row>
    <row r="669" spans="1:33" ht="15.75" hidden="1" customHeight="1">
      <c r="A669" s="397" t="str">
        <f>IF(B669&lt;&gt;"",IF(AND(B669&gt;=_TM1,B669&lt;=_TM2,OR(TH!N669="1111",TH!O669="1111")),TH!D669,""),"")</f>
        <v/>
      </c>
      <c r="B669" s="63" t="str">
        <f t="shared" si="61"/>
        <v/>
      </c>
      <c r="C669" s="64"/>
      <c r="D669" s="64"/>
      <c r="E669" s="64"/>
      <c r="F669" s="67"/>
      <c r="G669" s="361"/>
      <c r="H669" s="74"/>
      <c r="I669" s="514"/>
      <c r="J669" s="514"/>
      <c r="K669" s="506"/>
      <c r="L669" s="514"/>
      <c r="M669" s="65"/>
      <c r="N669" s="66"/>
      <c r="O669" s="66"/>
      <c r="P669" s="66" t="str">
        <f>IF(AND('331-CT'!$E$7=TH!H669,OR(N669="331",O669="331")),"x","")</f>
        <v/>
      </c>
      <c r="Q669" s="66" t="str">
        <f>IF(AND($B669&gt;='111'!$N$11,$B669&lt;='111'!$O$11,OR($N669=$Q$7,$O669=$Q$7)),"x","")</f>
        <v/>
      </c>
      <c r="R669" s="66" t="str">
        <f>IF(AND($N669=$Q$7,$B669&lt;'111'!$N$11),"x","")</f>
        <v/>
      </c>
      <c r="S669" s="66" t="str">
        <f>IF(AND($O669=$Q$7,$B669&lt;'111'!$N$11),"x","")</f>
        <v/>
      </c>
      <c r="T669" s="66" t="str">
        <f>IF(AND($B669&gt;='112'!$M$9,$B669&lt;='112'!$N$9,OR($N669='112'!$I$6,$O669='112'!$I$6)),"x","")</f>
        <v/>
      </c>
      <c r="U669" s="66" t="str">
        <f>IF(AND($N669='112'!$I$6,$B669&lt;'112'!$M$9),"x","")</f>
        <v/>
      </c>
      <c r="V669" s="66" t="str">
        <f>IF(AND($O669='112'!$I$6,$B669&lt;'112'!$M$9),"x","")</f>
        <v/>
      </c>
      <c r="W669" s="66" t="str">
        <f>IF(AND('131-CT'!$H$9=TH!H669,OR(N669="131",O669="131")),"x","")</f>
        <v/>
      </c>
      <c r="X669" s="66" t="str">
        <f>IF(AND($B669&gt;='1331'!$I$9,$B669&lt;='1331'!$J$9,OR($N669=$X$7,$O669=$X$7)),"x","")</f>
        <v/>
      </c>
      <c r="Y669" s="66" t="str">
        <f>IF(AND($N669=$X$7,$B669&lt;'1331'!$I$9),"x","")</f>
        <v/>
      </c>
      <c r="Z669" s="66" t="str">
        <f>IF(AND($O669=$X$7,$B669&lt;'1331'!$I$9),"x","")</f>
        <v/>
      </c>
      <c r="AA669" s="66" t="str">
        <f>IF(AND('341-CT'!$H$9=H669,OR(LEFT(N669,3)=$AA$7,LEFT(O669,3)=$AA$7)),"x","")</f>
        <v/>
      </c>
      <c r="AB669" s="66" t="str">
        <f>IF(OR(TH!N669=TH!$AB$7,O669=TH!$AB$7),"x","")</f>
        <v/>
      </c>
      <c r="AC669" s="66" t="str">
        <f t="shared" si="62"/>
        <v/>
      </c>
      <c r="AD669" s="66" t="str">
        <f>IF(AND(MONTH(E669)='IN-NX'!$J$5,'IN-NX'!$D$7=D669,OR(LEFT(TH!N669,2)="15",LEFT(TH!O669,2)="15")),"x","")</f>
        <v/>
      </c>
      <c r="AE669" s="66" t="str">
        <f>IF(AND(OR(LEFT(TH!N669,2)="15",LEFT(TH!O669,2)="15"),'152-CT'!$J$8=TH!F669),"x","")</f>
        <v/>
      </c>
      <c r="AF669" s="66" t="str">
        <f>IF(AND(OR(LEFT(TH!N669,2)="15",LEFT(TH!O669,2)="15"),'THE KHO'!$E$7=TH!F669),"x","")</f>
        <v/>
      </c>
      <c r="AG669" s="66" t="str">
        <f>IF(AND(N669="1521",MONTH(C669)='BK NL'!$M$11),"x","")</f>
        <v/>
      </c>
    </row>
    <row r="670" spans="1:33" ht="15.75" hidden="1" customHeight="1">
      <c r="A670" s="397" t="str">
        <f>IF(B670&lt;&gt;"",IF(AND(B670&gt;=_TM1,B670&lt;=_TM2,OR(TH!N670="1111",TH!O670="1111")),TH!D670,""),"")</f>
        <v/>
      </c>
      <c r="B670" s="63" t="str">
        <f t="shared" si="61"/>
        <v/>
      </c>
      <c r="C670" s="64"/>
      <c r="D670" s="64"/>
      <c r="E670" s="64"/>
      <c r="F670" s="67"/>
      <c r="G670" s="361"/>
      <c r="H670" s="74"/>
      <c r="I670" s="514"/>
      <c r="J670" s="514"/>
      <c r="K670" s="506"/>
      <c r="L670" s="514"/>
      <c r="M670" s="65"/>
      <c r="N670" s="66"/>
      <c r="O670" s="66"/>
      <c r="P670" s="66" t="str">
        <f>IF(AND('331-CT'!$E$7=TH!H670,OR(N670="331",O670="331")),"x","")</f>
        <v/>
      </c>
      <c r="Q670" s="66" t="str">
        <f>IF(AND($B670&gt;='111'!$N$11,$B670&lt;='111'!$O$11,OR($N670=$Q$7,$O670=$Q$7)),"x","")</f>
        <v/>
      </c>
      <c r="R670" s="66" t="str">
        <f>IF(AND($N670=$Q$7,$B670&lt;'111'!$N$11),"x","")</f>
        <v/>
      </c>
      <c r="S670" s="66" t="str">
        <f>IF(AND($O670=$Q$7,$B670&lt;'111'!$N$11),"x","")</f>
        <v/>
      </c>
      <c r="T670" s="66" t="str">
        <f>IF(AND($B670&gt;='112'!$M$9,$B670&lt;='112'!$N$9,OR($N670='112'!$I$6,$O670='112'!$I$6)),"x","")</f>
        <v/>
      </c>
      <c r="U670" s="66" t="str">
        <f>IF(AND($N670='112'!$I$6,$B670&lt;'112'!$M$9),"x","")</f>
        <v/>
      </c>
      <c r="V670" s="66" t="str">
        <f>IF(AND($O670='112'!$I$6,$B670&lt;'112'!$M$9),"x","")</f>
        <v/>
      </c>
      <c r="W670" s="66" t="str">
        <f>IF(AND('131-CT'!$H$9=TH!H670,OR(N670="131",O670="131")),"x","")</f>
        <v/>
      </c>
      <c r="X670" s="66" t="str">
        <f>IF(AND($B670&gt;='1331'!$I$9,$B670&lt;='1331'!$J$9,OR($N670=$X$7,$O670=$X$7)),"x","")</f>
        <v/>
      </c>
      <c r="Y670" s="66" t="str">
        <f>IF(AND($N670=$X$7,$B670&lt;'1331'!$I$9),"x","")</f>
        <v/>
      </c>
      <c r="Z670" s="66" t="str">
        <f>IF(AND($O670=$X$7,$B670&lt;'1331'!$I$9),"x","")</f>
        <v/>
      </c>
      <c r="AA670" s="66" t="str">
        <f>IF(AND('341-CT'!$H$9=H670,OR(LEFT(N670,3)=$AA$7,LEFT(O670,3)=$AA$7)),"x","")</f>
        <v/>
      </c>
      <c r="AB670" s="66" t="str">
        <f>IF(OR(TH!N670=TH!$AB$7,O670=TH!$AB$7),"x","")</f>
        <v/>
      </c>
      <c r="AC670" s="66" t="str">
        <f t="shared" si="62"/>
        <v/>
      </c>
      <c r="AD670" s="66" t="str">
        <f>IF(AND(MONTH(E670)='IN-NX'!$J$5,'IN-NX'!$D$7=D670,OR(LEFT(TH!N670,2)="15",LEFT(TH!O670,2)="15")),"x","")</f>
        <v/>
      </c>
      <c r="AE670" s="66" t="str">
        <f>IF(AND(OR(LEFT(TH!N670,2)="15",LEFT(TH!O670,2)="15"),'152-CT'!$J$8=TH!F670),"x","")</f>
        <v/>
      </c>
      <c r="AF670" s="66" t="str">
        <f>IF(AND(OR(LEFT(TH!N670,2)="15",LEFT(TH!O670,2)="15"),'THE KHO'!$E$7=TH!F670),"x","")</f>
        <v/>
      </c>
      <c r="AG670" s="66" t="str">
        <f>IF(AND(N670="1521",MONTH(C670)='BK NL'!$M$11),"x","")</f>
        <v/>
      </c>
    </row>
    <row r="671" spans="1:33" ht="15.75" hidden="1" customHeight="1">
      <c r="A671" s="397" t="str">
        <f>IF(B671&lt;&gt;"",IF(AND(B671&gt;=_TM1,B671&lt;=_TM2,OR(TH!N671="1111",TH!O671="1111")),TH!D671,""),"")</f>
        <v/>
      </c>
      <c r="B671" s="63" t="str">
        <f t="shared" si="61"/>
        <v/>
      </c>
      <c r="C671" s="64"/>
      <c r="D671" s="64"/>
      <c r="E671" s="64"/>
      <c r="F671" s="67"/>
      <c r="G671" s="361"/>
      <c r="H671" s="74"/>
      <c r="I671" s="514"/>
      <c r="J671" s="514"/>
      <c r="K671" s="506"/>
      <c r="L671" s="514"/>
      <c r="M671" s="65"/>
      <c r="N671" s="66"/>
      <c r="O671" s="66"/>
      <c r="P671" s="66" t="str">
        <f>IF(AND('331-CT'!$E$7=TH!H671,OR(N671="331",O671="331")),"x","")</f>
        <v/>
      </c>
      <c r="Q671" s="66" t="str">
        <f>IF(AND($B671&gt;='111'!$N$11,$B671&lt;='111'!$O$11,OR($N671=$Q$7,$O671=$Q$7)),"x","")</f>
        <v/>
      </c>
      <c r="R671" s="66" t="str">
        <f>IF(AND($N671=$Q$7,$B671&lt;'111'!$N$11),"x","")</f>
        <v/>
      </c>
      <c r="S671" s="66" t="str">
        <f>IF(AND($O671=$Q$7,$B671&lt;'111'!$N$11),"x","")</f>
        <v/>
      </c>
      <c r="T671" s="66" t="str">
        <f>IF(AND($B671&gt;='112'!$M$9,$B671&lt;='112'!$N$9,OR($N671='112'!$I$6,$O671='112'!$I$6)),"x","")</f>
        <v/>
      </c>
      <c r="U671" s="66" t="str">
        <f>IF(AND($N671='112'!$I$6,$B671&lt;'112'!$M$9),"x","")</f>
        <v/>
      </c>
      <c r="V671" s="66" t="str">
        <f>IF(AND($O671='112'!$I$6,$B671&lt;'112'!$M$9),"x","")</f>
        <v/>
      </c>
      <c r="W671" s="66" t="str">
        <f>IF(AND('131-CT'!$H$9=TH!H671,OR(N671="131",O671="131")),"x","")</f>
        <v/>
      </c>
      <c r="X671" s="66" t="str">
        <f>IF(AND($B671&gt;='1331'!$I$9,$B671&lt;='1331'!$J$9,OR($N671=$X$7,$O671=$X$7)),"x","")</f>
        <v/>
      </c>
      <c r="Y671" s="66" t="str">
        <f>IF(AND($N671=$X$7,$B671&lt;'1331'!$I$9),"x","")</f>
        <v/>
      </c>
      <c r="Z671" s="66" t="str">
        <f>IF(AND($O671=$X$7,$B671&lt;'1331'!$I$9),"x","")</f>
        <v/>
      </c>
      <c r="AA671" s="66" t="str">
        <f>IF(AND('341-CT'!$H$9=H671,OR(LEFT(N671,3)=$AA$7,LEFT(O671,3)=$AA$7)),"x","")</f>
        <v/>
      </c>
      <c r="AB671" s="66" t="str">
        <f>IF(OR(TH!N671=TH!$AB$7,O671=TH!$AB$7),"x","")</f>
        <v/>
      </c>
      <c r="AC671" s="66" t="str">
        <f t="shared" si="62"/>
        <v/>
      </c>
      <c r="AD671" s="66" t="str">
        <f>IF(AND(MONTH(E671)='IN-NX'!$J$5,'IN-NX'!$D$7=D671,OR(LEFT(TH!N671,2)="15",LEFT(TH!O671,2)="15")),"x","")</f>
        <v/>
      </c>
      <c r="AE671" s="66" t="str">
        <f>IF(AND(OR(LEFT(TH!N671,2)="15",LEFT(TH!O671,2)="15"),'152-CT'!$J$8=TH!F671),"x","")</f>
        <v/>
      </c>
      <c r="AF671" s="66" t="str">
        <f>IF(AND(OR(LEFT(TH!N671,2)="15",LEFT(TH!O671,2)="15"),'THE KHO'!$E$7=TH!F671),"x","")</f>
        <v/>
      </c>
      <c r="AG671" s="66" t="str">
        <f>IF(AND(N671="1521",MONTH(C671)='BK NL'!$M$11),"x","")</f>
        <v/>
      </c>
    </row>
    <row r="672" spans="1:33" ht="15.75" hidden="1" customHeight="1">
      <c r="A672" s="397" t="str">
        <f>IF(B672&lt;&gt;"",IF(AND(B672&gt;=_TM1,B672&lt;=_TM2,OR(TH!N672="1111",TH!O672="1111")),TH!D672,""),"")</f>
        <v/>
      </c>
      <c r="B672" s="63" t="str">
        <f t="shared" si="61"/>
        <v/>
      </c>
      <c r="C672" s="64"/>
      <c r="D672" s="64"/>
      <c r="E672" s="64"/>
      <c r="F672" s="67"/>
      <c r="G672" s="361"/>
      <c r="H672" s="74"/>
      <c r="I672" s="514"/>
      <c r="J672" s="514"/>
      <c r="K672" s="506"/>
      <c r="L672" s="514"/>
      <c r="M672" s="65"/>
      <c r="N672" s="66"/>
      <c r="O672" s="66"/>
      <c r="P672" s="66" t="str">
        <f>IF(AND('331-CT'!$E$7=TH!H672,OR(N672="331",O672="331")),"x","")</f>
        <v/>
      </c>
      <c r="Q672" s="66" t="str">
        <f>IF(AND($B672&gt;='111'!$N$11,$B672&lt;='111'!$O$11,OR($N672=$Q$7,$O672=$Q$7)),"x","")</f>
        <v/>
      </c>
      <c r="R672" s="66" t="str">
        <f>IF(AND($N672=$Q$7,$B672&lt;'111'!$N$11),"x","")</f>
        <v/>
      </c>
      <c r="S672" s="66" t="str">
        <f>IF(AND($O672=$Q$7,$B672&lt;'111'!$N$11),"x","")</f>
        <v/>
      </c>
      <c r="T672" s="66" t="str">
        <f>IF(AND($B672&gt;='112'!$M$9,$B672&lt;='112'!$N$9,OR($N672='112'!$I$6,$O672='112'!$I$6)),"x","")</f>
        <v/>
      </c>
      <c r="U672" s="66" t="str">
        <f>IF(AND($N672='112'!$I$6,$B672&lt;'112'!$M$9),"x","")</f>
        <v/>
      </c>
      <c r="V672" s="66" t="str">
        <f>IF(AND($O672='112'!$I$6,$B672&lt;'112'!$M$9),"x","")</f>
        <v/>
      </c>
      <c r="W672" s="66" t="str">
        <f>IF(AND('131-CT'!$H$9=TH!H672,OR(N672="131",O672="131")),"x","")</f>
        <v/>
      </c>
      <c r="X672" s="66" t="str">
        <f>IF(AND($B672&gt;='1331'!$I$9,$B672&lt;='1331'!$J$9,OR($N672=$X$7,$O672=$X$7)),"x","")</f>
        <v/>
      </c>
      <c r="Y672" s="66" t="str">
        <f>IF(AND($N672=$X$7,$B672&lt;'1331'!$I$9),"x","")</f>
        <v/>
      </c>
      <c r="Z672" s="66" t="str">
        <f>IF(AND($O672=$X$7,$B672&lt;'1331'!$I$9),"x","")</f>
        <v/>
      </c>
      <c r="AA672" s="66" t="str">
        <f>IF(AND('341-CT'!$H$9=H672,OR(LEFT(N672,3)=$AA$7,LEFT(O672,3)=$AA$7)),"x","")</f>
        <v/>
      </c>
      <c r="AB672" s="66" t="str">
        <f>IF(OR(TH!N672=TH!$AB$7,O672=TH!$AB$7),"x","")</f>
        <v/>
      </c>
      <c r="AC672" s="66" t="str">
        <f t="shared" si="62"/>
        <v/>
      </c>
      <c r="AD672" s="66" t="str">
        <f>IF(AND(MONTH(E672)='IN-NX'!$J$5,'IN-NX'!$D$7=D672,OR(LEFT(TH!N672,2)="15",LEFT(TH!O672,2)="15")),"x","")</f>
        <v/>
      </c>
      <c r="AE672" s="66" t="str">
        <f>IF(AND(OR(LEFT(TH!N672,2)="15",LEFT(TH!O672,2)="15"),'152-CT'!$J$8=TH!F672),"x","")</f>
        <v/>
      </c>
      <c r="AF672" s="66" t="str">
        <f>IF(AND(OR(LEFT(TH!N672,2)="15",LEFT(TH!O672,2)="15"),'THE KHO'!$E$7=TH!F672),"x","")</f>
        <v/>
      </c>
      <c r="AG672" s="66" t="str">
        <f>IF(AND(N672="1521",MONTH(C672)='BK NL'!$M$11),"x","")</f>
        <v/>
      </c>
    </row>
    <row r="673" spans="1:33" ht="15.75" hidden="1" customHeight="1">
      <c r="A673" s="397" t="str">
        <f>IF(B673&lt;&gt;"",IF(AND(B673&gt;=_TM1,B673&lt;=_TM2,OR(TH!N673="1111",TH!O673="1111")),TH!D673,""),"")</f>
        <v/>
      </c>
      <c r="B673" s="63" t="str">
        <f t="shared" si="61"/>
        <v/>
      </c>
      <c r="C673" s="64"/>
      <c r="D673" s="64"/>
      <c r="E673" s="64"/>
      <c r="F673" s="67"/>
      <c r="G673" s="375"/>
      <c r="H673" s="364"/>
      <c r="I673" s="514"/>
      <c r="J673" s="514"/>
      <c r="K673" s="506"/>
      <c r="L673" s="514"/>
      <c r="M673" s="65"/>
      <c r="N673" s="66"/>
      <c r="O673" s="66"/>
      <c r="P673" s="66" t="str">
        <f>IF(AND('331-CT'!$E$7=TH!H673,OR(N673="331",O673="331")),"x","")</f>
        <v/>
      </c>
      <c r="Q673" s="66" t="str">
        <f>IF(AND($B673&gt;='111'!$N$11,$B673&lt;='111'!$O$11,OR($N673=$Q$7,$O673=$Q$7)),"x","")</f>
        <v/>
      </c>
      <c r="R673" s="66" t="str">
        <f>IF(AND($N673=$Q$7,$B673&lt;'111'!$N$11),"x","")</f>
        <v/>
      </c>
      <c r="S673" s="66" t="str">
        <f>IF(AND($O673=$Q$7,$B673&lt;'111'!$N$11),"x","")</f>
        <v/>
      </c>
      <c r="T673" s="66" t="str">
        <f>IF(AND($B673&gt;='112'!$M$9,$B673&lt;='112'!$N$9,OR($N673='112'!$I$6,$O673='112'!$I$6)),"x","")</f>
        <v/>
      </c>
      <c r="U673" s="66" t="str">
        <f>IF(AND($N673='112'!$I$6,$B673&lt;'112'!$M$9),"x","")</f>
        <v/>
      </c>
      <c r="V673" s="66" t="str">
        <f>IF(AND($O673='112'!$I$6,$B673&lt;'112'!$M$9),"x","")</f>
        <v/>
      </c>
      <c r="W673" s="66" t="str">
        <f>IF(AND('131-CT'!$H$9=TH!H673,OR(N673="131",O673="131")),"x","")</f>
        <v/>
      </c>
      <c r="X673" s="66" t="str">
        <f>IF(AND($B673&gt;='1331'!$I$9,$B673&lt;='1331'!$J$9,OR($N673=$X$7,$O673=$X$7)),"x","")</f>
        <v/>
      </c>
      <c r="Y673" s="66" t="str">
        <f>IF(AND($N673=$X$7,$B673&lt;'1331'!$I$9),"x","")</f>
        <v/>
      </c>
      <c r="Z673" s="66" t="str">
        <f>IF(AND($O673=$X$7,$B673&lt;'1331'!$I$9),"x","")</f>
        <v/>
      </c>
      <c r="AA673" s="66" t="str">
        <f>IF(AND('341-CT'!$H$9=H673,OR(LEFT(N673,3)=$AA$7,LEFT(O673,3)=$AA$7)),"x","")</f>
        <v/>
      </c>
      <c r="AB673" s="66" t="str">
        <f>IF(OR(TH!N673=TH!$AB$7,O673=TH!$AB$7),"x","")</f>
        <v/>
      </c>
      <c r="AC673" s="66" t="str">
        <f t="shared" si="62"/>
        <v/>
      </c>
      <c r="AD673" s="66" t="str">
        <f>IF(AND(MONTH(E673)='IN-NX'!$J$5,'IN-NX'!$D$7=D673,OR(LEFT(TH!N673,2)="15",LEFT(TH!O673,2)="15")),"x","")</f>
        <v/>
      </c>
      <c r="AE673" s="66" t="str">
        <f>IF(AND(OR(LEFT(TH!N673,2)="15",LEFT(TH!O673,2)="15"),'152-CT'!$J$8=TH!F673),"x","")</f>
        <v/>
      </c>
      <c r="AF673" s="66" t="str">
        <f>IF(AND(OR(LEFT(TH!N673,2)="15",LEFT(TH!O673,2)="15"),'THE KHO'!$E$7=TH!F673),"x","")</f>
        <v/>
      </c>
      <c r="AG673" s="66" t="str">
        <f>IF(AND(N673="1521",MONTH(C673)='BK NL'!$M$11),"x","")</f>
        <v/>
      </c>
    </row>
    <row r="674" spans="1:33" ht="15.75" hidden="1" customHeight="1">
      <c r="A674" s="397" t="str">
        <f>IF(B674&lt;&gt;"",IF(AND(B674&gt;=_TM1,B674&lt;=_TM2,OR(TH!N674="1111",TH!O674="1111")),TH!D674,""),"")</f>
        <v/>
      </c>
      <c r="B674" s="63" t="str">
        <f t="shared" si="61"/>
        <v/>
      </c>
      <c r="C674" s="64"/>
      <c r="D674" s="64"/>
      <c r="E674" s="64"/>
      <c r="F674" s="67"/>
      <c r="G674" s="375"/>
      <c r="H674" s="364"/>
      <c r="I674" s="514"/>
      <c r="J674" s="514"/>
      <c r="K674" s="506"/>
      <c r="L674" s="514"/>
      <c r="M674" s="65"/>
      <c r="N674" s="66"/>
      <c r="O674" s="66"/>
      <c r="P674" s="66" t="str">
        <f>IF(AND('331-CT'!$E$7=TH!H674,OR(N674="331",O674="331")),"x","")</f>
        <v/>
      </c>
      <c r="Q674" s="66" t="str">
        <f>IF(AND($B674&gt;='111'!$N$11,$B674&lt;='111'!$O$11,OR($N674=$Q$7,$O674=$Q$7)),"x","")</f>
        <v/>
      </c>
      <c r="R674" s="66" t="str">
        <f>IF(AND($N674=$Q$7,$B674&lt;'111'!$N$11),"x","")</f>
        <v/>
      </c>
      <c r="S674" s="66" t="str">
        <f>IF(AND($O674=$Q$7,$B674&lt;'111'!$N$11),"x","")</f>
        <v/>
      </c>
      <c r="T674" s="66" t="str">
        <f>IF(AND($B674&gt;='112'!$M$9,$B674&lt;='112'!$N$9,OR($N674='112'!$I$6,$O674='112'!$I$6)),"x","")</f>
        <v/>
      </c>
      <c r="U674" s="66" t="str">
        <f>IF(AND($N674='112'!$I$6,$B674&lt;'112'!$M$9),"x","")</f>
        <v/>
      </c>
      <c r="V674" s="66" t="str">
        <f>IF(AND($O674='112'!$I$6,$B674&lt;'112'!$M$9),"x","")</f>
        <v/>
      </c>
      <c r="W674" s="66" t="str">
        <f>IF(AND('131-CT'!$H$9=TH!H674,OR(N674="131",O674="131")),"x","")</f>
        <v/>
      </c>
      <c r="X674" s="66" t="str">
        <f>IF(AND($B674&gt;='1331'!$I$9,$B674&lt;='1331'!$J$9,OR($N674=$X$7,$O674=$X$7)),"x","")</f>
        <v/>
      </c>
      <c r="Y674" s="66" t="str">
        <f>IF(AND($N674=$X$7,$B674&lt;'1331'!$I$9),"x","")</f>
        <v/>
      </c>
      <c r="Z674" s="66" t="str">
        <f>IF(AND($O674=$X$7,$B674&lt;'1331'!$I$9),"x","")</f>
        <v/>
      </c>
      <c r="AA674" s="66" t="str">
        <f>IF(AND('341-CT'!$H$9=H674,OR(LEFT(N674,3)=$AA$7,LEFT(O674,3)=$AA$7)),"x","")</f>
        <v/>
      </c>
      <c r="AB674" s="66" t="str">
        <f>IF(OR(TH!N674=TH!$AB$7,O674=TH!$AB$7),"x","")</f>
        <v/>
      </c>
      <c r="AC674" s="66" t="str">
        <f t="shared" si="62"/>
        <v/>
      </c>
      <c r="AD674" s="66" t="str">
        <f>IF(AND(MONTH(E674)='IN-NX'!$J$5,'IN-NX'!$D$7=D674,OR(LEFT(TH!N674,2)="15",LEFT(TH!O674,2)="15")),"x","")</f>
        <v/>
      </c>
      <c r="AE674" s="66" t="str">
        <f>IF(AND(OR(LEFT(TH!N674,2)="15",LEFT(TH!O674,2)="15"),'152-CT'!$J$8=TH!F674),"x","")</f>
        <v/>
      </c>
      <c r="AF674" s="66" t="str">
        <f>IF(AND(OR(LEFT(TH!N674,2)="15",LEFT(TH!O674,2)="15"),'THE KHO'!$E$7=TH!F674),"x","")</f>
        <v/>
      </c>
      <c r="AG674" s="66" t="str">
        <f>IF(AND(N674="1521",MONTH(C674)='BK NL'!$M$11),"x","")</f>
        <v/>
      </c>
    </row>
    <row r="675" spans="1:33" ht="15.75" hidden="1" customHeight="1">
      <c r="A675" s="397" t="str">
        <f>IF(B675&lt;&gt;"",IF(AND(B675&gt;=_TM1,B675&lt;=_TM2,OR(TH!N675="1111",TH!O675="1111")),TH!D675,""),"")</f>
        <v/>
      </c>
      <c r="B675" s="63" t="str">
        <f t="shared" si="61"/>
        <v/>
      </c>
      <c r="C675" s="64"/>
      <c r="D675" s="64"/>
      <c r="E675" s="64"/>
      <c r="F675" s="67"/>
      <c r="G675" s="375"/>
      <c r="H675" s="74"/>
      <c r="I675" s="514"/>
      <c r="J675" s="514"/>
      <c r="K675" s="506"/>
      <c r="L675" s="514"/>
      <c r="M675" s="65"/>
      <c r="N675" s="385"/>
      <c r="O675" s="66"/>
      <c r="P675" s="66" t="str">
        <f>IF(AND('331-CT'!$E$7=TH!H675,OR(N675="331",O675="331")),"x","")</f>
        <v/>
      </c>
      <c r="Q675" s="66" t="str">
        <f>IF(AND($B675&gt;='111'!$N$11,$B675&lt;='111'!$O$11,OR($N675=$Q$7,$O675=$Q$7)),"x","")</f>
        <v/>
      </c>
      <c r="R675" s="66" t="str">
        <f>IF(AND($N675=$Q$7,$B675&lt;'111'!$N$11),"x","")</f>
        <v/>
      </c>
      <c r="S675" s="66" t="str">
        <f>IF(AND($O675=$Q$7,$B675&lt;'111'!$N$11),"x","")</f>
        <v/>
      </c>
      <c r="T675" s="66" t="str">
        <f>IF(AND($B675&gt;='112'!$M$9,$B675&lt;='112'!$N$9,OR($N675='112'!$I$6,$O675='112'!$I$6)),"x","")</f>
        <v/>
      </c>
      <c r="U675" s="66" t="str">
        <f>IF(AND($N675='112'!$I$6,$B675&lt;'112'!$M$9),"x","")</f>
        <v/>
      </c>
      <c r="V675" s="66" t="str">
        <f>IF(AND($O675='112'!$I$6,$B675&lt;'112'!$M$9),"x","")</f>
        <v/>
      </c>
      <c r="W675" s="66" t="str">
        <f>IF(AND('131-CT'!$H$9=TH!H675,OR(N675="131",O675="131")),"x","")</f>
        <v/>
      </c>
      <c r="X675" s="66" t="str">
        <f>IF(AND($B675&gt;='1331'!$I$9,$B675&lt;='1331'!$J$9,OR($N675=$X$7,$O675=$X$7)),"x","")</f>
        <v/>
      </c>
      <c r="Y675" s="66" t="str">
        <f>IF(AND($N675=$X$7,$B675&lt;'1331'!$I$9),"x","")</f>
        <v/>
      </c>
      <c r="Z675" s="66" t="str">
        <f>IF(AND($O675=$X$7,$B675&lt;'1331'!$I$9),"x","")</f>
        <v/>
      </c>
      <c r="AA675" s="66" t="str">
        <f>IF(AND('341-CT'!$H$9=H675,OR(LEFT(N675,3)=$AA$7,LEFT(O675,3)=$AA$7)),"x","")</f>
        <v/>
      </c>
      <c r="AB675" s="66" t="str">
        <f>IF(OR(TH!N675=TH!$AB$7,O675=TH!$AB$7),"x","")</f>
        <v/>
      </c>
      <c r="AC675" s="66" t="str">
        <f t="shared" si="62"/>
        <v/>
      </c>
      <c r="AD675" s="66" t="str">
        <f>IF(AND(MONTH(E675)='IN-NX'!$J$5,'IN-NX'!$D$7=D675,OR(LEFT(TH!N675,2)="15",LEFT(TH!O675,2)="15")),"x","")</f>
        <v/>
      </c>
      <c r="AE675" s="66" t="str">
        <f>IF(AND(OR(LEFT(TH!N675,2)="15",LEFT(TH!O675,2)="15"),'152-CT'!$J$8=TH!F675),"x","")</f>
        <v/>
      </c>
      <c r="AF675" s="66" t="str">
        <f>IF(AND(OR(LEFT(TH!N675,2)="15",LEFT(TH!O675,2)="15"),'THE KHO'!$E$7=TH!F675),"x","")</f>
        <v/>
      </c>
      <c r="AG675" s="66" t="str">
        <f>IF(AND(N675="1521",MONTH(C675)='BK NL'!$M$11),"x","")</f>
        <v/>
      </c>
    </row>
    <row r="676" spans="1:33" ht="17.25" hidden="1" customHeight="1">
      <c r="A676" s="397" t="str">
        <f>IF(B676&lt;&gt;"",IF(AND(B676&gt;=_TM1,B676&lt;=_TM2,OR(TH!N676="1111",TH!O676="1111")),TH!D676,""),"")</f>
        <v/>
      </c>
      <c r="B676" s="63" t="str">
        <f t="shared" si="61"/>
        <v/>
      </c>
      <c r="C676" s="64"/>
      <c r="D676" s="64"/>
      <c r="E676" s="64"/>
      <c r="F676" s="67"/>
      <c r="G676" s="375"/>
      <c r="H676" s="74"/>
      <c r="I676" s="514"/>
      <c r="J676" s="514"/>
      <c r="K676" s="506"/>
      <c r="L676" s="514"/>
      <c r="M676" s="65"/>
      <c r="N676" s="385"/>
      <c r="O676" s="66"/>
      <c r="P676" s="66" t="str">
        <f>IF(AND('331-CT'!$E$7=TH!H676,OR(N676="331",O676="331")),"x","")</f>
        <v/>
      </c>
      <c r="Q676" s="66" t="str">
        <f>IF(AND($B676&gt;='111'!$N$11,$B676&lt;='111'!$O$11,OR($N676=$Q$7,$O676=$Q$7)),"x","")</f>
        <v/>
      </c>
      <c r="R676" s="66" t="str">
        <f>IF(AND($N676=$Q$7,$B676&lt;'111'!$N$11),"x","")</f>
        <v/>
      </c>
      <c r="S676" s="66" t="str">
        <f>IF(AND($O676=$Q$7,$B676&lt;'111'!$N$11),"x","")</f>
        <v/>
      </c>
      <c r="T676" s="66" t="str">
        <f>IF(AND($B676&gt;='112'!$M$9,$B676&lt;='112'!$N$9,OR($N676='112'!$I$6,$O676='112'!$I$6)),"x","")</f>
        <v/>
      </c>
      <c r="U676" s="66" t="str">
        <f>IF(AND($N676='112'!$I$6,$B676&lt;'112'!$M$9),"x","")</f>
        <v/>
      </c>
      <c r="V676" s="66" t="str">
        <f>IF(AND($O676='112'!$I$6,$B676&lt;'112'!$M$9),"x","")</f>
        <v/>
      </c>
      <c r="W676" s="66" t="str">
        <f>IF(AND('131-CT'!$H$9=TH!H676,OR(N676="131",O676="131")),"x","")</f>
        <v/>
      </c>
      <c r="X676" s="66" t="str">
        <f>IF(AND($B676&gt;='1331'!$I$9,$B676&lt;='1331'!$J$9,OR($N676=$X$7,$O676=$X$7)),"x","")</f>
        <v/>
      </c>
      <c r="Y676" s="66" t="str">
        <f>IF(AND($N676=$X$7,$B676&lt;'1331'!$I$9),"x","")</f>
        <v/>
      </c>
      <c r="Z676" s="66" t="str">
        <f>IF(AND($O676=$X$7,$B676&lt;'1331'!$I$9),"x","")</f>
        <v/>
      </c>
      <c r="AA676" s="66" t="str">
        <f>IF(AND('341-CT'!$H$9=H676,OR(LEFT(N676,3)=$AA$7,LEFT(O676,3)=$AA$7)),"x","")</f>
        <v/>
      </c>
      <c r="AB676" s="66" t="str">
        <f>IF(OR(TH!N676=TH!$AB$7,O676=TH!$AB$7),"x","")</f>
        <v/>
      </c>
      <c r="AC676" s="66" t="str">
        <f t="shared" si="62"/>
        <v/>
      </c>
      <c r="AD676" s="66" t="str">
        <f>IF(AND(MONTH(E676)='IN-NX'!$J$5,'IN-NX'!$D$7=D676,OR(LEFT(TH!N676,2)="15",LEFT(TH!O676,2)="15")),"x","")</f>
        <v/>
      </c>
      <c r="AE676" s="66" t="str">
        <f>IF(AND(OR(LEFT(TH!N676,2)="15",LEFT(TH!O676,2)="15"),'152-CT'!$J$8=TH!F676),"x","")</f>
        <v/>
      </c>
      <c r="AF676" s="66" t="str">
        <f>IF(AND(OR(LEFT(TH!N676,2)="15",LEFT(TH!O676,2)="15"),'THE KHO'!$E$7=TH!F676),"x","")</f>
        <v/>
      </c>
      <c r="AG676" s="66" t="str">
        <f>IF(AND(N676="1521",MONTH(C676)='BK NL'!$M$11),"x","")</f>
        <v/>
      </c>
    </row>
    <row r="677" spans="1:33" ht="17.25" hidden="1" customHeight="1">
      <c r="A677" s="397" t="str">
        <f>IF(B677&lt;&gt;"",IF(AND(B677&gt;=_TM1,B677&lt;=_TM2,OR(TH!N677="1111",TH!O677="1111")),TH!D677,""),"")</f>
        <v/>
      </c>
      <c r="B677" s="63" t="str">
        <f t="shared" si="61"/>
        <v/>
      </c>
      <c r="C677" s="64"/>
      <c r="D677" s="64"/>
      <c r="E677" s="64"/>
      <c r="F677" s="67"/>
      <c r="G677" s="375"/>
      <c r="H677" s="74"/>
      <c r="I677" s="514"/>
      <c r="J677" s="514"/>
      <c r="K677" s="506"/>
      <c r="L677" s="514"/>
      <c r="M677" s="65"/>
      <c r="N677" s="66"/>
      <c r="O677" s="66"/>
      <c r="P677" s="66" t="str">
        <f>IF(AND('331-CT'!$E$7=TH!H677,OR(N677="331",O677="331")),"x","")</f>
        <v/>
      </c>
      <c r="Q677" s="66" t="str">
        <f>IF(AND($B677&gt;='111'!$N$11,$B677&lt;='111'!$O$11,OR($N677=$Q$7,$O677=$Q$7)),"x","")</f>
        <v/>
      </c>
      <c r="R677" s="66" t="str">
        <f>IF(AND($N677=$Q$7,$B677&lt;'111'!$N$11),"x","")</f>
        <v/>
      </c>
      <c r="S677" s="66" t="str">
        <f>IF(AND($O677=$Q$7,$B677&lt;'111'!$N$11),"x","")</f>
        <v/>
      </c>
      <c r="T677" s="66" t="str">
        <f>IF(AND($B677&gt;='112'!$M$9,$B677&lt;='112'!$N$9,OR($N677='112'!$I$6,$O677='112'!$I$6)),"x","")</f>
        <v/>
      </c>
      <c r="U677" s="66" t="str">
        <f>IF(AND($N677='112'!$I$6,$B677&lt;'112'!$M$9),"x","")</f>
        <v/>
      </c>
      <c r="V677" s="66" t="str">
        <f>IF(AND($O677='112'!$I$6,$B677&lt;'112'!$M$9),"x","")</f>
        <v/>
      </c>
      <c r="W677" s="66" t="str">
        <f>IF(AND('131-CT'!$H$9=TH!H677,OR(N677="131",O677="131")),"x","")</f>
        <v/>
      </c>
      <c r="X677" s="66" t="str">
        <f>IF(AND($B677&gt;='1331'!$I$9,$B677&lt;='1331'!$J$9,OR($N677=$X$7,$O677=$X$7)),"x","")</f>
        <v/>
      </c>
      <c r="Y677" s="66" t="str">
        <f>IF(AND($N677=$X$7,$B677&lt;'1331'!$I$9),"x","")</f>
        <v/>
      </c>
      <c r="Z677" s="66" t="str">
        <f>IF(AND($O677=$X$7,$B677&lt;'1331'!$I$9),"x","")</f>
        <v/>
      </c>
      <c r="AA677" s="66" t="str">
        <f>IF(AND('341-CT'!$H$9=H677,OR(LEFT(N677,3)=$AA$7,LEFT(O677,3)=$AA$7)),"x","")</f>
        <v/>
      </c>
      <c r="AB677" s="66" t="str">
        <f>IF(OR(TH!N677=TH!$AB$7,O677=TH!$AB$7),"x","")</f>
        <v/>
      </c>
      <c r="AC677" s="66" t="str">
        <f t="shared" si="62"/>
        <v/>
      </c>
      <c r="AD677" s="66" t="str">
        <f>IF(AND(MONTH(E677)='IN-NX'!$J$5,'IN-NX'!$D$7=D677,OR(LEFT(TH!N677,2)="15",LEFT(TH!O677,2)="15")),"x","")</f>
        <v/>
      </c>
      <c r="AE677" s="66" t="str">
        <f>IF(AND(OR(LEFT(TH!N677,2)="15",LEFT(TH!O677,2)="15"),'152-CT'!$J$8=TH!F677),"x","")</f>
        <v/>
      </c>
      <c r="AF677" s="66" t="str">
        <f>IF(AND(OR(LEFT(TH!N677,2)="15",LEFT(TH!O677,2)="15"),'THE KHO'!$E$7=TH!F677),"x","")</f>
        <v/>
      </c>
      <c r="AG677" s="66" t="str">
        <f>IF(AND(N677="1521",MONTH(C677)='BK NL'!$M$11),"x","")</f>
        <v/>
      </c>
    </row>
    <row r="678" spans="1:33" ht="17.25" hidden="1" customHeight="1">
      <c r="A678" s="397" t="str">
        <f>IF(B678&lt;&gt;"",IF(AND(B678&gt;=_TM1,B678&lt;=_TM2,OR(TH!N678="1111",TH!O678="1111")),TH!D678,""),"")</f>
        <v/>
      </c>
      <c r="B678" s="63" t="str">
        <f t="shared" si="61"/>
        <v/>
      </c>
      <c r="C678" s="64"/>
      <c r="D678" s="64"/>
      <c r="E678" s="64"/>
      <c r="F678" s="67"/>
      <c r="G678" s="375"/>
      <c r="H678" s="74"/>
      <c r="I678" s="514"/>
      <c r="J678" s="514"/>
      <c r="K678" s="506"/>
      <c r="L678" s="514"/>
      <c r="M678" s="65"/>
      <c r="N678" s="66"/>
      <c r="O678" s="66"/>
      <c r="P678" s="66" t="str">
        <f>IF(AND('331-CT'!$E$7=TH!H678,OR(N678="331",O678="331")),"x","")</f>
        <v/>
      </c>
      <c r="Q678" s="66" t="str">
        <f>IF(AND($B678&gt;='111'!$N$11,$B678&lt;='111'!$O$11,OR($N678=$Q$7,$O678=$Q$7)),"x","")</f>
        <v/>
      </c>
      <c r="R678" s="66" t="str">
        <f>IF(AND($N678=$Q$7,$B678&lt;'111'!$N$11),"x","")</f>
        <v/>
      </c>
      <c r="S678" s="66" t="str">
        <f>IF(AND($O678=$Q$7,$B678&lt;'111'!$N$11),"x","")</f>
        <v/>
      </c>
      <c r="T678" s="66" t="str">
        <f>IF(AND($B678&gt;='112'!$M$9,$B678&lt;='112'!$N$9,OR($N678='112'!$I$6,$O678='112'!$I$6)),"x","")</f>
        <v/>
      </c>
      <c r="U678" s="66" t="str">
        <f>IF(AND($N678='112'!$I$6,$B678&lt;'112'!$M$9),"x","")</f>
        <v/>
      </c>
      <c r="V678" s="66" t="str">
        <f>IF(AND($O678='112'!$I$6,$B678&lt;'112'!$M$9),"x","")</f>
        <v/>
      </c>
      <c r="W678" s="66" t="str">
        <f>IF(AND('131-CT'!$H$9=TH!H678,OR(N678="131",O678="131")),"x","")</f>
        <v/>
      </c>
      <c r="X678" s="66" t="str">
        <f>IF(AND($B678&gt;='1331'!$I$9,$B678&lt;='1331'!$J$9,OR($N678=$X$7,$O678=$X$7)),"x","")</f>
        <v/>
      </c>
      <c r="Y678" s="66" t="str">
        <f>IF(AND($N678=$X$7,$B678&lt;'1331'!$I$9),"x","")</f>
        <v/>
      </c>
      <c r="Z678" s="66" t="str">
        <f>IF(AND($O678=$X$7,$B678&lt;'1331'!$I$9),"x","")</f>
        <v/>
      </c>
      <c r="AA678" s="66" t="str">
        <f>IF(AND('341-CT'!$H$9=H678,OR(LEFT(N678,3)=$AA$7,LEFT(O678,3)=$AA$7)),"x","")</f>
        <v/>
      </c>
      <c r="AB678" s="66" t="str">
        <f>IF(OR(TH!N678=TH!$AB$7,O678=TH!$AB$7),"x","")</f>
        <v/>
      </c>
      <c r="AC678" s="66" t="str">
        <f t="shared" si="62"/>
        <v/>
      </c>
      <c r="AD678" s="66" t="str">
        <f>IF(AND(MONTH(E678)='IN-NX'!$J$5,'IN-NX'!$D$7=D678,OR(LEFT(TH!N678,2)="15",LEFT(TH!O678,2)="15")),"x","")</f>
        <v/>
      </c>
      <c r="AE678" s="66" t="str">
        <f>IF(AND(OR(LEFT(TH!N678,2)="15",LEFT(TH!O678,2)="15"),'152-CT'!$J$8=TH!F678),"x","")</f>
        <v/>
      </c>
      <c r="AF678" s="66" t="str">
        <f>IF(AND(OR(LEFT(TH!N678,2)="15",LEFT(TH!O678,2)="15"),'THE KHO'!$E$7=TH!F678),"x","")</f>
        <v/>
      </c>
      <c r="AG678" s="66" t="str">
        <f>IF(AND(N678="1521",MONTH(C678)='BK NL'!$M$11),"x","")</f>
        <v/>
      </c>
    </row>
    <row r="679" spans="1:33" s="410" customFormat="1" ht="17.25" hidden="1" customHeight="1">
      <c r="A679" s="397" t="str">
        <f>IF(B679&lt;&gt;"",IF(AND(B679&gt;=_TM1,B679&lt;=_TM2,OR(TH!N679="1111",TH!O679="1111")),TH!D679,""),"")</f>
        <v/>
      </c>
      <c r="B679" s="63" t="str">
        <f t="shared" si="61"/>
        <v/>
      </c>
      <c r="C679" s="64"/>
      <c r="D679" s="64"/>
      <c r="E679" s="64"/>
      <c r="F679" s="67"/>
      <c r="G679" s="375"/>
      <c r="H679" s="74"/>
      <c r="I679" s="514"/>
      <c r="J679" s="514"/>
      <c r="K679" s="506"/>
      <c r="L679" s="514"/>
      <c r="M679" s="65"/>
      <c r="N679" s="66"/>
      <c r="O679" s="66"/>
      <c r="P679" s="66" t="str">
        <f>IF(AND('331-CT'!$E$7=TH!H679,OR(N679="331",O679="331")),"x","")</f>
        <v/>
      </c>
      <c r="Q679" s="66" t="str">
        <f>IF(AND($B679&gt;='111'!$N$11,$B679&lt;='111'!$O$11,OR($N679=$Q$7,$O679=$Q$7)),"x","")</f>
        <v/>
      </c>
      <c r="R679" s="66" t="str">
        <f>IF(AND($N679=$Q$7,$B679&lt;'111'!$N$11),"x","")</f>
        <v/>
      </c>
      <c r="S679" s="66" t="str">
        <f>IF(AND($O679=$Q$7,$B679&lt;'111'!$N$11),"x","")</f>
        <v/>
      </c>
      <c r="T679" s="66" t="str">
        <f>IF(AND($B679&gt;='112'!$M$9,$B679&lt;='112'!$N$9,OR($N679='112'!$I$6,$O679='112'!$I$6)),"x","")</f>
        <v/>
      </c>
      <c r="U679" s="66" t="str">
        <f>IF(AND($N679='112'!$I$6,$B679&lt;'112'!$M$9),"x","")</f>
        <v/>
      </c>
      <c r="V679" s="66" t="str">
        <f>IF(AND($O679='112'!$I$6,$B679&lt;'112'!$M$9),"x","")</f>
        <v/>
      </c>
      <c r="W679" s="66" t="str">
        <f>IF(AND('131-CT'!$H$9=TH!H679,OR(N679="131",O679="131")),"x","")</f>
        <v/>
      </c>
      <c r="X679" s="66" t="str">
        <f>IF(AND($B679&gt;='1331'!$I$9,$B679&lt;='1331'!$J$9,OR($N679=$X$7,$O679=$X$7)),"x","")</f>
        <v/>
      </c>
      <c r="Y679" s="66" t="str">
        <f>IF(AND($N679=$X$7,$B679&lt;'1331'!$I$9),"x","")</f>
        <v/>
      </c>
      <c r="Z679" s="66" t="str">
        <f>IF(AND($O679=$X$7,$B679&lt;'1331'!$I$9),"x","")</f>
        <v/>
      </c>
      <c r="AA679" s="66" t="str">
        <f>IF(AND('341-CT'!$H$9=H679,OR(LEFT(N679,3)=$AA$7,LEFT(O679,3)=$AA$7)),"x","")</f>
        <v/>
      </c>
      <c r="AB679" s="66" t="str">
        <f>IF(OR(TH!N679=TH!$AB$7,O679=TH!$AB$7),"x","")</f>
        <v/>
      </c>
      <c r="AC679" s="66" t="str">
        <f t="shared" si="62"/>
        <v/>
      </c>
      <c r="AD679" s="66" t="str">
        <f>IF(AND(MONTH(E679)='IN-NX'!$J$5,'IN-NX'!$D$7=D679,OR(LEFT(TH!N679,2)="15",LEFT(TH!O679,2)="15")),"x","")</f>
        <v/>
      </c>
      <c r="AE679" s="66" t="str">
        <f>IF(AND(OR(LEFT(TH!N679,2)="15",LEFT(TH!O679,2)="15"),'152-CT'!$J$8=TH!F679),"x","")</f>
        <v/>
      </c>
      <c r="AF679" s="66" t="str">
        <f>IF(AND(OR(LEFT(TH!N679,2)="15",LEFT(TH!O679,2)="15"),'THE KHO'!$E$7=TH!F679),"x","")</f>
        <v/>
      </c>
      <c r="AG679" s="66" t="str">
        <f>IF(AND(N679="1521",MONTH(C679)='BK NL'!$M$11),"x","")</f>
        <v/>
      </c>
    </row>
    <row r="680" spans="1:33" s="410" customFormat="1" ht="17.25" hidden="1" customHeight="1">
      <c r="A680" s="397" t="str">
        <f>IF(B680&lt;&gt;"",IF(AND(B680&gt;=_TM1,B680&lt;=_TM2,OR(TH!N680="1111",TH!O680="1111")),TH!D680,""),"")</f>
        <v/>
      </c>
      <c r="B680" s="63" t="str">
        <f t="shared" si="61"/>
        <v/>
      </c>
      <c r="C680" s="64"/>
      <c r="D680" s="64"/>
      <c r="E680" s="64"/>
      <c r="F680" s="67"/>
      <c r="G680" s="375"/>
      <c r="H680" s="74"/>
      <c r="I680" s="514"/>
      <c r="J680" s="514"/>
      <c r="K680" s="506"/>
      <c r="L680" s="514"/>
      <c r="M680" s="65"/>
      <c r="N680" s="66"/>
      <c r="O680" s="66"/>
      <c r="P680" s="66" t="str">
        <f>IF(AND('331-CT'!$E$7=TH!H680,OR(N680="331",O680="331")),"x","")</f>
        <v/>
      </c>
      <c r="Q680" s="66" t="str">
        <f>IF(AND($B680&gt;='111'!$N$11,$B680&lt;='111'!$O$11,OR($N680=$Q$7,$O680=$Q$7)),"x","")</f>
        <v/>
      </c>
      <c r="R680" s="66" t="str">
        <f>IF(AND($N680=$Q$7,$B680&lt;'111'!$N$11),"x","")</f>
        <v/>
      </c>
      <c r="S680" s="66" t="str">
        <f>IF(AND($O680=$Q$7,$B680&lt;'111'!$N$11),"x","")</f>
        <v/>
      </c>
      <c r="T680" s="66" t="str">
        <f>IF(AND($B680&gt;='112'!$M$9,$B680&lt;='112'!$N$9,OR($N680='112'!$I$6,$O680='112'!$I$6)),"x","")</f>
        <v/>
      </c>
      <c r="U680" s="66" t="str">
        <f>IF(AND($N680='112'!$I$6,$B680&lt;'112'!$M$9),"x","")</f>
        <v/>
      </c>
      <c r="V680" s="66" t="str">
        <f>IF(AND($O680='112'!$I$6,$B680&lt;'112'!$M$9),"x","")</f>
        <v/>
      </c>
      <c r="W680" s="66" t="str">
        <f>IF(AND('131-CT'!$H$9=TH!H680,OR(N680="131",O680="131")),"x","")</f>
        <v/>
      </c>
      <c r="X680" s="66" t="str">
        <f>IF(AND($B680&gt;='1331'!$I$9,$B680&lt;='1331'!$J$9,OR($N680=$X$7,$O680=$X$7)),"x","")</f>
        <v/>
      </c>
      <c r="Y680" s="66" t="str">
        <f>IF(AND($N680=$X$7,$B680&lt;'1331'!$I$9),"x","")</f>
        <v/>
      </c>
      <c r="Z680" s="66" t="str">
        <f>IF(AND($O680=$X$7,$B680&lt;'1331'!$I$9),"x","")</f>
        <v/>
      </c>
      <c r="AA680" s="66" t="str">
        <f>IF(AND('341-CT'!$H$9=H680,OR(LEFT(N680,3)=$AA$7,LEFT(O680,3)=$AA$7)),"x","")</f>
        <v/>
      </c>
      <c r="AB680" s="66" t="str">
        <f>IF(OR(TH!N680=TH!$AB$7,O680=TH!$AB$7),"x","")</f>
        <v/>
      </c>
      <c r="AC680" s="66" t="str">
        <f t="shared" si="62"/>
        <v/>
      </c>
      <c r="AD680" s="66" t="str">
        <f>IF(AND(MONTH(E680)='IN-NX'!$J$5,'IN-NX'!$D$7=D680,OR(LEFT(TH!N680,2)="15",LEFT(TH!O680,2)="15")),"x","")</f>
        <v/>
      </c>
      <c r="AE680" s="66" t="str">
        <f>IF(AND(OR(LEFT(TH!N680,2)="15",LEFT(TH!O680,2)="15"),'152-CT'!$J$8=TH!F680),"x","")</f>
        <v/>
      </c>
      <c r="AF680" s="66" t="str">
        <f>IF(AND(OR(LEFT(TH!N680,2)="15",LEFT(TH!O680,2)="15"),'THE KHO'!$E$7=TH!F680),"x","")</f>
        <v/>
      </c>
      <c r="AG680" s="66" t="str">
        <f>IF(AND(N680="1521",MONTH(C680)='BK NL'!$M$11),"x","")</f>
        <v/>
      </c>
    </row>
    <row r="681" spans="1:33" ht="17.25" hidden="1" customHeight="1">
      <c r="A681" s="397" t="str">
        <f>IF(B681&lt;&gt;"",IF(AND(B681&gt;=_TM1,B681&lt;=_TM2,OR(TH!N681="1111",TH!O681="1111")),TH!D681,""),"")</f>
        <v/>
      </c>
      <c r="B681" s="63" t="str">
        <f t="shared" si="61"/>
        <v/>
      </c>
      <c r="C681" s="64"/>
      <c r="D681" s="64"/>
      <c r="E681" s="64"/>
      <c r="F681" s="67"/>
      <c r="G681" s="375"/>
      <c r="H681" s="74"/>
      <c r="I681" s="514"/>
      <c r="J681" s="514"/>
      <c r="K681" s="506"/>
      <c r="L681" s="514"/>
      <c r="M681" s="65"/>
      <c r="N681" s="66"/>
      <c r="O681" s="66"/>
      <c r="P681" s="66" t="str">
        <f>IF(AND('331-CT'!$E$7=TH!H681,OR(N681="331",O681="331")),"x","")</f>
        <v/>
      </c>
      <c r="Q681" s="66" t="str">
        <f>IF(AND($B681&gt;='111'!$N$11,$B681&lt;='111'!$O$11,OR($N681=$Q$7,$O681=$Q$7)),"x","")</f>
        <v/>
      </c>
      <c r="R681" s="66" t="str">
        <f>IF(AND($N681=$Q$7,$B681&lt;'111'!$N$11),"x","")</f>
        <v/>
      </c>
      <c r="S681" s="66" t="str">
        <f>IF(AND($O681=$Q$7,$B681&lt;'111'!$N$11),"x","")</f>
        <v/>
      </c>
      <c r="T681" s="66" t="str">
        <f>IF(AND($B681&gt;='112'!$M$9,$B681&lt;='112'!$N$9,OR($N681='112'!$I$6,$O681='112'!$I$6)),"x","")</f>
        <v/>
      </c>
      <c r="U681" s="66" t="str">
        <f>IF(AND($N681='112'!$I$6,$B681&lt;'112'!$M$9),"x","")</f>
        <v/>
      </c>
      <c r="V681" s="66" t="str">
        <f>IF(AND($O681='112'!$I$6,$B681&lt;'112'!$M$9),"x","")</f>
        <v/>
      </c>
      <c r="W681" s="66" t="str">
        <f>IF(AND('131-CT'!$H$9=TH!H681,OR(N681="131",O681="131")),"x","")</f>
        <v/>
      </c>
      <c r="X681" s="66" t="str">
        <f>IF(AND($B681&gt;='1331'!$I$9,$B681&lt;='1331'!$J$9,OR($N681=$X$7,$O681=$X$7)),"x","")</f>
        <v/>
      </c>
      <c r="Y681" s="66" t="str">
        <f>IF(AND($N681=$X$7,$B681&lt;'1331'!$I$9),"x","")</f>
        <v/>
      </c>
      <c r="Z681" s="66" t="str">
        <f>IF(AND($O681=$X$7,$B681&lt;'1331'!$I$9),"x","")</f>
        <v/>
      </c>
      <c r="AA681" s="66" t="str">
        <f>IF(AND('341-CT'!$H$9=H681,OR(LEFT(N681,3)=$AA$7,LEFT(O681,3)=$AA$7)),"x","")</f>
        <v/>
      </c>
      <c r="AB681" s="66" t="str">
        <f>IF(OR(TH!N681=TH!$AB$7,O681=TH!$AB$7),"x","")</f>
        <v/>
      </c>
      <c r="AC681" s="66" t="str">
        <f t="shared" si="62"/>
        <v/>
      </c>
      <c r="AD681" s="66" t="str">
        <f>IF(AND(MONTH(E681)='IN-NX'!$J$5,'IN-NX'!$D$7=D681,OR(LEFT(TH!N681,2)="15",LEFT(TH!O681,2)="15")),"x","")</f>
        <v/>
      </c>
      <c r="AE681" s="66" t="str">
        <f>IF(AND(OR(LEFT(TH!N681,2)="15",LEFT(TH!O681,2)="15"),'152-CT'!$J$8=TH!F681),"x","")</f>
        <v/>
      </c>
      <c r="AF681" s="66" t="str">
        <f>IF(AND(OR(LEFT(TH!N681,2)="15",LEFT(TH!O681,2)="15"),'THE KHO'!$E$7=TH!F681),"x","")</f>
        <v/>
      </c>
      <c r="AG681" s="66" t="str">
        <f>IF(AND(N681="1521",MONTH(C681)='BK NL'!$M$11),"x","")</f>
        <v/>
      </c>
    </row>
    <row r="682" spans="1:33" ht="17.25" hidden="1" customHeight="1">
      <c r="A682" s="397" t="str">
        <f>IF(B682&lt;&gt;"",IF(AND(B682&gt;=_TM1,B682&lt;=_TM2,OR(TH!N682="1111",TH!O682="1111")),TH!D682,""),"")</f>
        <v/>
      </c>
      <c r="B682" s="63" t="str">
        <f t="shared" si="61"/>
        <v/>
      </c>
      <c r="C682" s="64"/>
      <c r="D682" s="64"/>
      <c r="E682" s="64"/>
      <c r="F682" s="67"/>
      <c r="G682" s="375"/>
      <c r="H682" s="74"/>
      <c r="I682" s="514"/>
      <c r="J682" s="514"/>
      <c r="K682" s="506"/>
      <c r="L682" s="514"/>
      <c r="M682" s="65"/>
      <c r="N682" s="66"/>
      <c r="O682" s="66"/>
      <c r="P682" s="66" t="str">
        <f>IF(AND('331-CT'!$E$7=TH!H682,OR(N682="331",O682="331")),"x","")</f>
        <v/>
      </c>
      <c r="Q682" s="66" t="str">
        <f>IF(AND($B682&gt;='111'!$N$11,$B682&lt;='111'!$O$11,OR($N682=$Q$7,$O682=$Q$7)),"x","")</f>
        <v/>
      </c>
      <c r="R682" s="66" t="str">
        <f>IF(AND($N682=$Q$7,$B682&lt;'111'!$N$11),"x","")</f>
        <v/>
      </c>
      <c r="S682" s="66" t="str">
        <f>IF(AND($O682=$Q$7,$B682&lt;'111'!$N$11),"x","")</f>
        <v/>
      </c>
      <c r="T682" s="66" t="str">
        <f>IF(AND($B682&gt;='112'!$M$9,$B682&lt;='112'!$N$9,OR($N682='112'!$I$6,$O682='112'!$I$6)),"x","")</f>
        <v/>
      </c>
      <c r="U682" s="66" t="str">
        <f>IF(AND($N682='112'!$I$6,$B682&lt;'112'!$M$9),"x","")</f>
        <v/>
      </c>
      <c r="V682" s="66" t="str">
        <f>IF(AND($O682='112'!$I$6,$B682&lt;'112'!$M$9),"x","")</f>
        <v/>
      </c>
      <c r="W682" s="66" t="str">
        <f>IF(AND('131-CT'!$H$9=TH!H682,OR(N682="131",O682="131")),"x","")</f>
        <v/>
      </c>
      <c r="X682" s="66" t="str">
        <f>IF(AND($B682&gt;='1331'!$I$9,$B682&lt;='1331'!$J$9,OR($N682=$X$7,$O682=$X$7)),"x","")</f>
        <v/>
      </c>
      <c r="Y682" s="66" t="str">
        <f>IF(AND($N682=$X$7,$B682&lt;'1331'!$I$9),"x","")</f>
        <v/>
      </c>
      <c r="Z682" s="66" t="str">
        <f>IF(AND($O682=$X$7,$B682&lt;'1331'!$I$9),"x","")</f>
        <v/>
      </c>
      <c r="AA682" s="66" t="str">
        <f>IF(AND('341-CT'!$H$9=H682,OR(LEFT(N682,3)=$AA$7,LEFT(O682,3)=$AA$7)),"x","")</f>
        <v/>
      </c>
      <c r="AB682" s="66" t="str">
        <f>IF(OR(TH!N682=TH!$AB$7,O682=TH!$AB$7),"x","")</f>
        <v/>
      </c>
      <c r="AC682" s="66" t="str">
        <f t="shared" si="62"/>
        <v/>
      </c>
      <c r="AD682" s="66" t="str">
        <f>IF(AND(MONTH(E682)='IN-NX'!$J$5,'IN-NX'!$D$7=D682,OR(LEFT(TH!N682,2)="15",LEFT(TH!O682,2)="15")),"x","")</f>
        <v/>
      </c>
      <c r="AE682" s="66" t="str">
        <f>IF(AND(OR(LEFT(TH!N682,2)="15",LEFT(TH!O682,2)="15"),'152-CT'!$J$8=TH!F682),"x","")</f>
        <v/>
      </c>
      <c r="AF682" s="66" t="str">
        <f>IF(AND(OR(LEFT(TH!N682,2)="15",LEFT(TH!O682,2)="15"),'THE KHO'!$E$7=TH!F682),"x","")</f>
        <v/>
      </c>
      <c r="AG682" s="66" t="str">
        <f>IF(AND(N682="1521",MONTH(C682)='BK NL'!$M$11),"x","")</f>
        <v/>
      </c>
    </row>
    <row r="683" spans="1:33" ht="17.25" hidden="1" customHeight="1">
      <c r="A683" s="397" t="str">
        <f>IF(B683&lt;&gt;"",IF(AND(B683&gt;=_TM1,B683&lt;=_TM2,OR(TH!N683="1111",TH!O683="1111")),TH!D683,""),"")</f>
        <v/>
      </c>
      <c r="B683" s="63" t="str">
        <f t="shared" si="61"/>
        <v/>
      </c>
      <c r="C683" s="64"/>
      <c r="D683" s="64"/>
      <c r="E683" s="64"/>
      <c r="F683" s="67"/>
      <c r="G683" s="361"/>
      <c r="H683" s="74"/>
      <c r="I683" s="514"/>
      <c r="J683" s="514"/>
      <c r="K683" s="506"/>
      <c r="L683" s="514"/>
      <c r="M683" s="65"/>
      <c r="N683" s="66"/>
      <c r="O683" s="66"/>
      <c r="P683" s="66" t="str">
        <f>IF(AND('331-CT'!$E$7=TH!H683,OR(N683="331",O683="331")),"x","")</f>
        <v/>
      </c>
      <c r="Q683" s="66" t="str">
        <f>IF(AND($B683&gt;='111'!$N$11,$B683&lt;='111'!$O$11,OR($N683=$Q$7,$O683=$Q$7)),"x","")</f>
        <v/>
      </c>
      <c r="R683" s="66" t="str">
        <f>IF(AND($N683=$Q$7,$B683&lt;'111'!$N$11),"x","")</f>
        <v/>
      </c>
      <c r="S683" s="66" t="str">
        <f>IF(AND($O683=$Q$7,$B683&lt;'111'!$N$11),"x","")</f>
        <v/>
      </c>
      <c r="T683" s="66" t="str">
        <f>IF(AND($B683&gt;='112'!$M$9,$B683&lt;='112'!$N$9,OR($N683='112'!$I$6,$O683='112'!$I$6)),"x","")</f>
        <v/>
      </c>
      <c r="U683" s="66" t="str">
        <f>IF(AND($N683='112'!$I$6,$B683&lt;'112'!$M$9),"x","")</f>
        <v/>
      </c>
      <c r="V683" s="66" t="str">
        <f>IF(AND($O683='112'!$I$6,$B683&lt;'112'!$M$9),"x","")</f>
        <v/>
      </c>
      <c r="W683" s="66" t="str">
        <f>IF(AND('131-CT'!$H$9=TH!H683,OR(N683="131",O683="131")),"x","")</f>
        <v/>
      </c>
      <c r="X683" s="66" t="str">
        <f>IF(AND($B683&gt;='1331'!$I$9,$B683&lt;='1331'!$J$9,OR($N683=$X$7,$O683=$X$7)),"x","")</f>
        <v/>
      </c>
      <c r="Y683" s="66" t="str">
        <f>IF(AND($N683=$X$7,$B683&lt;'1331'!$I$9),"x","")</f>
        <v/>
      </c>
      <c r="Z683" s="66" t="str">
        <f>IF(AND($O683=$X$7,$B683&lt;'1331'!$I$9),"x","")</f>
        <v/>
      </c>
      <c r="AA683" s="66" t="str">
        <f>IF(AND('341-CT'!$H$9=H683,OR(LEFT(N683,3)=$AA$7,LEFT(O683,3)=$AA$7)),"x","")</f>
        <v/>
      </c>
      <c r="AB683" s="66" t="str">
        <f>IF(OR(TH!N683=TH!$AB$7,O683=TH!$AB$7),"x","")</f>
        <v/>
      </c>
      <c r="AC683" s="66" t="str">
        <f t="shared" si="62"/>
        <v/>
      </c>
      <c r="AD683" s="66" t="str">
        <f>IF(AND(MONTH(E683)='IN-NX'!$J$5,'IN-NX'!$D$7=D683,OR(LEFT(TH!N683,2)="15",LEFT(TH!O683,2)="15")),"x","")</f>
        <v/>
      </c>
      <c r="AE683" s="66" t="str">
        <f>IF(AND(OR(LEFT(TH!N683,2)="15",LEFT(TH!O683,2)="15"),'152-CT'!$J$8=TH!F683),"x","")</f>
        <v/>
      </c>
      <c r="AF683" s="66" t="str">
        <f>IF(AND(OR(LEFT(TH!N683,2)="15",LEFT(TH!O683,2)="15"),'THE KHO'!$E$7=TH!F683),"x","")</f>
        <v/>
      </c>
      <c r="AG683" s="66" t="str">
        <f>IF(AND(N683="1521",MONTH(C683)='BK NL'!$M$11),"x","")</f>
        <v/>
      </c>
    </row>
    <row r="684" spans="1:33" ht="17.25" hidden="1" customHeight="1">
      <c r="A684" s="397" t="str">
        <f>IF(B684&lt;&gt;"",IF(AND(B684&gt;=_TM1,B684&lt;=_TM2,OR(TH!N684="1111",TH!O684="1111")),TH!D684,""),"")</f>
        <v/>
      </c>
      <c r="B684" s="63" t="str">
        <f t="shared" si="61"/>
        <v/>
      </c>
      <c r="C684" s="64"/>
      <c r="D684" s="64"/>
      <c r="E684" s="64"/>
      <c r="F684" s="67"/>
      <c r="G684" s="361"/>
      <c r="H684" s="74"/>
      <c r="I684" s="514"/>
      <c r="J684" s="514"/>
      <c r="K684" s="506"/>
      <c r="L684" s="514"/>
      <c r="M684" s="65"/>
      <c r="N684" s="66"/>
      <c r="O684" s="66"/>
      <c r="P684" s="66" t="str">
        <f>IF(AND('331-CT'!$E$7=TH!H684,OR(N684="331",O684="331")),"x","")</f>
        <v/>
      </c>
      <c r="Q684" s="66" t="str">
        <f>IF(AND($B684&gt;='111'!$N$11,$B684&lt;='111'!$O$11,OR($N684=$Q$7,$O684=$Q$7)),"x","")</f>
        <v/>
      </c>
      <c r="R684" s="66" t="str">
        <f>IF(AND($N684=$Q$7,$B684&lt;'111'!$N$11),"x","")</f>
        <v/>
      </c>
      <c r="S684" s="66" t="str">
        <f>IF(AND($O684=$Q$7,$B684&lt;'111'!$N$11),"x","")</f>
        <v/>
      </c>
      <c r="T684" s="66" t="str">
        <f>IF(AND($B684&gt;='112'!$M$9,$B684&lt;='112'!$N$9,OR($N684='112'!$I$6,$O684='112'!$I$6)),"x","")</f>
        <v/>
      </c>
      <c r="U684" s="66" t="str">
        <f>IF(AND($N684='112'!$I$6,$B684&lt;'112'!$M$9),"x","")</f>
        <v/>
      </c>
      <c r="V684" s="66" t="str">
        <f>IF(AND($O684='112'!$I$6,$B684&lt;'112'!$M$9),"x","")</f>
        <v/>
      </c>
      <c r="W684" s="66" t="str">
        <f>IF(AND('131-CT'!$H$9=TH!H684,OR(N684="131",O684="131")),"x","")</f>
        <v/>
      </c>
      <c r="X684" s="66" t="str">
        <f>IF(AND($B684&gt;='1331'!$I$9,$B684&lt;='1331'!$J$9,OR($N684=$X$7,$O684=$X$7)),"x","")</f>
        <v/>
      </c>
      <c r="Y684" s="66" t="str">
        <f>IF(AND($N684=$X$7,$B684&lt;'1331'!$I$9),"x","")</f>
        <v/>
      </c>
      <c r="Z684" s="66" t="str">
        <f>IF(AND($O684=$X$7,$B684&lt;'1331'!$I$9),"x","")</f>
        <v/>
      </c>
      <c r="AA684" s="66" t="str">
        <f>IF(AND('341-CT'!$H$9=H684,OR(LEFT(N684,3)=$AA$7,LEFT(O684,3)=$AA$7)),"x","")</f>
        <v/>
      </c>
      <c r="AB684" s="66" t="str">
        <f>IF(OR(TH!N684=TH!$AB$7,O684=TH!$AB$7),"x","")</f>
        <v/>
      </c>
      <c r="AC684" s="66" t="str">
        <f t="shared" si="62"/>
        <v/>
      </c>
      <c r="AD684" s="66" t="str">
        <f>IF(AND(MONTH(E684)='IN-NX'!$J$5,'IN-NX'!$D$7=D684,OR(LEFT(TH!N684,2)="15",LEFT(TH!O684,2)="15")),"x","")</f>
        <v/>
      </c>
      <c r="AE684" s="66" t="str">
        <f>IF(AND(OR(LEFT(TH!N684,2)="15",LEFT(TH!O684,2)="15"),'152-CT'!$J$8=TH!F684),"x","")</f>
        <v/>
      </c>
      <c r="AF684" s="66" t="str">
        <f>IF(AND(OR(LEFT(TH!N684,2)="15",LEFT(TH!O684,2)="15"),'THE KHO'!$E$7=TH!F684),"x","")</f>
        <v/>
      </c>
      <c r="AG684" s="66" t="str">
        <f>IF(AND(N684="1521",MONTH(C684)='BK NL'!$M$11),"x","")</f>
        <v/>
      </c>
    </row>
    <row r="685" spans="1:33" ht="15.75" hidden="1" customHeight="1">
      <c r="A685" s="397" t="str">
        <f>IF(B685&lt;&gt;"",IF(AND(B685&gt;=_TM1,B685&lt;=_TM2,OR(TH!N685="1111",TH!O685="1111")),TH!D685,""),"")</f>
        <v/>
      </c>
      <c r="B685" s="63" t="str">
        <f t="shared" si="61"/>
        <v/>
      </c>
      <c r="C685" s="64"/>
      <c r="D685" s="64"/>
      <c r="E685" s="64"/>
      <c r="F685" s="67"/>
      <c r="G685" s="361"/>
      <c r="H685" s="74"/>
      <c r="I685" s="514"/>
      <c r="J685" s="514"/>
      <c r="K685" s="506"/>
      <c r="L685" s="514"/>
      <c r="M685" s="65"/>
      <c r="N685" s="66"/>
      <c r="O685" s="66"/>
      <c r="P685" s="66" t="str">
        <f>IF(AND('331-CT'!$E$7=TH!H685,OR(N685="331",O685="331")),"x","")</f>
        <v/>
      </c>
      <c r="Q685" s="66" t="str">
        <f>IF(AND($B685&gt;='111'!$N$11,$B685&lt;='111'!$O$11,OR($N685=$Q$7,$O685=$Q$7)),"x","")</f>
        <v/>
      </c>
      <c r="R685" s="66" t="str">
        <f>IF(AND($N685=$Q$7,$B685&lt;'111'!$N$11),"x","")</f>
        <v/>
      </c>
      <c r="S685" s="66" t="str">
        <f>IF(AND($O685=$Q$7,$B685&lt;'111'!$N$11),"x","")</f>
        <v/>
      </c>
      <c r="T685" s="66" t="str">
        <f>IF(AND($B685&gt;='112'!$M$9,$B685&lt;='112'!$N$9,OR($N685='112'!$I$6,$O685='112'!$I$6)),"x","")</f>
        <v/>
      </c>
      <c r="U685" s="66" t="str">
        <f>IF(AND($N685='112'!$I$6,$B685&lt;'112'!$M$9),"x","")</f>
        <v/>
      </c>
      <c r="V685" s="66" t="str">
        <f>IF(AND($O685='112'!$I$6,$B685&lt;'112'!$M$9),"x","")</f>
        <v/>
      </c>
      <c r="W685" s="66" t="str">
        <f>IF(AND('131-CT'!$H$9=TH!H685,OR(N685="131",O685="131")),"x","")</f>
        <v/>
      </c>
      <c r="X685" s="66" t="str">
        <f>IF(AND($B685&gt;='1331'!$I$9,$B685&lt;='1331'!$J$9,OR($N685=$X$7,$O685=$X$7)),"x","")</f>
        <v/>
      </c>
      <c r="Y685" s="66" t="str">
        <f>IF(AND($N685=$X$7,$B685&lt;'1331'!$I$9),"x","")</f>
        <v/>
      </c>
      <c r="Z685" s="66" t="str">
        <f>IF(AND($O685=$X$7,$B685&lt;'1331'!$I$9),"x","")</f>
        <v/>
      </c>
      <c r="AA685" s="66" t="str">
        <f>IF(AND('341-CT'!$H$9=H685,OR(LEFT(N685,3)=$AA$7,LEFT(O685,3)=$AA$7)),"x","")</f>
        <v/>
      </c>
      <c r="AB685" s="66" t="str">
        <f>IF(OR(TH!N685=TH!$AB$7,O685=TH!$AB$7),"x","")</f>
        <v/>
      </c>
      <c r="AC685" s="66" t="str">
        <f t="shared" si="62"/>
        <v/>
      </c>
      <c r="AD685" s="66" t="str">
        <f>IF(AND(MONTH(E685)='IN-NX'!$J$5,'IN-NX'!$D$7=D685,OR(LEFT(TH!N685,2)="15",LEFT(TH!O685,2)="15")),"x","")</f>
        <v/>
      </c>
      <c r="AE685" s="66" t="str">
        <f>IF(AND(OR(LEFT(TH!N685,2)="15",LEFT(TH!O685,2)="15"),'152-CT'!$J$8=TH!F685),"x","")</f>
        <v/>
      </c>
      <c r="AF685" s="66" t="str">
        <f>IF(AND(OR(LEFT(TH!N685,2)="15",LEFT(TH!O685,2)="15"),'THE KHO'!$E$7=TH!F685),"x","")</f>
        <v/>
      </c>
      <c r="AG685" s="66" t="str">
        <f>IF(AND(N685="1521",MONTH(C685)='BK NL'!$M$11),"x","")</f>
        <v/>
      </c>
    </row>
    <row r="686" spans="1:33" ht="15.75" hidden="1" customHeight="1">
      <c r="A686" s="397" t="str">
        <f>IF(B686&lt;&gt;"",IF(AND(B686&gt;=_TM1,B686&lt;=_TM2,OR(TH!N686="1111",TH!O686="1111")),TH!D686,""),"")</f>
        <v/>
      </c>
      <c r="B686" s="63" t="str">
        <f t="shared" si="61"/>
        <v/>
      </c>
      <c r="C686" s="64"/>
      <c r="D686" s="64"/>
      <c r="E686" s="64"/>
      <c r="F686" s="67"/>
      <c r="G686" s="361"/>
      <c r="H686" s="74"/>
      <c r="I686" s="514"/>
      <c r="J686" s="514"/>
      <c r="K686" s="506"/>
      <c r="L686" s="514"/>
      <c r="M686" s="65"/>
      <c r="N686" s="66"/>
      <c r="O686" s="66"/>
      <c r="P686" s="66" t="str">
        <f>IF(AND('331-CT'!$E$7=TH!H686,OR(N686="331",O686="331")),"x","")</f>
        <v/>
      </c>
      <c r="Q686" s="66" t="str">
        <f>IF(AND($B686&gt;='111'!$N$11,$B686&lt;='111'!$O$11,OR($N686=$Q$7,$O686=$Q$7)),"x","")</f>
        <v/>
      </c>
      <c r="R686" s="66" t="str">
        <f>IF(AND($N686=$Q$7,$B686&lt;'111'!$N$11),"x","")</f>
        <v/>
      </c>
      <c r="S686" s="66" t="str">
        <f>IF(AND($O686=$Q$7,$B686&lt;'111'!$N$11),"x","")</f>
        <v/>
      </c>
      <c r="T686" s="66" t="str">
        <f>IF(AND($B686&gt;='112'!$M$9,$B686&lt;='112'!$N$9,OR($N686='112'!$I$6,$O686='112'!$I$6)),"x","")</f>
        <v/>
      </c>
      <c r="U686" s="66" t="str">
        <f>IF(AND($N686='112'!$I$6,$B686&lt;'112'!$M$9),"x","")</f>
        <v/>
      </c>
      <c r="V686" s="66" t="str">
        <f>IF(AND($O686='112'!$I$6,$B686&lt;'112'!$M$9),"x","")</f>
        <v/>
      </c>
      <c r="W686" s="66" t="str">
        <f>IF(AND('131-CT'!$H$9=TH!H686,OR(N686="131",O686="131")),"x","")</f>
        <v/>
      </c>
      <c r="X686" s="66" t="str">
        <f>IF(AND($B686&gt;='1331'!$I$9,$B686&lt;='1331'!$J$9,OR($N686=$X$7,$O686=$X$7)),"x","")</f>
        <v/>
      </c>
      <c r="Y686" s="66" t="str">
        <f>IF(AND($N686=$X$7,$B686&lt;'1331'!$I$9),"x","")</f>
        <v/>
      </c>
      <c r="Z686" s="66" t="str">
        <f>IF(AND($O686=$X$7,$B686&lt;'1331'!$I$9),"x","")</f>
        <v/>
      </c>
      <c r="AA686" s="66" t="str">
        <f>IF(AND('341-CT'!$H$9=H686,OR(LEFT(N686,3)=$AA$7,LEFT(O686,3)=$AA$7)),"x","")</f>
        <v/>
      </c>
      <c r="AB686" s="66" t="str">
        <f>IF(OR(TH!N686=TH!$AB$7,O686=TH!$AB$7),"x","")</f>
        <v/>
      </c>
      <c r="AC686" s="66" t="str">
        <f t="shared" si="62"/>
        <v/>
      </c>
      <c r="AD686" s="66" t="str">
        <f>IF(AND(MONTH(E686)='IN-NX'!$J$5,'IN-NX'!$D$7=D686,OR(LEFT(TH!N686,2)="15",LEFT(TH!O686,2)="15")),"x","")</f>
        <v/>
      </c>
      <c r="AE686" s="66" t="str">
        <f>IF(AND(OR(LEFT(TH!N686,2)="15",LEFT(TH!O686,2)="15"),'152-CT'!$J$8=TH!F686),"x","")</f>
        <v/>
      </c>
      <c r="AF686" s="66" t="str">
        <f>IF(AND(OR(LEFT(TH!N686,2)="15",LEFT(TH!O686,2)="15"),'THE KHO'!$E$7=TH!F686),"x","")</f>
        <v/>
      </c>
      <c r="AG686" s="66" t="str">
        <f>IF(AND(N686="1521",MONTH(C686)='BK NL'!$M$11),"x","")</f>
        <v/>
      </c>
    </row>
    <row r="687" spans="1:33" ht="15.75" hidden="1" customHeight="1">
      <c r="A687" s="397" t="str">
        <f>IF(B687&lt;&gt;"",IF(AND(B687&gt;=_TM1,B687&lt;=_TM2,OR(TH!N687="1111",TH!O687="1111")),TH!D687,""),"")</f>
        <v/>
      </c>
      <c r="B687" s="63" t="str">
        <f t="shared" si="61"/>
        <v/>
      </c>
      <c r="C687" s="64"/>
      <c r="D687" s="64"/>
      <c r="E687" s="64"/>
      <c r="F687" s="67"/>
      <c r="G687" s="361"/>
      <c r="H687" s="74"/>
      <c r="I687" s="514"/>
      <c r="J687" s="514"/>
      <c r="K687" s="506"/>
      <c r="L687" s="514"/>
      <c r="M687" s="65"/>
      <c r="N687" s="66"/>
      <c r="O687" s="66"/>
      <c r="P687" s="66" t="str">
        <f>IF(AND('331-CT'!$E$7=TH!H687,OR(N687="331",O687="331")),"x","")</f>
        <v/>
      </c>
      <c r="Q687" s="66" t="str">
        <f>IF(AND($B687&gt;='111'!$N$11,$B687&lt;='111'!$O$11,OR($N687=$Q$7,$O687=$Q$7)),"x","")</f>
        <v/>
      </c>
      <c r="R687" s="66" t="str">
        <f>IF(AND($N687=$Q$7,$B687&lt;'111'!$N$11),"x","")</f>
        <v/>
      </c>
      <c r="S687" s="66" t="str">
        <f>IF(AND($O687=$Q$7,$B687&lt;'111'!$N$11),"x","")</f>
        <v/>
      </c>
      <c r="T687" s="66" t="str">
        <f>IF(AND($B687&gt;='112'!$M$9,$B687&lt;='112'!$N$9,OR($N687='112'!$I$6,$O687='112'!$I$6)),"x","")</f>
        <v/>
      </c>
      <c r="U687" s="66" t="str">
        <f>IF(AND($N687='112'!$I$6,$B687&lt;'112'!$M$9),"x","")</f>
        <v/>
      </c>
      <c r="V687" s="66" t="str">
        <f>IF(AND($O687='112'!$I$6,$B687&lt;'112'!$M$9),"x","")</f>
        <v/>
      </c>
      <c r="W687" s="66" t="str">
        <f>IF(AND('131-CT'!$H$9=TH!H687,OR(N687="131",O687="131")),"x","")</f>
        <v/>
      </c>
      <c r="X687" s="66" t="str">
        <f>IF(AND($B687&gt;='1331'!$I$9,$B687&lt;='1331'!$J$9,OR($N687=$X$7,$O687=$X$7)),"x","")</f>
        <v/>
      </c>
      <c r="Y687" s="66" t="str">
        <f>IF(AND($N687=$X$7,$B687&lt;'1331'!$I$9),"x","")</f>
        <v/>
      </c>
      <c r="Z687" s="66" t="str">
        <f>IF(AND($O687=$X$7,$B687&lt;'1331'!$I$9),"x","")</f>
        <v/>
      </c>
      <c r="AA687" s="66" t="str">
        <f>IF(AND('341-CT'!$H$9=H687,OR(LEFT(N687,3)=$AA$7,LEFT(O687,3)=$AA$7)),"x","")</f>
        <v/>
      </c>
      <c r="AB687" s="66" t="str">
        <f>IF(OR(TH!N687=TH!$AB$7,O687=TH!$AB$7),"x","")</f>
        <v/>
      </c>
      <c r="AC687" s="66" t="str">
        <f t="shared" si="62"/>
        <v/>
      </c>
      <c r="AD687" s="66" t="str">
        <f>IF(AND(MONTH(E687)='IN-NX'!$J$5,'IN-NX'!$D$7=D687,OR(LEFT(TH!N687,2)="15",LEFT(TH!O687,2)="15")),"x","")</f>
        <v/>
      </c>
      <c r="AE687" s="66" t="str">
        <f>IF(AND(OR(LEFT(TH!N687,2)="15",LEFT(TH!O687,2)="15"),'152-CT'!$J$8=TH!F687),"x","")</f>
        <v/>
      </c>
      <c r="AF687" s="66" t="str">
        <f>IF(AND(OR(LEFT(TH!N687,2)="15",LEFT(TH!O687,2)="15"),'THE KHO'!$E$7=TH!F687),"x","")</f>
        <v/>
      </c>
      <c r="AG687" s="66" t="str">
        <f>IF(AND(N687="1521",MONTH(C687)='BK NL'!$M$11),"x","")</f>
        <v/>
      </c>
    </row>
    <row r="688" spans="1:33" ht="15.75" hidden="1" customHeight="1">
      <c r="A688" s="397" t="str">
        <f>IF(B688&lt;&gt;"",IF(AND(B688&gt;=_TM1,B688&lt;=_TM2,OR(TH!N688="1111",TH!O688="1111")),TH!D688,""),"")</f>
        <v/>
      </c>
      <c r="B688" s="63" t="str">
        <f t="shared" si="61"/>
        <v/>
      </c>
      <c r="C688" s="64"/>
      <c r="D688" s="64"/>
      <c r="E688" s="64"/>
      <c r="F688" s="67"/>
      <c r="G688" s="375"/>
      <c r="H688" s="74"/>
      <c r="I688" s="514"/>
      <c r="J688" s="514"/>
      <c r="K688" s="506"/>
      <c r="L688" s="514"/>
      <c r="M688" s="65"/>
      <c r="N688" s="66"/>
      <c r="O688" s="66"/>
      <c r="P688" s="66" t="str">
        <f>IF(AND('331-CT'!$E$7=TH!H688,OR(N688="331",O688="331")),"x","")</f>
        <v/>
      </c>
      <c r="Q688" s="66" t="str">
        <f>IF(AND($B688&gt;='111'!$N$11,$B688&lt;='111'!$O$11,OR($N688=$Q$7,$O688=$Q$7)),"x","")</f>
        <v/>
      </c>
      <c r="R688" s="66" t="str">
        <f>IF(AND($N688=$Q$7,$B688&lt;'111'!$N$11),"x","")</f>
        <v/>
      </c>
      <c r="S688" s="66" t="str">
        <f>IF(AND($O688=$Q$7,$B688&lt;'111'!$N$11),"x","")</f>
        <v/>
      </c>
      <c r="T688" s="66" t="str">
        <f>IF(AND($B688&gt;='112'!$M$9,$B688&lt;='112'!$N$9,OR($N688='112'!$I$6,$O688='112'!$I$6)),"x","")</f>
        <v/>
      </c>
      <c r="U688" s="66" t="str">
        <f>IF(AND($N688='112'!$I$6,$B688&lt;'112'!$M$9),"x","")</f>
        <v/>
      </c>
      <c r="V688" s="66" t="str">
        <f>IF(AND($O688='112'!$I$6,$B688&lt;'112'!$M$9),"x","")</f>
        <v/>
      </c>
      <c r="W688" s="66" t="str">
        <f>IF(AND('131-CT'!$H$9=TH!H688,OR(N688="131",O688="131")),"x","")</f>
        <v/>
      </c>
      <c r="X688" s="66" t="str">
        <f>IF(AND($B688&gt;='1331'!$I$9,$B688&lt;='1331'!$J$9,OR($N688=$X$7,$O688=$X$7)),"x","")</f>
        <v/>
      </c>
      <c r="Y688" s="66" t="str">
        <f>IF(AND($N688=$X$7,$B688&lt;'1331'!$I$9),"x","")</f>
        <v/>
      </c>
      <c r="Z688" s="66" t="str">
        <f>IF(AND($O688=$X$7,$B688&lt;'1331'!$I$9),"x","")</f>
        <v/>
      </c>
      <c r="AA688" s="66" t="str">
        <f>IF(AND('341-CT'!$H$9=H688,OR(LEFT(N688,3)=$AA$7,LEFT(O688,3)=$AA$7)),"x","")</f>
        <v/>
      </c>
      <c r="AB688" s="66" t="str">
        <f>IF(OR(TH!N688=TH!$AB$7,O688=TH!$AB$7),"x","")</f>
        <v/>
      </c>
      <c r="AC688" s="66" t="str">
        <f t="shared" si="62"/>
        <v/>
      </c>
      <c r="AD688" s="66" t="str">
        <f>IF(AND(MONTH(E688)='IN-NX'!$J$5,'IN-NX'!$D$7=D688,OR(LEFT(TH!N688,2)="15",LEFT(TH!O688,2)="15")),"x","")</f>
        <v/>
      </c>
      <c r="AE688" s="66" t="str">
        <f>IF(AND(OR(LEFT(TH!N688,2)="15",LEFT(TH!O688,2)="15"),'152-CT'!$J$8=TH!F688),"x","")</f>
        <v/>
      </c>
      <c r="AF688" s="66" t="str">
        <f>IF(AND(OR(LEFT(TH!N688,2)="15",LEFT(TH!O688,2)="15"),'THE KHO'!$E$7=TH!F688),"x","")</f>
        <v/>
      </c>
      <c r="AG688" s="66" t="str">
        <f>IF(AND(N688="1521",MONTH(C688)='BK NL'!$M$11),"x","")</f>
        <v/>
      </c>
    </row>
    <row r="689" spans="1:33" ht="15.75" hidden="1" customHeight="1">
      <c r="A689" s="397" t="str">
        <f>IF(B689&lt;&gt;"",IF(AND(B689&gt;=_TM1,B689&lt;=_TM2,OR(TH!N689="1111",TH!O689="1111")),TH!D689,""),"")</f>
        <v/>
      </c>
      <c r="B689" s="63" t="str">
        <f t="shared" si="61"/>
        <v/>
      </c>
      <c r="C689" s="64"/>
      <c r="D689" s="64"/>
      <c r="E689" s="64"/>
      <c r="F689" s="67"/>
      <c r="G689" s="375"/>
      <c r="H689" s="74"/>
      <c r="I689" s="514"/>
      <c r="J689" s="514"/>
      <c r="K689" s="506"/>
      <c r="L689" s="514"/>
      <c r="M689" s="65"/>
      <c r="N689" s="66"/>
      <c r="O689" s="66"/>
      <c r="P689" s="66" t="str">
        <f>IF(AND('331-CT'!$E$7=TH!H689,OR(N689="331",O689="331")),"x","")</f>
        <v/>
      </c>
      <c r="Q689" s="66" t="str">
        <f>IF(AND($B689&gt;='111'!$N$11,$B689&lt;='111'!$O$11,OR($N689=$Q$7,$O689=$Q$7)),"x","")</f>
        <v/>
      </c>
      <c r="R689" s="66" t="str">
        <f>IF(AND($N689=$Q$7,$B689&lt;'111'!$N$11),"x","")</f>
        <v/>
      </c>
      <c r="S689" s="66" t="str">
        <f>IF(AND($O689=$Q$7,$B689&lt;'111'!$N$11),"x","")</f>
        <v/>
      </c>
      <c r="T689" s="66" t="str">
        <f>IF(AND($B689&gt;='112'!$M$9,$B689&lt;='112'!$N$9,OR($N689='112'!$I$6,$O689='112'!$I$6)),"x","")</f>
        <v/>
      </c>
      <c r="U689" s="66" t="str">
        <f>IF(AND($N689='112'!$I$6,$B689&lt;'112'!$M$9),"x","")</f>
        <v/>
      </c>
      <c r="V689" s="66" t="str">
        <f>IF(AND($O689='112'!$I$6,$B689&lt;'112'!$M$9),"x","")</f>
        <v/>
      </c>
      <c r="W689" s="66" t="str">
        <f>IF(AND('131-CT'!$H$9=TH!H689,OR(N689="131",O689="131")),"x","")</f>
        <v/>
      </c>
      <c r="X689" s="66" t="str">
        <f>IF(AND($B689&gt;='1331'!$I$9,$B689&lt;='1331'!$J$9,OR($N689=$X$7,$O689=$X$7)),"x","")</f>
        <v/>
      </c>
      <c r="Y689" s="66" t="str">
        <f>IF(AND($N689=$X$7,$B689&lt;'1331'!$I$9),"x","")</f>
        <v/>
      </c>
      <c r="Z689" s="66" t="str">
        <f>IF(AND($O689=$X$7,$B689&lt;'1331'!$I$9),"x","")</f>
        <v/>
      </c>
      <c r="AA689" s="66" t="str">
        <f>IF(AND('341-CT'!$H$9=H689,OR(LEFT(N689,3)=$AA$7,LEFT(O689,3)=$AA$7)),"x","")</f>
        <v/>
      </c>
      <c r="AB689" s="66" t="str">
        <f>IF(OR(TH!N689=TH!$AB$7,O689=TH!$AB$7),"x","")</f>
        <v/>
      </c>
      <c r="AC689" s="66" t="str">
        <f t="shared" si="62"/>
        <v/>
      </c>
      <c r="AD689" s="66" t="str">
        <f>IF(AND(MONTH(E689)='IN-NX'!$J$5,'IN-NX'!$D$7=D689,OR(LEFT(TH!N689,2)="15",LEFT(TH!O689,2)="15")),"x","")</f>
        <v/>
      </c>
      <c r="AE689" s="66" t="str">
        <f>IF(AND(OR(LEFT(TH!N689,2)="15",LEFT(TH!O689,2)="15"),'152-CT'!$J$8=TH!F689),"x","")</f>
        <v/>
      </c>
      <c r="AF689" s="66" t="str">
        <f>IF(AND(OR(LEFT(TH!N689,2)="15",LEFT(TH!O689,2)="15"),'THE KHO'!$E$7=TH!F689),"x","")</f>
        <v/>
      </c>
      <c r="AG689" s="66" t="str">
        <f>IF(AND(N689="1521",MONTH(C689)='BK NL'!$M$11),"x","")</f>
        <v/>
      </c>
    </row>
    <row r="690" spans="1:33" ht="15.75" hidden="1" customHeight="1">
      <c r="A690" s="397" t="str">
        <f>IF(B690&lt;&gt;"",IF(AND(B690&gt;=_TM1,B690&lt;=_TM2,OR(TH!N690="1111",TH!O690="1111")),TH!D690,""),"")</f>
        <v/>
      </c>
      <c r="B690" s="63" t="str">
        <f t="shared" si="61"/>
        <v/>
      </c>
      <c r="C690" s="64"/>
      <c r="D690" s="64"/>
      <c r="E690" s="64"/>
      <c r="F690" s="67"/>
      <c r="G690" s="375"/>
      <c r="H690" s="74"/>
      <c r="I690" s="514"/>
      <c r="J690" s="514"/>
      <c r="K690" s="506"/>
      <c r="L690" s="514"/>
      <c r="M690" s="65"/>
      <c r="N690" s="66"/>
      <c r="O690" s="66"/>
      <c r="P690" s="66" t="str">
        <f>IF(AND('331-CT'!$E$7=TH!H690,OR(N690="331",O690="331")),"x","")</f>
        <v/>
      </c>
      <c r="Q690" s="66" t="str">
        <f>IF(AND($B690&gt;='111'!$N$11,$B690&lt;='111'!$O$11,OR($N690=$Q$7,$O690=$Q$7)),"x","")</f>
        <v/>
      </c>
      <c r="R690" s="66" t="str">
        <f>IF(AND($N690=$Q$7,$B690&lt;'111'!$N$11),"x","")</f>
        <v/>
      </c>
      <c r="S690" s="66" t="str">
        <f>IF(AND($O690=$Q$7,$B690&lt;'111'!$N$11),"x","")</f>
        <v/>
      </c>
      <c r="T690" s="66" t="str">
        <f>IF(AND($B690&gt;='112'!$M$9,$B690&lt;='112'!$N$9,OR($N690='112'!$I$6,$O690='112'!$I$6)),"x","")</f>
        <v/>
      </c>
      <c r="U690" s="66" t="str">
        <f>IF(AND($N690='112'!$I$6,$B690&lt;'112'!$M$9),"x","")</f>
        <v/>
      </c>
      <c r="V690" s="66" t="str">
        <f>IF(AND($O690='112'!$I$6,$B690&lt;'112'!$M$9),"x","")</f>
        <v/>
      </c>
      <c r="W690" s="66" t="str">
        <f>IF(AND('131-CT'!$H$9=TH!H690,OR(N690="131",O690="131")),"x","")</f>
        <v/>
      </c>
      <c r="X690" s="66" t="str">
        <f>IF(AND($B690&gt;='1331'!$I$9,$B690&lt;='1331'!$J$9,OR($N690=$X$7,$O690=$X$7)),"x","")</f>
        <v/>
      </c>
      <c r="Y690" s="66" t="str">
        <f>IF(AND($N690=$X$7,$B690&lt;'1331'!$I$9),"x","")</f>
        <v/>
      </c>
      <c r="Z690" s="66" t="str">
        <f>IF(AND($O690=$X$7,$B690&lt;'1331'!$I$9),"x","")</f>
        <v/>
      </c>
      <c r="AA690" s="66" t="str">
        <f>IF(AND('341-CT'!$H$9=H690,OR(LEFT(N690,3)=$AA$7,LEFT(O690,3)=$AA$7)),"x","")</f>
        <v/>
      </c>
      <c r="AB690" s="66" t="str">
        <f>IF(OR(TH!N690=TH!$AB$7,O690=TH!$AB$7),"x","")</f>
        <v/>
      </c>
      <c r="AC690" s="66" t="str">
        <f t="shared" si="62"/>
        <v/>
      </c>
      <c r="AD690" s="66" t="str">
        <f>IF(AND(MONTH(E690)='IN-NX'!$J$5,'IN-NX'!$D$7=D690,OR(LEFT(TH!N690,2)="15",LEFT(TH!O690,2)="15")),"x","")</f>
        <v/>
      </c>
      <c r="AE690" s="66" t="str">
        <f>IF(AND(OR(LEFT(TH!N690,2)="15",LEFT(TH!O690,2)="15"),'152-CT'!$J$8=TH!F690),"x","")</f>
        <v/>
      </c>
      <c r="AF690" s="66" t="str">
        <f>IF(AND(OR(LEFT(TH!N690,2)="15",LEFT(TH!O690,2)="15"),'THE KHO'!$E$7=TH!F690),"x","")</f>
        <v/>
      </c>
      <c r="AG690" s="66" t="str">
        <f>IF(AND(N690="1521",MONTH(C690)='BK NL'!$M$11),"x","")</f>
        <v/>
      </c>
    </row>
    <row r="691" spans="1:33" ht="15.75" hidden="1" customHeight="1">
      <c r="A691" s="397" t="str">
        <f>IF(B691&lt;&gt;"",IF(AND(B691&gt;=_TM1,B691&lt;=_TM2,OR(TH!N691="1111",TH!O691="1111")),TH!D691,""),"")</f>
        <v/>
      </c>
      <c r="B691" s="63" t="str">
        <f t="shared" si="61"/>
        <v/>
      </c>
      <c r="C691" s="64"/>
      <c r="D691" s="64"/>
      <c r="E691" s="64"/>
      <c r="F691" s="67"/>
      <c r="G691" s="375"/>
      <c r="H691" s="74"/>
      <c r="I691" s="514"/>
      <c r="J691" s="514"/>
      <c r="K691" s="506"/>
      <c r="L691" s="514"/>
      <c r="M691" s="65"/>
      <c r="N691" s="385"/>
      <c r="O691" s="66"/>
      <c r="P691" s="66" t="str">
        <f>IF(AND('331-CT'!$E$7=TH!H691,OR(N691="331",O691="331")),"x","")</f>
        <v/>
      </c>
      <c r="Q691" s="66" t="str">
        <f>IF(AND($B691&gt;='111'!$N$11,$B691&lt;='111'!$O$11,OR($N691=$Q$7,$O691=$Q$7)),"x","")</f>
        <v/>
      </c>
      <c r="R691" s="66" t="str">
        <f>IF(AND($N691=$Q$7,$B691&lt;'111'!$N$11),"x","")</f>
        <v/>
      </c>
      <c r="S691" s="66" t="str">
        <f>IF(AND($O691=$Q$7,$B691&lt;'111'!$N$11),"x","")</f>
        <v/>
      </c>
      <c r="T691" s="66" t="str">
        <f>IF(AND($B691&gt;='112'!$M$9,$B691&lt;='112'!$N$9,OR($N691='112'!$I$6,$O691='112'!$I$6)),"x","")</f>
        <v/>
      </c>
      <c r="U691" s="66" t="str">
        <f>IF(AND($N691='112'!$I$6,$B691&lt;'112'!$M$9),"x","")</f>
        <v/>
      </c>
      <c r="V691" s="66" t="str">
        <f>IF(AND($O691='112'!$I$6,$B691&lt;'112'!$M$9),"x","")</f>
        <v/>
      </c>
      <c r="W691" s="66" t="str">
        <f>IF(AND('131-CT'!$H$9=TH!H691,OR(N691="131",O691="131")),"x","")</f>
        <v/>
      </c>
      <c r="X691" s="66" t="str">
        <f>IF(AND($B691&gt;='1331'!$I$9,$B691&lt;='1331'!$J$9,OR($N691=$X$7,$O691=$X$7)),"x","")</f>
        <v/>
      </c>
      <c r="Y691" s="66" t="str">
        <f>IF(AND($N691=$X$7,$B691&lt;'1331'!$I$9),"x","")</f>
        <v/>
      </c>
      <c r="Z691" s="66" t="str">
        <f>IF(AND($O691=$X$7,$B691&lt;'1331'!$I$9),"x","")</f>
        <v/>
      </c>
      <c r="AA691" s="66" t="str">
        <f>IF(AND('341-CT'!$H$9=H691,OR(LEFT(N691,3)=$AA$7,LEFT(O691,3)=$AA$7)),"x","")</f>
        <v/>
      </c>
      <c r="AB691" s="66" t="str">
        <f>IF(OR(TH!N691=TH!$AB$7,O691=TH!$AB$7),"x","")</f>
        <v/>
      </c>
      <c r="AC691" s="66" t="str">
        <f t="shared" si="62"/>
        <v/>
      </c>
      <c r="AD691" s="66" t="str">
        <f>IF(AND(MONTH(E691)='IN-NX'!$J$5,'IN-NX'!$D$7=D691,OR(LEFT(TH!N691,2)="15",LEFT(TH!O691,2)="15")),"x","")</f>
        <v/>
      </c>
      <c r="AE691" s="66" t="str">
        <f>IF(AND(OR(LEFT(TH!N691,2)="15",LEFT(TH!O691,2)="15"),'152-CT'!$J$8=TH!F691),"x","")</f>
        <v/>
      </c>
      <c r="AF691" s="66" t="str">
        <f>IF(AND(OR(LEFT(TH!N691,2)="15",LEFT(TH!O691,2)="15"),'THE KHO'!$E$7=TH!F691),"x","")</f>
        <v/>
      </c>
      <c r="AG691" s="66" t="str">
        <f>IF(AND(N691="1521",MONTH(C691)='BK NL'!$M$11),"x","")</f>
        <v/>
      </c>
    </row>
    <row r="692" spans="1:33" ht="15.75" hidden="1" customHeight="1">
      <c r="A692" s="397" t="str">
        <f>IF(B692&lt;&gt;"",IF(AND(B692&gt;=_TM1,B692&lt;=_TM2,OR(TH!N692="1111",TH!O692="1111")),TH!D692,""),"")</f>
        <v/>
      </c>
      <c r="B692" s="63" t="str">
        <f t="shared" si="61"/>
        <v/>
      </c>
      <c r="C692" s="82"/>
      <c r="D692" s="82"/>
      <c r="E692" s="64"/>
      <c r="F692" s="83"/>
      <c r="G692" s="377"/>
      <c r="H692" s="366"/>
      <c r="I692" s="512"/>
      <c r="J692" s="512"/>
      <c r="K692" s="504"/>
      <c r="L692" s="512"/>
      <c r="M692" s="85"/>
      <c r="N692" s="86"/>
      <c r="O692" s="86"/>
      <c r="P692" s="66" t="str">
        <f>IF(AND('331-CT'!$E$7=TH!H692,OR(N692="331",O692="331")),"x","")</f>
        <v/>
      </c>
      <c r="Q692" s="66" t="str">
        <f>IF(AND($B692&gt;='111'!$N$11,$B692&lt;='111'!$O$11,OR($N692=$Q$7,$O692=$Q$7)),"x","")</f>
        <v/>
      </c>
      <c r="R692" s="66" t="str">
        <f>IF(AND($N692=$Q$7,$B692&lt;'111'!$N$11),"x","")</f>
        <v/>
      </c>
      <c r="S692" s="66" t="str">
        <f>IF(AND($O692=$Q$7,$B692&lt;'111'!$N$11),"x","")</f>
        <v/>
      </c>
      <c r="T692" s="66" t="str">
        <f>IF(AND($B692&gt;='112'!$M$9,$B692&lt;='112'!$N$9,OR($N692='112'!$I$6,$O692='112'!$I$6)),"x","")</f>
        <v/>
      </c>
      <c r="U692" s="66" t="str">
        <f>IF(AND($N692='112'!$I$6,$B692&lt;'112'!$M$9),"x","")</f>
        <v/>
      </c>
      <c r="V692" s="66" t="str">
        <f>IF(AND($O692='112'!$I$6,$B692&lt;'112'!$M$9),"x","")</f>
        <v/>
      </c>
      <c r="W692" s="66" t="str">
        <f>IF(AND('131-CT'!$H$9=TH!H692,OR(N692="131",O692="131")),"x","")</f>
        <v/>
      </c>
      <c r="X692" s="66" t="str">
        <f>IF(AND($B692&gt;='1331'!$I$9,$B692&lt;='1331'!$J$9,OR($N692=$X$7,$O692=$X$7)),"x","")</f>
        <v/>
      </c>
      <c r="Y692" s="66" t="str">
        <f>IF(AND($N692=$X$7,$B692&lt;'1331'!$I$9),"x","")</f>
        <v/>
      </c>
      <c r="Z692" s="66" t="str">
        <f>IF(AND($O692=$X$7,$B692&lt;'1331'!$I$9),"x","")</f>
        <v/>
      </c>
      <c r="AA692" s="66" t="str">
        <f>IF(AND('341-CT'!$H$9=H692,OR(LEFT(N692,3)=$AA$7,LEFT(O692,3)=$AA$7)),"x","")</f>
        <v/>
      </c>
      <c r="AB692" s="66" t="str">
        <f>IF(OR(TH!N692=TH!$AB$7,O692=TH!$AB$7),"x","")</f>
        <v/>
      </c>
      <c r="AC692" s="66" t="str">
        <f t="shared" si="62"/>
        <v/>
      </c>
      <c r="AD692" s="66" t="str">
        <f>IF(AND(MONTH(E692)='IN-NX'!$J$5,'IN-NX'!$D$7=D692,OR(LEFT(TH!N692,2)="15",LEFT(TH!O692,2)="15")),"x","")</f>
        <v/>
      </c>
      <c r="AE692" s="66" t="str">
        <f>IF(AND(OR(LEFT(TH!N692,2)="15",LEFT(TH!O692,2)="15"),'152-CT'!$J$8=TH!F692),"x","")</f>
        <v/>
      </c>
      <c r="AF692" s="66" t="str">
        <f>IF(AND(OR(LEFT(TH!N692,2)="15",LEFT(TH!O692,2)="15"),'THE KHO'!$E$7=TH!F692),"x","")</f>
        <v/>
      </c>
      <c r="AG692" s="66" t="str">
        <f>IF(AND(N692="1521",MONTH(C692)='BK NL'!$M$11),"x","")</f>
        <v/>
      </c>
    </row>
    <row r="693" spans="1:33" ht="15.75" hidden="1" customHeight="1">
      <c r="A693" s="397" t="str">
        <f>IF(B693&lt;&gt;"",IF(AND(B693&gt;=_TM1,B693&lt;=_TM2,OR(TH!N693="1111",TH!O693="1111")),TH!D693,""),"")</f>
        <v/>
      </c>
      <c r="B693" s="63" t="str">
        <f t="shared" si="61"/>
        <v/>
      </c>
      <c r="C693" s="64"/>
      <c r="D693" s="64"/>
      <c r="E693" s="64"/>
      <c r="F693" s="67"/>
      <c r="G693" s="375"/>
      <c r="H693" s="74"/>
      <c r="I693" s="514"/>
      <c r="J693" s="514"/>
      <c r="K693" s="506"/>
      <c r="L693" s="514"/>
      <c r="M693" s="65"/>
      <c r="N693" s="66"/>
      <c r="O693" s="66"/>
      <c r="P693" s="66" t="str">
        <f>IF(AND('331-CT'!$E$7=TH!H693,OR(N693="331",O693="331")),"x","")</f>
        <v/>
      </c>
      <c r="Q693" s="66" t="str">
        <f>IF(AND($B693&gt;='111'!$N$11,$B693&lt;='111'!$O$11,OR($N693=$Q$7,$O693=$Q$7)),"x","")</f>
        <v/>
      </c>
      <c r="R693" s="66" t="str">
        <f>IF(AND($N693=$Q$7,$B693&lt;'111'!$N$11),"x","")</f>
        <v/>
      </c>
      <c r="S693" s="66" t="str">
        <f>IF(AND($O693=$Q$7,$B693&lt;'111'!$N$11),"x","")</f>
        <v/>
      </c>
      <c r="T693" s="66" t="str">
        <f>IF(AND($B693&gt;='112'!$M$9,$B693&lt;='112'!$N$9,OR($N693='112'!$I$6,$O693='112'!$I$6)),"x","")</f>
        <v/>
      </c>
      <c r="U693" s="66" t="str">
        <f>IF(AND($N693='112'!$I$6,$B693&lt;'112'!$M$9),"x","")</f>
        <v/>
      </c>
      <c r="V693" s="66" t="str">
        <f>IF(AND($O693='112'!$I$6,$B693&lt;'112'!$M$9),"x","")</f>
        <v/>
      </c>
      <c r="W693" s="66" t="str">
        <f>IF(AND('131-CT'!$H$9=TH!H693,OR(N693="131",O693="131")),"x","")</f>
        <v/>
      </c>
      <c r="X693" s="66" t="str">
        <f>IF(AND($B693&gt;='1331'!$I$9,$B693&lt;='1331'!$J$9,OR($N693=$X$7,$O693=$X$7)),"x","")</f>
        <v/>
      </c>
      <c r="Y693" s="66" t="str">
        <f>IF(AND($N693=$X$7,$B693&lt;'1331'!$I$9),"x","")</f>
        <v/>
      </c>
      <c r="Z693" s="66" t="str">
        <f>IF(AND($O693=$X$7,$B693&lt;'1331'!$I$9),"x","")</f>
        <v/>
      </c>
      <c r="AA693" s="66" t="str">
        <f>IF(AND('341-CT'!$H$9=H693,OR(LEFT(N693,3)=$AA$7,LEFT(O693,3)=$AA$7)),"x","")</f>
        <v/>
      </c>
      <c r="AB693" s="66" t="str">
        <f>IF(OR(TH!N693=TH!$AB$7,O693=TH!$AB$7),"x","")</f>
        <v/>
      </c>
      <c r="AC693" s="66" t="str">
        <f t="shared" si="62"/>
        <v/>
      </c>
      <c r="AD693" s="66" t="str">
        <f>IF(AND(MONTH(E693)='IN-NX'!$J$5,'IN-NX'!$D$7=D693,OR(LEFT(TH!N693,2)="15",LEFT(TH!O693,2)="15")),"x","")</f>
        <v/>
      </c>
      <c r="AE693" s="66" t="str">
        <f>IF(AND(OR(LEFT(TH!N693,2)="15",LEFT(TH!O693,2)="15"),'152-CT'!$J$8=TH!F693),"x","")</f>
        <v/>
      </c>
      <c r="AF693" s="66" t="str">
        <f>IF(AND(OR(LEFT(TH!N693,2)="15",LEFT(TH!O693,2)="15"),'THE KHO'!$E$7=TH!F693),"x","")</f>
        <v/>
      </c>
      <c r="AG693" s="66" t="str">
        <f>IF(AND(N693="1521",MONTH(C693)='BK NL'!$M$11),"x","")</f>
        <v/>
      </c>
    </row>
    <row r="694" spans="1:33" ht="15.75" hidden="1" customHeight="1">
      <c r="A694" s="397" t="str">
        <f>IF(B694&lt;&gt;"",IF(AND(B694&gt;=_TM1,B694&lt;=_TM2,OR(TH!N694="1111",TH!O694="1111")),TH!D694,""),"")</f>
        <v/>
      </c>
      <c r="B694" s="63" t="str">
        <f t="shared" si="61"/>
        <v/>
      </c>
      <c r="C694" s="64"/>
      <c r="D694" s="64"/>
      <c r="E694" s="64"/>
      <c r="F694" s="67"/>
      <c r="G694" s="375"/>
      <c r="H694" s="74"/>
      <c r="I694" s="514"/>
      <c r="J694" s="514"/>
      <c r="K694" s="506"/>
      <c r="L694" s="514"/>
      <c r="M694" s="65"/>
      <c r="N694" s="66"/>
      <c r="O694" s="66"/>
      <c r="P694" s="66" t="str">
        <f>IF(AND('331-CT'!$E$7=TH!H694,OR(N694="331",O694="331")),"x","")</f>
        <v/>
      </c>
      <c r="Q694" s="66" t="str">
        <f>IF(AND($B694&gt;='111'!$N$11,$B694&lt;='111'!$O$11,OR($N694=$Q$7,$O694=$Q$7)),"x","")</f>
        <v/>
      </c>
      <c r="R694" s="66" t="str">
        <f>IF(AND($N694=$Q$7,$B694&lt;'111'!$N$11),"x","")</f>
        <v/>
      </c>
      <c r="S694" s="66" t="str">
        <f>IF(AND($O694=$Q$7,$B694&lt;'111'!$N$11),"x","")</f>
        <v/>
      </c>
      <c r="T694" s="66" t="str">
        <f>IF(AND($B694&gt;='112'!$M$9,$B694&lt;='112'!$N$9,OR($N694='112'!$I$6,$O694='112'!$I$6)),"x","")</f>
        <v/>
      </c>
      <c r="U694" s="66" t="str">
        <f>IF(AND($N694='112'!$I$6,$B694&lt;'112'!$M$9),"x","")</f>
        <v/>
      </c>
      <c r="V694" s="66" t="str">
        <f>IF(AND($O694='112'!$I$6,$B694&lt;'112'!$M$9),"x","")</f>
        <v/>
      </c>
      <c r="W694" s="66" t="str">
        <f>IF(AND('131-CT'!$H$9=TH!H694,OR(N694="131",O694="131")),"x","")</f>
        <v/>
      </c>
      <c r="X694" s="66" t="str">
        <f>IF(AND($B694&gt;='1331'!$I$9,$B694&lt;='1331'!$J$9,OR($N694=$X$7,$O694=$X$7)),"x","")</f>
        <v/>
      </c>
      <c r="Y694" s="66" t="str">
        <f>IF(AND($N694=$X$7,$B694&lt;'1331'!$I$9),"x","")</f>
        <v/>
      </c>
      <c r="Z694" s="66" t="str">
        <f>IF(AND($O694=$X$7,$B694&lt;'1331'!$I$9),"x","")</f>
        <v/>
      </c>
      <c r="AA694" s="66" t="str">
        <f>IF(AND('341-CT'!$H$9=H694,OR(LEFT(N694,3)=$AA$7,LEFT(O694,3)=$AA$7)),"x","")</f>
        <v/>
      </c>
      <c r="AB694" s="66" t="str">
        <f>IF(OR(TH!N694=TH!$AB$7,O694=TH!$AB$7),"x","")</f>
        <v/>
      </c>
      <c r="AC694" s="66" t="str">
        <f t="shared" si="62"/>
        <v/>
      </c>
      <c r="AD694" s="66" t="str">
        <f>IF(AND(MONTH(E694)='IN-NX'!$J$5,'IN-NX'!$D$7=D694,OR(LEFT(TH!N694,2)="15",LEFT(TH!O694,2)="15")),"x","")</f>
        <v/>
      </c>
      <c r="AE694" s="66" t="str">
        <f>IF(AND(OR(LEFT(TH!N694,2)="15",LEFT(TH!O694,2)="15"),'152-CT'!$J$8=TH!F694),"x","")</f>
        <v/>
      </c>
      <c r="AF694" s="66" t="str">
        <f>IF(AND(OR(LEFT(TH!N694,2)="15",LEFT(TH!O694,2)="15"),'THE KHO'!$E$7=TH!F694),"x","")</f>
        <v/>
      </c>
      <c r="AG694" s="66" t="str">
        <f>IF(AND(N694="1521",MONTH(C694)='BK NL'!$M$11),"x","")</f>
        <v/>
      </c>
    </row>
    <row r="695" spans="1:33" ht="15.75" hidden="1" customHeight="1">
      <c r="A695" s="397" t="str">
        <f>IF(B695&lt;&gt;"",IF(AND(B695&gt;=_TM1,B695&lt;=_TM2,OR(TH!N695="1111",TH!O695="1111")),TH!D695,""),"")</f>
        <v/>
      </c>
      <c r="B695" s="63" t="str">
        <f t="shared" si="61"/>
        <v/>
      </c>
      <c r="C695" s="64"/>
      <c r="D695" s="64"/>
      <c r="E695" s="64"/>
      <c r="F695" s="67"/>
      <c r="G695" s="375"/>
      <c r="H695" s="74"/>
      <c r="I695" s="514"/>
      <c r="J695" s="514"/>
      <c r="K695" s="506"/>
      <c r="L695" s="514"/>
      <c r="M695" s="65"/>
      <c r="N695" s="66"/>
      <c r="O695" s="66"/>
      <c r="P695" s="66" t="str">
        <f>IF(AND('331-CT'!$E$7=TH!H695,OR(N695="331",O695="331")),"x","")</f>
        <v/>
      </c>
      <c r="Q695" s="66" t="str">
        <f>IF(AND($B695&gt;='111'!$N$11,$B695&lt;='111'!$O$11,OR($N695=$Q$7,$O695=$Q$7)),"x","")</f>
        <v/>
      </c>
      <c r="R695" s="66" t="str">
        <f>IF(AND($N695=$Q$7,$B695&lt;'111'!$N$11),"x","")</f>
        <v/>
      </c>
      <c r="S695" s="66" t="str">
        <f>IF(AND($O695=$Q$7,$B695&lt;'111'!$N$11),"x","")</f>
        <v/>
      </c>
      <c r="T695" s="66" t="str">
        <f>IF(AND($B695&gt;='112'!$M$9,$B695&lt;='112'!$N$9,OR($N695='112'!$I$6,$O695='112'!$I$6)),"x","")</f>
        <v/>
      </c>
      <c r="U695" s="66" t="str">
        <f>IF(AND($N695='112'!$I$6,$B695&lt;'112'!$M$9),"x","")</f>
        <v/>
      </c>
      <c r="V695" s="66" t="str">
        <f>IF(AND($O695='112'!$I$6,$B695&lt;'112'!$M$9),"x","")</f>
        <v/>
      </c>
      <c r="W695" s="66" t="str">
        <f>IF(AND('131-CT'!$H$9=TH!H695,OR(N695="131",O695="131")),"x","")</f>
        <v/>
      </c>
      <c r="X695" s="66" t="str">
        <f>IF(AND($B695&gt;='1331'!$I$9,$B695&lt;='1331'!$J$9,OR($N695=$X$7,$O695=$X$7)),"x","")</f>
        <v/>
      </c>
      <c r="Y695" s="66" t="str">
        <f>IF(AND($N695=$X$7,$B695&lt;'1331'!$I$9),"x","")</f>
        <v/>
      </c>
      <c r="Z695" s="66" t="str">
        <f>IF(AND($O695=$X$7,$B695&lt;'1331'!$I$9),"x","")</f>
        <v/>
      </c>
      <c r="AA695" s="66" t="str">
        <f>IF(AND('341-CT'!$H$9=H695,OR(LEFT(N695,3)=$AA$7,LEFT(O695,3)=$AA$7)),"x","")</f>
        <v/>
      </c>
      <c r="AB695" s="66" t="str">
        <f>IF(OR(TH!N695=TH!$AB$7,O695=TH!$AB$7),"x","")</f>
        <v/>
      </c>
      <c r="AC695" s="66" t="str">
        <f t="shared" si="62"/>
        <v/>
      </c>
      <c r="AD695" s="66" t="str">
        <f>IF(AND(MONTH(E695)='IN-NX'!$J$5,'IN-NX'!$D$7=D695,OR(LEFT(TH!N695,2)="15",LEFT(TH!O695,2)="15")),"x","")</f>
        <v/>
      </c>
      <c r="AE695" s="66" t="str">
        <f>IF(AND(OR(LEFT(TH!N695,2)="15",LEFT(TH!O695,2)="15"),'152-CT'!$J$8=TH!F695),"x","")</f>
        <v/>
      </c>
      <c r="AF695" s="66" t="str">
        <f>IF(AND(OR(LEFT(TH!N695,2)="15",LEFT(TH!O695,2)="15"),'THE KHO'!$E$7=TH!F695),"x","")</f>
        <v/>
      </c>
      <c r="AG695" s="66" t="str">
        <f>IF(AND(N695="1521",MONTH(C695)='BK NL'!$M$11),"x","")</f>
        <v/>
      </c>
    </row>
    <row r="696" spans="1:33" ht="15.75" hidden="1" customHeight="1">
      <c r="A696" s="397" t="str">
        <f>IF(B696&lt;&gt;"",IF(AND(B696&gt;=_TM1,B696&lt;=_TM2,OR(TH!N696="1111",TH!O696="1111")),TH!D696,""),"")</f>
        <v/>
      </c>
      <c r="B696" s="63" t="str">
        <f t="shared" si="61"/>
        <v/>
      </c>
      <c r="C696" s="64"/>
      <c r="D696" s="64"/>
      <c r="E696" s="64"/>
      <c r="F696" s="67"/>
      <c r="G696" s="375"/>
      <c r="H696" s="74"/>
      <c r="I696" s="514"/>
      <c r="J696" s="514"/>
      <c r="K696" s="506"/>
      <c r="L696" s="514"/>
      <c r="M696" s="65"/>
      <c r="N696" s="66"/>
      <c r="O696" s="66"/>
      <c r="P696" s="66" t="str">
        <f>IF(AND('331-CT'!$E$7=TH!H696,OR(N696="331",O696="331")),"x","")</f>
        <v/>
      </c>
      <c r="Q696" s="66" t="str">
        <f>IF(AND($B696&gt;='111'!$N$11,$B696&lt;='111'!$O$11,OR($N696=$Q$7,$O696=$Q$7)),"x","")</f>
        <v/>
      </c>
      <c r="R696" s="66" t="str">
        <f>IF(AND($N696=$Q$7,$B696&lt;'111'!$N$11),"x","")</f>
        <v/>
      </c>
      <c r="S696" s="66" t="str">
        <f>IF(AND($O696=$Q$7,$B696&lt;'111'!$N$11),"x","")</f>
        <v/>
      </c>
      <c r="T696" s="66" t="str">
        <f>IF(AND($B696&gt;='112'!$M$9,$B696&lt;='112'!$N$9,OR($N696='112'!$I$6,$O696='112'!$I$6)),"x","")</f>
        <v/>
      </c>
      <c r="U696" s="66" t="str">
        <f>IF(AND($N696='112'!$I$6,$B696&lt;'112'!$M$9),"x","")</f>
        <v/>
      </c>
      <c r="V696" s="66" t="str">
        <f>IF(AND($O696='112'!$I$6,$B696&lt;'112'!$M$9),"x","")</f>
        <v/>
      </c>
      <c r="W696" s="66" t="str">
        <f>IF(AND('131-CT'!$H$9=TH!H696,OR(N696="131",O696="131")),"x","")</f>
        <v/>
      </c>
      <c r="X696" s="66" t="str">
        <f>IF(AND($B696&gt;='1331'!$I$9,$B696&lt;='1331'!$J$9,OR($N696=$X$7,$O696=$X$7)),"x","")</f>
        <v/>
      </c>
      <c r="Y696" s="66" t="str">
        <f>IF(AND($N696=$X$7,$B696&lt;'1331'!$I$9),"x","")</f>
        <v/>
      </c>
      <c r="Z696" s="66" t="str">
        <f>IF(AND($O696=$X$7,$B696&lt;'1331'!$I$9),"x","")</f>
        <v/>
      </c>
      <c r="AA696" s="66" t="str">
        <f>IF(AND('341-CT'!$H$9=H696,OR(LEFT(N696,3)=$AA$7,LEFT(O696,3)=$AA$7)),"x","")</f>
        <v/>
      </c>
      <c r="AB696" s="66" t="str">
        <f>IF(OR(TH!N696=TH!$AB$7,O696=TH!$AB$7),"x","")</f>
        <v/>
      </c>
      <c r="AC696" s="66" t="str">
        <f t="shared" si="62"/>
        <v/>
      </c>
      <c r="AD696" s="66" t="str">
        <f>IF(AND(MONTH(E696)='IN-NX'!$J$5,'IN-NX'!$D$7=D696,OR(LEFT(TH!N696,2)="15",LEFT(TH!O696,2)="15")),"x","")</f>
        <v/>
      </c>
      <c r="AE696" s="66" t="str">
        <f>IF(AND(OR(LEFT(TH!N696,2)="15",LEFT(TH!O696,2)="15"),'152-CT'!$J$8=TH!F696),"x","")</f>
        <v/>
      </c>
      <c r="AF696" s="66" t="str">
        <f>IF(AND(OR(LEFT(TH!N696,2)="15",LEFT(TH!O696,2)="15"),'THE KHO'!$E$7=TH!F696),"x","")</f>
        <v/>
      </c>
      <c r="AG696" s="66" t="str">
        <f>IF(AND(N696="1521",MONTH(C696)='BK NL'!$M$11),"x","")</f>
        <v/>
      </c>
    </row>
    <row r="697" spans="1:33" ht="15.75" hidden="1" customHeight="1">
      <c r="A697" s="397" t="str">
        <f>IF(B697&lt;&gt;"",IF(AND(B697&gt;=_TM1,B697&lt;=_TM2,OR(TH!N697="1111",TH!O697="1111")),TH!D697,""),"")</f>
        <v/>
      </c>
      <c r="B697" s="63" t="str">
        <f t="shared" si="61"/>
        <v/>
      </c>
      <c r="C697" s="64"/>
      <c r="D697" s="64"/>
      <c r="E697" s="64"/>
      <c r="F697" s="67"/>
      <c r="G697" s="361"/>
      <c r="H697" s="74"/>
      <c r="I697" s="514"/>
      <c r="J697" s="514"/>
      <c r="K697" s="506"/>
      <c r="L697" s="514"/>
      <c r="M697" s="65"/>
      <c r="N697" s="66"/>
      <c r="O697" s="66"/>
      <c r="P697" s="66" t="str">
        <f>IF(AND('331-CT'!$E$7=TH!H697,OR(N697="331",O697="331")),"x","")</f>
        <v/>
      </c>
      <c r="Q697" s="66" t="str">
        <f>IF(AND($B697&gt;='111'!$N$11,$B697&lt;='111'!$O$11,OR($N697=$Q$7,$O697=$Q$7)),"x","")</f>
        <v/>
      </c>
      <c r="R697" s="66" t="str">
        <f>IF(AND($N697=$Q$7,$B697&lt;'111'!$N$11),"x","")</f>
        <v/>
      </c>
      <c r="S697" s="66" t="str">
        <f>IF(AND($O697=$Q$7,$B697&lt;'111'!$N$11),"x","")</f>
        <v/>
      </c>
      <c r="T697" s="66" t="str">
        <f>IF(AND($B697&gt;='112'!$M$9,$B697&lt;='112'!$N$9,OR($N697='112'!$I$6,$O697='112'!$I$6)),"x","")</f>
        <v/>
      </c>
      <c r="U697" s="66" t="str">
        <f>IF(AND($N697='112'!$I$6,$B697&lt;'112'!$M$9),"x","")</f>
        <v/>
      </c>
      <c r="V697" s="66" t="str">
        <f>IF(AND($O697='112'!$I$6,$B697&lt;'112'!$M$9),"x","")</f>
        <v/>
      </c>
      <c r="W697" s="66" t="str">
        <f>IF(AND('131-CT'!$H$9=TH!H697,OR(N697="131",O697="131")),"x","")</f>
        <v/>
      </c>
      <c r="X697" s="66" t="str">
        <f>IF(AND($B697&gt;='1331'!$I$9,$B697&lt;='1331'!$J$9,OR($N697=$X$7,$O697=$X$7)),"x","")</f>
        <v/>
      </c>
      <c r="Y697" s="66" t="str">
        <f>IF(AND($N697=$X$7,$B697&lt;'1331'!$I$9),"x","")</f>
        <v/>
      </c>
      <c r="Z697" s="66" t="str">
        <f>IF(AND($O697=$X$7,$B697&lt;'1331'!$I$9),"x","")</f>
        <v/>
      </c>
      <c r="AA697" s="66" t="str">
        <f>IF(AND('341-CT'!$H$9=H697,OR(LEFT(N697,3)=$AA$7,LEFT(O697,3)=$AA$7)),"x","")</f>
        <v/>
      </c>
      <c r="AB697" s="66" t="str">
        <f>IF(OR(TH!N697=TH!$AB$7,O697=TH!$AB$7),"x","")</f>
        <v/>
      </c>
      <c r="AC697" s="66" t="str">
        <f t="shared" si="62"/>
        <v/>
      </c>
      <c r="AD697" s="66" t="str">
        <f>IF(AND(MONTH(E697)='IN-NX'!$J$5,'IN-NX'!$D$7=D697,OR(LEFT(TH!N697,2)="15",LEFT(TH!O697,2)="15")),"x","")</f>
        <v/>
      </c>
      <c r="AE697" s="66" t="str">
        <f>IF(AND(OR(LEFT(TH!N697,2)="15",LEFT(TH!O697,2)="15"),'152-CT'!$J$8=TH!F697),"x","")</f>
        <v/>
      </c>
      <c r="AF697" s="66" t="str">
        <f>IF(AND(OR(LEFT(TH!N697,2)="15",LEFT(TH!O697,2)="15"),'THE KHO'!$E$7=TH!F697),"x","")</f>
        <v/>
      </c>
      <c r="AG697" s="66" t="str">
        <f>IF(AND(N697="1521",MONTH(C697)='BK NL'!$M$11),"x","")</f>
        <v/>
      </c>
    </row>
    <row r="698" spans="1:33" ht="15.75" hidden="1" customHeight="1">
      <c r="A698" s="397" t="str">
        <f>IF(B698&lt;&gt;"",IF(AND(B698&gt;=_TM1,B698&lt;=_TM2,OR(TH!N698="1111",TH!O698="1111")),TH!D698,""),"")</f>
        <v/>
      </c>
      <c r="B698" s="63" t="str">
        <f t="shared" si="61"/>
        <v/>
      </c>
      <c r="C698" s="64"/>
      <c r="D698" s="64"/>
      <c r="E698" s="64"/>
      <c r="F698" s="67"/>
      <c r="G698" s="361"/>
      <c r="H698" s="74"/>
      <c r="I698" s="514"/>
      <c r="J698" s="514"/>
      <c r="K698" s="506"/>
      <c r="L698" s="514"/>
      <c r="M698" s="65"/>
      <c r="N698" s="66"/>
      <c r="O698" s="66"/>
      <c r="P698" s="66" t="str">
        <f>IF(AND('331-CT'!$E$7=TH!H698,OR(N698="331",O698="331")),"x","")</f>
        <v/>
      </c>
      <c r="Q698" s="66" t="str">
        <f>IF(AND($B698&gt;='111'!$N$11,$B698&lt;='111'!$O$11,OR($N698=$Q$7,$O698=$Q$7)),"x","")</f>
        <v/>
      </c>
      <c r="R698" s="66" t="str">
        <f>IF(AND($N698=$Q$7,$B698&lt;'111'!$N$11),"x","")</f>
        <v/>
      </c>
      <c r="S698" s="66" t="str">
        <f>IF(AND($O698=$Q$7,$B698&lt;'111'!$N$11),"x","")</f>
        <v/>
      </c>
      <c r="T698" s="66" t="str">
        <f>IF(AND($B698&gt;='112'!$M$9,$B698&lt;='112'!$N$9,OR($N698='112'!$I$6,$O698='112'!$I$6)),"x","")</f>
        <v/>
      </c>
      <c r="U698" s="66" t="str">
        <f>IF(AND($N698='112'!$I$6,$B698&lt;'112'!$M$9),"x","")</f>
        <v/>
      </c>
      <c r="V698" s="66" t="str">
        <f>IF(AND($O698='112'!$I$6,$B698&lt;'112'!$M$9),"x","")</f>
        <v/>
      </c>
      <c r="W698" s="66" t="str">
        <f>IF(AND('131-CT'!$H$9=TH!H698,OR(N698="131",O698="131")),"x","")</f>
        <v/>
      </c>
      <c r="X698" s="66" t="str">
        <f>IF(AND($B698&gt;='1331'!$I$9,$B698&lt;='1331'!$J$9,OR($N698=$X$7,$O698=$X$7)),"x","")</f>
        <v/>
      </c>
      <c r="Y698" s="66" t="str">
        <f>IF(AND($N698=$X$7,$B698&lt;'1331'!$I$9),"x","")</f>
        <v/>
      </c>
      <c r="Z698" s="66" t="str">
        <f>IF(AND($O698=$X$7,$B698&lt;'1331'!$I$9),"x","")</f>
        <v/>
      </c>
      <c r="AA698" s="66" t="str">
        <f>IF(AND('341-CT'!$H$9=H698,OR(LEFT(N698,3)=$AA$7,LEFT(O698,3)=$AA$7)),"x","")</f>
        <v/>
      </c>
      <c r="AB698" s="66" t="str">
        <f>IF(OR(TH!N698=TH!$AB$7,O698=TH!$AB$7),"x","")</f>
        <v/>
      </c>
      <c r="AC698" s="66" t="str">
        <f t="shared" si="62"/>
        <v/>
      </c>
      <c r="AD698" s="66" t="str">
        <f>IF(AND(MONTH(E698)='IN-NX'!$J$5,'IN-NX'!$D$7=D698,OR(LEFT(TH!N698,2)="15",LEFT(TH!O698,2)="15")),"x","")</f>
        <v/>
      </c>
      <c r="AE698" s="66" t="str">
        <f>IF(AND(OR(LEFT(TH!N698,2)="15",LEFT(TH!O698,2)="15"),'152-CT'!$J$8=TH!F698),"x","")</f>
        <v/>
      </c>
      <c r="AF698" s="66" t="str">
        <f>IF(AND(OR(LEFT(TH!N698,2)="15",LEFT(TH!O698,2)="15"),'THE KHO'!$E$7=TH!F698),"x","")</f>
        <v/>
      </c>
      <c r="AG698" s="66" t="str">
        <f>IF(AND(N698="1521",MONTH(C698)='BK NL'!$M$11),"x","")</f>
        <v/>
      </c>
    </row>
    <row r="699" spans="1:33" ht="15.75" hidden="1" customHeight="1">
      <c r="A699" s="397" t="str">
        <f>IF(B699&lt;&gt;"",IF(AND(B699&gt;=_TM1,B699&lt;=_TM2,OR(TH!N699="1111",TH!O699="1111")),TH!D699,""),"")</f>
        <v/>
      </c>
      <c r="B699" s="63" t="str">
        <f t="shared" si="61"/>
        <v/>
      </c>
      <c r="C699" s="64"/>
      <c r="D699" s="64"/>
      <c r="E699" s="64"/>
      <c r="F699" s="67"/>
      <c r="G699" s="361"/>
      <c r="H699" s="74"/>
      <c r="I699" s="514"/>
      <c r="J699" s="514"/>
      <c r="K699" s="506"/>
      <c r="L699" s="514"/>
      <c r="M699" s="65"/>
      <c r="N699" s="66"/>
      <c r="O699" s="66"/>
      <c r="P699" s="66" t="str">
        <f>IF(AND('331-CT'!$E$7=TH!H699,OR(N699="331",O699="331")),"x","")</f>
        <v/>
      </c>
      <c r="Q699" s="66" t="str">
        <f>IF(AND($B699&gt;='111'!$N$11,$B699&lt;='111'!$O$11,OR($N699=$Q$7,$O699=$Q$7)),"x","")</f>
        <v/>
      </c>
      <c r="R699" s="66" t="str">
        <f>IF(AND($N699=$Q$7,$B699&lt;'111'!$N$11),"x","")</f>
        <v/>
      </c>
      <c r="S699" s="66" t="str">
        <f>IF(AND($O699=$Q$7,$B699&lt;'111'!$N$11),"x","")</f>
        <v/>
      </c>
      <c r="T699" s="66" t="str">
        <f>IF(AND($B699&gt;='112'!$M$9,$B699&lt;='112'!$N$9,OR($N699='112'!$I$6,$O699='112'!$I$6)),"x","")</f>
        <v/>
      </c>
      <c r="U699" s="66" t="str">
        <f>IF(AND($N699='112'!$I$6,$B699&lt;'112'!$M$9),"x","")</f>
        <v/>
      </c>
      <c r="V699" s="66" t="str">
        <f>IF(AND($O699='112'!$I$6,$B699&lt;'112'!$M$9),"x","")</f>
        <v/>
      </c>
      <c r="W699" s="66" t="str">
        <f>IF(AND('131-CT'!$H$9=TH!H699,OR(N699="131",O699="131")),"x","")</f>
        <v/>
      </c>
      <c r="X699" s="66" t="str">
        <f>IF(AND($B699&gt;='1331'!$I$9,$B699&lt;='1331'!$J$9,OR($N699=$X$7,$O699=$X$7)),"x","")</f>
        <v/>
      </c>
      <c r="Y699" s="66" t="str">
        <f>IF(AND($N699=$X$7,$B699&lt;'1331'!$I$9),"x","")</f>
        <v/>
      </c>
      <c r="Z699" s="66" t="str">
        <f>IF(AND($O699=$X$7,$B699&lt;'1331'!$I$9),"x","")</f>
        <v/>
      </c>
      <c r="AA699" s="66" t="str">
        <f>IF(AND('341-CT'!$H$9=H699,OR(LEFT(N699,3)=$AA$7,LEFT(O699,3)=$AA$7)),"x","")</f>
        <v/>
      </c>
      <c r="AB699" s="66" t="str">
        <f>IF(OR(TH!N699=TH!$AB$7,O699=TH!$AB$7),"x","")</f>
        <v/>
      </c>
      <c r="AC699" s="66" t="str">
        <f t="shared" si="62"/>
        <v/>
      </c>
      <c r="AD699" s="66" t="str">
        <f>IF(AND(MONTH(E699)='IN-NX'!$J$5,'IN-NX'!$D$7=D699,OR(LEFT(TH!N699,2)="15",LEFT(TH!O699,2)="15")),"x","")</f>
        <v/>
      </c>
      <c r="AE699" s="66" t="str">
        <f>IF(AND(OR(LEFT(TH!N699,2)="15",LEFT(TH!O699,2)="15"),'152-CT'!$J$8=TH!F699),"x","")</f>
        <v/>
      </c>
      <c r="AF699" s="66" t="str">
        <f>IF(AND(OR(LEFT(TH!N699,2)="15",LEFT(TH!O699,2)="15"),'THE KHO'!$E$7=TH!F699),"x","")</f>
        <v/>
      </c>
      <c r="AG699" s="66" t="str">
        <f>IF(AND(N699="1521",MONTH(C699)='BK NL'!$M$11),"x","")</f>
        <v/>
      </c>
    </row>
    <row r="700" spans="1:33" ht="15.75" hidden="1" customHeight="1">
      <c r="A700" s="397" t="str">
        <f>IF(B700&lt;&gt;"",IF(AND(B700&gt;=_TM1,B700&lt;=_TM2,OR(TH!N700="1111",TH!O700="1111")),TH!D700,""),"")</f>
        <v/>
      </c>
      <c r="B700" s="63" t="str">
        <f t="shared" si="61"/>
        <v/>
      </c>
      <c r="C700" s="64"/>
      <c r="D700" s="64"/>
      <c r="E700" s="64"/>
      <c r="F700" s="67"/>
      <c r="G700" s="361"/>
      <c r="H700" s="404"/>
      <c r="I700" s="515"/>
      <c r="J700" s="515"/>
      <c r="K700" s="507"/>
      <c r="L700" s="515"/>
      <c r="M700" s="65"/>
      <c r="N700" s="66"/>
      <c r="O700" s="66"/>
      <c r="P700" s="66" t="str">
        <f>IF(AND('331-CT'!$E$7=TH!H700,OR(N700="331",O700="331")),"x","")</f>
        <v/>
      </c>
      <c r="Q700" s="66" t="str">
        <f>IF(AND($B700&gt;='111'!$N$11,$B700&lt;='111'!$O$11,OR($N700=$Q$7,$O700=$Q$7)),"x","")</f>
        <v/>
      </c>
      <c r="R700" s="66" t="str">
        <f>IF(AND($N700=$Q$7,$B700&lt;'111'!$N$11),"x","")</f>
        <v/>
      </c>
      <c r="S700" s="66" t="str">
        <f>IF(AND($O700=$Q$7,$B700&lt;'111'!$N$11),"x","")</f>
        <v/>
      </c>
      <c r="T700" s="66" t="str">
        <f>IF(AND($B700&gt;='112'!$M$9,$B700&lt;='112'!$N$9,OR($N700='112'!$I$6,$O700='112'!$I$6)),"x","")</f>
        <v/>
      </c>
      <c r="U700" s="66" t="str">
        <f>IF(AND($N700='112'!$I$6,$B700&lt;'112'!$M$9),"x","")</f>
        <v/>
      </c>
      <c r="V700" s="66" t="str">
        <f>IF(AND($O700='112'!$I$6,$B700&lt;'112'!$M$9),"x","")</f>
        <v/>
      </c>
      <c r="W700" s="66" t="str">
        <f>IF(AND('131-CT'!$H$9=TH!H700,OR(N700="131",O700="131")),"x","")</f>
        <v/>
      </c>
      <c r="X700" s="66" t="str">
        <f>IF(AND($B700&gt;='1331'!$I$9,$B700&lt;='1331'!$J$9,OR($N700=$X$7,$O700=$X$7)),"x","")</f>
        <v/>
      </c>
      <c r="Y700" s="66" t="str">
        <f>IF(AND($N700=$X$7,$B700&lt;'1331'!$I$9),"x","")</f>
        <v/>
      </c>
      <c r="Z700" s="66" t="str">
        <f>IF(AND($O700=$X$7,$B700&lt;'1331'!$I$9),"x","")</f>
        <v/>
      </c>
      <c r="AA700" s="66" t="str">
        <f>IF(AND('341-CT'!$H$9=H700,OR(LEFT(N700,3)=$AA$7,LEFT(O700,3)=$AA$7)),"x","")</f>
        <v/>
      </c>
      <c r="AB700" s="66" t="str">
        <f>IF(OR(TH!N700=TH!$AB$7,O700=TH!$AB$7),"x","")</f>
        <v/>
      </c>
      <c r="AC700" s="66" t="str">
        <f t="shared" si="62"/>
        <v/>
      </c>
      <c r="AD700" s="66" t="str">
        <f>IF(AND(MONTH(E700)='IN-NX'!$J$5,'IN-NX'!$D$7=D700,OR(LEFT(TH!N700,2)="15",LEFT(TH!O700,2)="15")),"x","")</f>
        <v/>
      </c>
      <c r="AE700" s="66" t="str">
        <f>IF(AND(OR(LEFT(TH!N700,2)="15",LEFT(TH!O700,2)="15"),'152-CT'!$J$8=TH!F700),"x","")</f>
        <v/>
      </c>
      <c r="AF700" s="66" t="str">
        <f>IF(AND(OR(LEFT(TH!N700,2)="15",LEFT(TH!O700,2)="15"),'THE KHO'!$E$7=TH!F700),"x","")</f>
        <v/>
      </c>
      <c r="AG700" s="66" t="str">
        <f>IF(AND(N700="1521",MONTH(C700)='BK NL'!$M$11),"x","")</f>
        <v/>
      </c>
    </row>
    <row r="701" spans="1:33" ht="15.75" hidden="1" customHeight="1">
      <c r="A701" s="397" t="str">
        <f>IF(B701&lt;&gt;"",IF(AND(B701&gt;=_TM1,B701&lt;=_TM2,OR(TH!N701="1111",TH!O701="1111")),TH!D701,""),"")</f>
        <v/>
      </c>
      <c r="B701" s="63" t="str">
        <f t="shared" si="61"/>
        <v/>
      </c>
      <c r="C701" s="64"/>
      <c r="D701" s="64"/>
      <c r="E701" s="64"/>
      <c r="F701" s="67"/>
      <c r="G701" s="361"/>
      <c r="H701" s="74"/>
      <c r="I701" s="514"/>
      <c r="J701" s="514"/>
      <c r="K701" s="506"/>
      <c r="L701" s="514"/>
      <c r="M701" s="65"/>
      <c r="N701" s="66"/>
      <c r="O701" s="66"/>
      <c r="P701" s="66" t="str">
        <f>IF(AND('331-CT'!$E$7=TH!H701,OR(N701="331",O701="331")),"x","")</f>
        <v/>
      </c>
      <c r="Q701" s="66" t="str">
        <f>IF(AND($B701&gt;='111'!$N$11,$B701&lt;='111'!$O$11,OR($N701=$Q$7,$O701=$Q$7)),"x","")</f>
        <v/>
      </c>
      <c r="R701" s="66" t="str">
        <f>IF(AND($N701=$Q$7,$B701&lt;'111'!$N$11),"x","")</f>
        <v/>
      </c>
      <c r="S701" s="66" t="str">
        <f>IF(AND($O701=$Q$7,$B701&lt;'111'!$N$11),"x","")</f>
        <v/>
      </c>
      <c r="T701" s="66" t="str">
        <f>IF(AND($B701&gt;='112'!$M$9,$B701&lt;='112'!$N$9,OR($N701='112'!$I$6,$O701='112'!$I$6)),"x","")</f>
        <v/>
      </c>
      <c r="U701" s="66" t="str">
        <f>IF(AND($N701='112'!$I$6,$B701&lt;'112'!$M$9),"x","")</f>
        <v/>
      </c>
      <c r="V701" s="66" t="str">
        <f>IF(AND($O701='112'!$I$6,$B701&lt;'112'!$M$9),"x","")</f>
        <v/>
      </c>
      <c r="W701" s="66" t="str">
        <f>IF(AND('131-CT'!$H$9=TH!H701,OR(N701="131",O701="131")),"x","")</f>
        <v/>
      </c>
      <c r="X701" s="66" t="str">
        <f>IF(AND($B701&gt;='1331'!$I$9,$B701&lt;='1331'!$J$9,OR($N701=$X$7,$O701=$X$7)),"x","")</f>
        <v/>
      </c>
      <c r="Y701" s="66" t="str">
        <f>IF(AND($N701=$X$7,$B701&lt;'1331'!$I$9),"x","")</f>
        <v/>
      </c>
      <c r="Z701" s="66" t="str">
        <f>IF(AND($O701=$X$7,$B701&lt;'1331'!$I$9),"x","")</f>
        <v/>
      </c>
      <c r="AA701" s="66" t="str">
        <f>IF(AND('341-CT'!$H$9=H701,OR(LEFT(N701,3)=$AA$7,LEFT(O701,3)=$AA$7)),"x","")</f>
        <v/>
      </c>
      <c r="AB701" s="66" t="str">
        <f>IF(OR(TH!N701=TH!$AB$7,O701=TH!$AB$7),"x","")</f>
        <v/>
      </c>
      <c r="AC701" s="66" t="str">
        <f t="shared" si="62"/>
        <v/>
      </c>
      <c r="AD701" s="66" t="str">
        <f>IF(AND(MONTH(E701)='IN-NX'!$J$5,'IN-NX'!$D$7=D701,OR(LEFT(TH!N701,2)="15",LEFT(TH!O701,2)="15")),"x","")</f>
        <v/>
      </c>
      <c r="AE701" s="66" t="str">
        <f>IF(AND(OR(LEFT(TH!N701,2)="15",LEFT(TH!O701,2)="15"),'152-CT'!$J$8=TH!F701),"x","")</f>
        <v/>
      </c>
      <c r="AF701" s="66" t="str">
        <f>IF(AND(OR(LEFT(TH!N701,2)="15",LEFT(TH!O701,2)="15"),'THE KHO'!$E$7=TH!F701),"x","")</f>
        <v/>
      </c>
      <c r="AG701" s="66" t="str">
        <f>IF(AND(N701="1521",MONTH(C701)='BK NL'!$M$11),"x","")</f>
        <v/>
      </c>
    </row>
    <row r="702" spans="1:33" ht="15.75" hidden="1" customHeight="1">
      <c r="A702" s="397" t="str">
        <f>IF(B702&lt;&gt;"",IF(AND(B702&gt;=_TM1,B702&lt;=_TM2,OR(TH!N702="1111",TH!O702="1111")),TH!D702,""),"")</f>
        <v/>
      </c>
      <c r="B702" s="63" t="str">
        <f t="shared" si="61"/>
        <v/>
      </c>
      <c r="C702" s="64"/>
      <c r="D702" s="64"/>
      <c r="E702" s="64"/>
      <c r="F702" s="67"/>
      <c r="G702" s="361"/>
      <c r="H702" s="74"/>
      <c r="I702" s="514"/>
      <c r="J702" s="514"/>
      <c r="K702" s="506"/>
      <c r="L702" s="514"/>
      <c r="M702" s="65"/>
      <c r="N702" s="66"/>
      <c r="O702" s="66"/>
      <c r="P702" s="66" t="str">
        <f>IF(AND('331-CT'!$E$7=TH!H702,OR(N702="331",O702="331")),"x","")</f>
        <v/>
      </c>
      <c r="Q702" s="66" t="str">
        <f>IF(AND($B702&gt;='111'!$N$11,$B702&lt;='111'!$O$11,OR($N702=$Q$7,$O702=$Q$7)),"x","")</f>
        <v/>
      </c>
      <c r="R702" s="66" t="str">
        <f>IF(AND($N702=$Q$7,$B702&lt;'111'!$N$11),"x","")</f>
        <v/>
      </c>
      <c r="S702" s="66" t="str">
        <f>IF(AND($O702=$Q$7,$B702&lt;'111'!$N$11),"x","")</f>
        <v/>
      </c>
      <c r="T702" s="66" t="str">
        <f>IF(AND($B702&gt;='112'!$M$9,$B702&lt;='112'!$N$9,OR($N702='112'!$I$6,$O702='112'!$I$6)),"x","")</f>
        <v/>
      </c>
      <c r="U702" s="66" t="str">
        <f>IF(AND($N702='112'!$I$6,$B702&lt;'112'!$M$9),"x","")</f>
        <v/>
      </c>
      <c r="V702" s="66" t="str">
        <f>IF(AND($O702='112'!$I$6,$B702&lt;'112'!$M$9),"x","")</f>
        <v/>
      </c>
      <c r="W702" s="66" t="str">
        <f>IF(AND('131-CT'!$H$9=TH!H702,OR(N702="131",O702="131")),"x","")</f>
        <v/>
      </c>
      <c r="X702" s="66" t="str">
        <f>IF(AND($B702&gt;='1331'!$I$9,$B702&lt;='1331'!$J$9,OR($N702=$X$7,$O702=$X$7)),"x","")</f>
        <v/>
      </c>
      <c r="Y702" s="66" t="str">
        <f>IF(AND($N702=$X$7,$B702&lt;'1331'!$I$9),"x","")</f>
        <v/>
      </c>
      <c r="Z702" s="66" t="str">
        <f>IF(AND($O702=$X$7,$B702&lt;'1331'!$I$9),"x","")</f>
        <v/>
      </c>
      <c r="AA702" s="66" t="str">
        <f>IF(AND('341-CT'!$H$9=H702,OR(LEFT(N702,3)=$AA$7,LEFT(O702,3)=$AA$7)),"x","")</f>
        <v/>
      </c>
      <c r="AB702" s="66" t="str">
        <f>IF(OR(TH!N702=TH!$AB$7,O702=TH!$AB$7),"x","")</f>
        <v/>
      </c>
      <c r="AC702" s="66" t="str">
        <f t="shared" si="62"/>
        <v/>
      </c>
      <c r="AD702" s="66" t="str">
        <f>IF(AND(MONTH(E702)='IN-NX'!$J$5,'IN-NX'!$D$7=D702,OR(LEFT(TH!N702,2)="15",LEFT(TH!O702,2)="15")),"x","")</f>
        <v/>
      </c>
      <c r="AE702" s="66" t="str">
        <f>IF(AND(OR(LEFT(TH!N702,2)="15",LEFT(TH!O702,2)="15"),'152-CT'!$J$8=TH!F702),"x","")</f>
        <v/>
      </c>
      <c r="AF702" s="66" t="str">
        <f>IF(AND(OR(LEFT(TH!N702,2)="15",LEFT(TH!O702,2)="15"),'THE KHO'!$E$7=TH!F702),"x","")</f>
        <v/>
      </c>
      <c r="AG702" s="66" t="str">
        <f>IF(AND(N702="1521",MONTH(C702)='BK NL'!$M$11),"x","")</f>
        <v/>
      </c>
    </row>
    <row r="703" spans="1:33" ht="15.75" hidden="1" customHeight="1">
      <c r="A703" s="397" t="str">
        <f>IF(B703&lt;&gt;"",IF(AND(B703&gt;=_TM1,B703&lt;=_TM2,OR(TH!N703="1111",TH!O703="1111")),TH!D703,""),"")</f>
        <v/>
      </c>
      <c r="B703" s="63" t="str">
        <f t="shared" si="61"/>
        <v/>
      </c>
      <c r="C703" s="64"/>
      <c r="D703" s="64"/>
      <c r="E703" s="64"/>
      <c r="F703" s="67"/>
      <c r="G703" s="375"/>
      <c r="H703" s="74"/>
      <c r="I703" s="514"/>
      <c r="J703" s="514"/>
      <c r="K703" s="506"/>
      <c r="L703" s="514"/>
      <c r="M703" s="65"/>
      <c r="N703" s="385"/>
      <c r="O703" s="66"/>
      <c r="P703" s="66" t="str">
        <f>IF(AND('331-CT'!$E$7=TH!H703,OR(N703="331",O703="331")),"x","")</f>
        <v/>
      </c>
      <c r="Q703" s="66" t="str">
        <f>IF(AND($B703&gt;='111'!$N$11,$B703&lt;='111'!$O$11,OR($N703=$Q$7,$O703=$Q$7)),"x","")</f>
        <v/>
      </c>
      <c r="R703" s="66" t="str">
        <f>IF(AND($N703=$Q$7,$B703&lt;'111'!$N$11),"x","")</f>
        <v/>
      </c>
      <c r="S703" s="66" t="str">
        <f>IF(AND($O703=$Q$7,$B703&lt;'111'!$N$11),"x","")</f>
        <v/>
      </c>
      <c r="T703" s="66" t="str">
        <f>IF(AND($B703&gt;='112'!$M$9,$B703&lt;='112'!$N$9,OR($N703='112'!$I$6,$O703='112'!$I$6)),"x","")</f>
        <v/>
      </c>
      <c r="U703" s="66" t="str">
        <f>IF(AND($N703='112'!$I$6,$B703&lt;'112'!$M$9),"x","")</f>
        <v/>
      </c>
      <c r="V703" s="66" t="str">
        <f>IF(AND($O703='112'!$I$6,$B703&lt;'112'!$M$9),"x","")</f>
        <v/>
      </c>
      <c r="W703" s="66" t="str">
        <f>IF(AND('131-CT'!$H$9=TH!H703,OR(N703="131",O703="131")),"x","")</f>
        <v/>
      </c>
      <c r="X703" s="66" t="str">
        <f>IF(AND($B703&gt;='1331'!$I$9,$B703&lt;='1331'!$J$9,OR($N703=$X$7,$O703=$X$7)),"x","")</f>
        <v/>
      </c>
      <c r="Y703" s="66" t="str">
        <f>IF(AND($N703=$X$7,$B703&lt;'1331'!$I$9),"x","")</f>
        <v/>
      </c>
      <c r="Z703" s="66" t="str">
        <f>IF(AND($O703=$X$7,$B703&lt;'1331'!$I$9),"x","")</f>
        <v/>
      </c>
      <c r="AA703" s="66" t="str">
        <f>IF(AND('341-CT'!$H$9=H703,OR(LEFT(N703,3)=$AA$7,LEFT(O703,3)=$AA$7)),"x","")</f>
        <v/>
      </c>
      <c r="AB703" s="66" t="str">
        <f>IF(OR(TH!N703=TH!$AB$7,O703=TH!$AB$7),"x","")</f>
        <v/>
      </c>
      <c r="AC703" s="66" t="str">
        <f t="shared" si="62"/>
        <v/>
      </c>
      <c r="AD703" s="66" t="str">
        <f>IF(AND(MONTH(E703)='IN-NX'!$J$5,'IN-NX'!$D$7=D703,OR(LEFT(TH!N703,2)="15",LEFT(TH!O703,2)="15")),"x","")</f>
        <v/>
      </c>
      <c r="AE703" s="66" t="str">
        <f>IF(AND(OR(LEFT(TH!N703,2)="15",LEFT(TH!O703,2)="15"),'152-CT'!$J$8=TH!F703),"x","")</f>
        <v/>
      </c>
      <c r="AF703" s="66" t="str">
        <f>IF(AND(OR(LEFT(TH!N703,2)="15",LEFT(TH!O703,2)="15"),'THE KHO'!$E$7=TH!F703),"x","")</f>
        <v/>
      </c>
      <c r="AG703" s="66" t="str">
        <f>IF(AND(N703="1521",MONTH(C703)='BK NL'!$M$11),"x","")</f>
        <v/>
      </c>
    </row>
    <row r="704" spans="1:33" ht="15.75" hidden="1" customHeight="1">
      <c r="A704" s="397" t="str">
        <f>IF(B704&lt;&gt;"",IF(AND(B704&gt;=_TM1,B704&lt;=_TM2,OR(TH!N704="1111",TH!O704="1111")),TH!D704,""),"")</f>
        <v/>
      </c>
      <c r="B704" s="63" t="str">
        <f t="shared" si="61"/>
        <v/>
      </c>
      <c r="C704" s="64"/>
      <c r="D704" s="64"/>
      <c r="E704" s="64"/>
      <c r="F704" s="67"/>
      <c r="G704" s="375"/>
      <c r="H704" s="74"/>
      <c r="I704" s="514"/>
      <c r="J704" s="514"/>
      <c r="K704" s="506"/>
      <c r="L704" s="514"/>
      <c r="M704" s="65"/>
      <c r="N704" s="385"/>
      <c r="O704" s="66"/>
      <c r="P704" s="66" t="str">
        <f>IF(AND('331-CT'!$E$7=TH!H704,OR(N704="331",O704="331")),"x","")</f>
        <v/>
      </c>
      <c r="Q704" s="66" t="str">
        <f>IF(AND($B704&gt;='111'!$N$11,$B704&lt;='111'!$O$11,OR($N704=$Q$7,$O704=$Q$7)),"x","")</f>
        <v/>
      </c>
      <c r="R704" s="66" t="str">
        <f>IF(AND($N704=$Q$7,$B704&lt;'111'!$N$11),"x","")</f>
        <v/>
      </c>
      <c r="S704" s="66" t="str">
        <f>IF(AND($O704=$Q$7,$B704&lt;'111'!$N$11),"x","")</f>
        <v/>
      </c>
      <c r="T704" s="66" t="str">
        <f>IF(AND($B704&gt;='112'!$M$9,$B704&lt;='112'!$N$9,OR($N704='112'!$I$6,$O704='112'!$I$6)),"x","")</f>
        <v/>
      </c>
      <c r="U704" s="66" t="str">
        <f>IF(AND($N704='112'!$I$6,$B704&lt;'112'!$M$9),"x","")</f>
        <v/>
      </c>
      <c r="V704" s="66" t="str">
        <f>IF(AND($O704='112'!$I$6,$B704&lt;'112'!$M$9),"x","")</f>
        <v/>
      </c>
      <c r="W704" s="66" t="str">
        <f>IF(AND('131-CT'!$H$9=TH!H704,OR(N704="131",O704="131")),"x","")</f>
        <v/>
      </c>
      <c r="X704" s="66" t="str">
        <f>IF(AND($B704&gt;='1331'!$I$9,$B704&lt;='1331'!$J$9,OR($N704=$X$7,$O704=$X$7)),"x","")</f>
        <v/>
      </c>
      <c r="Y704" s="66" t="str">
        <f>IF(AND($N704=$X$7,$B704&lt;'1331'!$I$9),"x","")</f>
        <v/>
      </c>
      <c r="Z704" s="66" t="str">
        <f>IF(AND($O704=$X$7,$B704&lt;'1331'!$I$9),"x","")</f>
        <v/>
      </c>
      <c r="AA704" s="66" t="str">
        <f>IF(AND('341-CT'!$H$9=H704,OR(LEFT(N704,3)=$AA$7,LEFT(O704,3)=$AA$7)),"x","")</f>
        <v/>
      </c>
      <c r="AB704" s="66" t="str">
        <f>IF(OR(TH!N704=TH!$AB$7,O704=TH!$AB$7),"x","")</f>
        <v/>
      </c>
      <c r="AC704" s="66" t="str">
        <f t="shared" si="62"/>
        <v/>
      </c>
      <c r="AD704" s="66" t="str">
        <f>IF(AND(MONTH(E704)='IN-NX'!$J$5,'IN-NX'!$D$7=D704,OR(LEFT(TH!N704,2)="15",LEFT(TH!O704,2)="15")),"x","")</f>
        <v/>
      </c>
      <c r="AE704" s="66" t="str">
        <f>IF(AND(OR(LEFT(TH!N704,2)="15",LEFT(TH!O704,2)="15"),'152-CT'!$J$8=TH!F704),"x","")</f>
        <v/>
      </c>
      <c r="AF704" s="66" t="str">
        <f>IF(AND(OR(LEFT(TH!N704,2)="15",LEFT(TH!O704,2)="15"),'THE KHO'!$E$7=TH!F704),"x","")</f>
        <v/>
      </c>
      <c r="AG704" s="66" t="str">
        <f>IF(AND(N704="1521",MONTH(C704)='BK NL'!$M$11),"x","")</f>
        <v/>
      </c>
    </row>
    <row r="705" spans="1:33" ht="15.75" hidden="1" customHeight="1">
      <c r="A705" s="397" t="str">
        <f>IF(B705&lt;&gt;"",IF(AND(B705&gt;=_TM1,B705&lt;=_TM2,OR(TH!N705="1111",TH!O705="1111")),TH!D705,""),"")</f>
        <v/>
      </c>
      <c r="B705" s="63" t="str">
        <f t="shared" si="61"/>
        <v/>
      </c>
      <c r="C705" s="64"/>
      <c r="D705" s="64"/>
      <c r="E705" s="64"/>
      <c r="F705" s="67"/>
      <c r="G705" s="375"/>
      <c r="H705" s="74"/>
      <c r="I705" s="514"/>
      <c r="J705" s="514"/>
      <c r="K705" s="506"/>
      <c r="L705" s="514"/>
      <c r="M705" s="65"/>
      <c r="N705" s="365"/>
      <c r="O705" s="66"/>
      <c r="P705" s="66" t="str">
        <f>IF(AND('331-CT'!$E$7=TH!H705,OR(N705="331",O705="331")),"x","")</f>
        <v/>
      </c>
      <c r="Q705" s="66" t="str">
        <f>IF(AND($B705&gt;='111'!$N$11,$B705&lt;='111'!$O$11,OR($N705=$Q$7,$O705=$Q$7)),"x","")</f>
        <v/>
      </c>
      <c r="R705" s="66" t="str">
        <f>IF(AND($N705=$Q$7,$B705&lt;'111'!$N$11),"x","")</f>
        <v/>
      </c>
      <c r="S705" s="66" t="str">
        <f>IF(AND($O705=$Q$7,$B705&lt;'111'!$N$11),"x","")</f>
        <v/>
      </c>
      <c r="T705" s="66" t="str">
        <f>IF(AND($B705&gt;='112'!$M$9,$B705&lt;='112'!$N$9,OR($N705='112'!$I$6,$O705='112'!$I$6)),"x","")</f>
        <v/>
      </c>
      <c r="U705" s="66" t="str">
        <f>IF(AND($N705='112'!$I$6,$B705&lt;'112'!$M$9),"x","")</f>
        <v/>
      </c>
      <c r="V705" s="66" t="str">
        <f>IF(AND($O705='112'!$I$6,$B705&lt;'112'!$M$9),"x","")</f>
        <v/>
      </c>
      <c r="W705" s="66" t="str">
        <f>IF(AND('131-CT'!$H$9=TH!H705,OR(N705="131",O705="131")),"x","")</f>
        <v/>
      </c>
      <c r="X705" s="66" t="str">
        <f>IF(AND($B705&gt;='1331'!$I$9,$B705&lt;='1331'!$J$9,OR($N705=$X$7,$O705=$X$7)),"x","")</f>
        <v/>
      </c>
      <c r="Y705" s="66" t="str">
        <f>IF(AND($N705=$X$7,$B705&lt;'1331'!$I$9),"x","")</f>
        <v/>
      </c>
      <c r="Z705" s="66" t="str">
        <f>IF(AND($O705=$X$7,$B705&lt;'1331'!$I$9),"x","")</f>
        <v/>
      </c>
      <c r="AA705" s="66" t="str">
        <f>IF(AND('341-CT'!$H$9=H705,OR(LEFT(N705,3)=$AA$7,LEFT(O705,3)=$AA$7)),"x","")</f>
        <v/>
      </c>
      <c r="AB705" s="66" t="str">
        <f>IF(OR(TH!N705=TH!$AB$7,O705=TH!$AB$7),"x","")</f>
        <v/>
      </c>
      <c r="AC705" s="66" t="str">
        <f t="shared" si="62"/>
        <v/>
      </c>
      <c r="AD705" s="66" t="str">
        <f>IF(AND(MONTH(E705)='IN-NX'!$J$5,'IN-NX'!$D$7=D705,OR(LEFT(TH!N705,2)="15",LEFT(TH!O705,2)="15")),"x","")</f>
        <v/>
      </c>
      <c r="AE705" s="66" t="str">
        <f>IF(AND(OR(LEFT(TH!N705,2)="15",LEFT(TH!O705,2)="15"),'152-CT'!$J$8=TH!F705),"x","")</f>
        <v/>
      </c>
      <c r="AF705" s="66" t="str">
        <f>IF(AND(OR(LEFT(TH!N705,2)="15",LEFT(TH!O705,2)="15"),'THE KHO'!$E$7=TH!F705),"x","")</f>
        <v/>
      </c>
      <c r="AG705" s="66" t="str">
        <f>IF(AND(N705="1521",MONTH(C705)='BK NL'!$M$11),"x","")</f>
        <v/>
      </c>
    </row>
    <row r="706" spans="1:33" ht="15.75" hidden="1" customHeight="1">
      <c r="A706" s="397" t="str">
        <f>IF(B706&lt;&gt;"",IF(AND(B706&gt;=_TM1,B706&lt;=_TM2,OR(TH!N706="1111",TH!O706="1111")),TH!D706,""),"")</f>
        <v/>
      </c>
      <c r="B706" s="63" t="str">
        <f t="shared" si="61"/>
        <v/>
      </c>
      <c r="C706" s="64"/>
      <c r="D706" s="64"/>
      <c r="E706" s="64"/>
      <c r="F706" s="67"/>
      <c r="G706" s="375"/>
      <c r="H706" s="74"/>
      <c r="I706" s="514"/>
      <c r="J706" s="514"/>
      <c r="K706" s="506"/>
      <c r="L706" s="514"/>
      <c r="M706" s="65"/>
      <c r="N706" s="365"/>
      <c r="O706" s="66"/>
      <c r="P706" s="66" t="str">
        <f>IF(AND('331-CT'!$E$7=TH!H706,OR(N706="331",O706="331")),"x","")</f>
        <v/>
      </c>
      <c r="Q706" s="66" t="str">
        <f>IF(AND($B706&gt;='111'!$N$11,$B706&lt;='111'!$O$11,OR($N706=$Q$7,$O706=$Q$7)),"x","")</f>
        <v/>
      </c>
      <c r="R706" s="66" t="str">
        <f>IF(AND($N706=$Q$7,$B706&lt;'111'!$N$11),"x","")</f>
        <v/>
      </c>
      <c r="S706" s="66" t="str">
        <f>IF(AND($O706=$Q$7,$B706&lt;'111'!$N$11),"x","")</f>
        <v/>
      </c>
      <c r="T706" s="66" t="str">
        <f>IF(AND($B706&gt;='112'!$M$9,$B706&lt;='112'!$N$9,OR($N706='112'!$I$6,$O706='112'!$I$6)),"x","")</f>
        <v/>
      </c>
      <c r="U706" s="66" t="str">
        <f>IF(AND($N706='112'!$I$6,$B706&lt;'112'!$M$9),"x","")</f>
        <v/>
      </c>
      <c r="V706" s="66" t="str">
        <f>IF(AND($O706='112'!$I$6,$B706&lt;'112'!$M$9),"x","")</f>
        <v/>
      </c>
      <c r="W706" s="66" t="str">
        <f>IF(AND('131-CT'!$H$9=TH!H706,OR(N706="131",O706="131")),"x","")</f>
        <v/>
      </c>
      <c r="X706" s="66" t="str">
        <f>IF(AND($B706&gt;='1331'!$I$9,$B706&lt;='1331'!$J$9,OR($N706=$X$7,$O706=$X$7)),"x","")</f>
        <v/>
      </c>
      <c r="Y706" s="66" t="str">
        <f>IF(AND($N706=$X$7,$B706&lt;'1331'!$I$9),"x","")</f>
        <v/>
      </c>
      <c r="Z706" s="66" t="str">
        <f>IF(AND($O706=$X$7,$B706&lt;'1331'!$I$9),"x","")</f>
        <v/>
      </c>
      <c r="AA706" s="66" t="str">
        <f>IF(AND('341-CT'!$H$9=H706,OR(LEFT(N706,3)=$AA$7,LEFT(O706,3)=$AA$7)),"x","")</f>
        <v/>
      </c>
      <c r="AB706" s="66" t="str">
        <f>IF(OR(TH!N706=TH!$AB$7,O706=TH!$AB$7),"x","")</f>
        <v/>
      </c>
      <c r="AC706" s="66" t="str">
        <f t="shared" si="62"/>
        <v/>
      </c>
      <c r="AD706" s="66" t="str">
        <f>IF(AND(MONTH(E706)='IN-NX'!$J$5,'IN-NX'!$D$7=D706,OR(LEFT(TH!N706,2)="15",LEFT(TH!O706,2)="15")),"x","")</f>
        <v/>
      </c>
      <c r="AE706" s="66" t="str">
        <f>IF(AND(OR(LEFT(TH!N706,2)="15",LEFT(TH!O706,2)="15"),'152-CT'!$J$8=TH!F706),"x","")</f>
        <v/>
      </c>
      <c r="AF706" s="66" t="str">
        <f>IF(AND(OR(LEFT(TH!N706,2)="15",LEFT(TH!O706,2)="15"),'THE KHO'!$E$7=TH!F706),"x","")</f>
        <v/>
      </c>
      <c r="AG706" s="66" t="str">
        <f>IF(AND(N706="1521",MONTH(C706)='BK NL'!$M$11),"x","")</f>
        <v/>
      </c>
    </row>
    <row r="707" spans="1:33" ht="15.75" hidden="1" customHeight="1">
      <c r="A707" s="397" t="str">
        <f>IF(B707&lt;&gt;"",IF(AND(B707&gt;=_TM1,B707&lt;=_TM2,OR(TH!N707="1111",TH!O707="1111")),TH!D707,""),"")</f>
        <v/>
      </c>
      <c r="B707" s="63" t="str">
        <f t="shared" si="61"/>
        <v/>
      </c>
      <c r="C707" s="64"/>
      <c r="D707" s="64"/>
      <c r="E707" s="64"/>
      <c r="F707" s="67"/>
      <c r="G707" s="375"/>
      <c r="H707" s="74"/>
      <c r="I707" s="514"/>
      <c r="J707" s="514"/>
      <c r="K707" s="506"/>
      <c r="L707" s="514"/>
      <c r="M707" s="65"/>
      <c r="N707" s="66"/>
      <c r="O707" s="66"/>
      <c r="P707" s="66" t="str">
        <f>IF(AND('331-CT'!$E$7=TH!H707,OR(N707="331",O707="331")),"x","")</f>
        <v/>
      </c>
      <c r="Q707" s="66" t="str">
        <f>IF(AND($B707&gt;='111'!$N$11,$B707&lt;='111'!$O$11,OR($N707=$Q$7,$O707=$Q$7)),"x","")</f>
        <v/>
      </c>
      <c r="R707" s="66" t="str">
        <f>IF(AND($N707=$Q$7,$B707&lt;'111'!$N$11),"x","")</f>
        <v/>
      </c>
      <c r="S707" s="66" t="str">
        <f>IF(AND($O707=$Q$7,$B707&lt;'111'!$N$11),"x","")</f>
        <v/>
      </c>
      <c r="T707" s="66" t="str">
        <f>IF(AND($B707&gt;='112'!$M$9,$B707&lt;='112'!$N$9,OR($N707='112'!$I$6,$O707='112'!$I$6)),"x","")</f>
        <v/>
      </c>
      <c r="U707" s="66" t="str">
        <f>IF(AND($N707='112'!$I$6,$B707&lt;'112'!$M$9),"x","")</f>
        <v/>
      </c>
      <c r="V707" s="66" t="str">
        <f>IF(AND($O707='112'!$I$6,$B707&lt;'112'!$M$9),"x","")</f>
        <v/>
      </c>
      <c r="W707" s="66" t="str">
        <f>IF(AND('131-CT'!$H$9=TH!H707,OR(N707="131",O707="131")),"x","")</f>
        <v/>
      </c>
      <c r="X707" s="66" t="str">
        <f>IF(AND($B707&gt;='1331'!$I$9,$B707&lt;='1331'!$J$9,OR($N707=$X$7,$O707=$X$7)),"x","")</f>
        <v/>
      </c>
      <c r="Y707" s="66" t="str">
        <f>IF(AND($N707=$X$7,$B707&lt;'1331'!$I$9),"x","")</f>
        <v/>
      </c>
      <c r="Z707" s="66" t="str">
        <f>IF(AND($O707=$X$7,$B707&lt;'1331'!$I$9),"x","")</f>
        <v/>
      </c>
      <c r="AA707" s="66" t="str">
        <f>IF(AND('341-CT'!$H$9=H707,OR(LEFT(N707,3)=$AA$7,LEFT(O707,3)=$AA$7)),"x","")</f>
        <v/>
      </c>
      <c r="AB707" s="66" t="str">
        <f>IF(OR(TH!N707=TH!$AB$7,O707=TH!$AB$7),"x","")</f>
        <v/>
      </c>
      <c r="AC707" s="66" t="str">
        <f t="shared" si="62"/>
        <v/>
      </c>
      <c r="AD707" s="66" t="str">
        <f>IF(AND(MONTH(E707)='IN-NX'!$J$5,'IN-NX'!$D$7=D707,OR(LEFT(TH!N707,2)="15",LEFT(TH!O707,2)="15")),"x","")</f>
        <v/>
      </c>
      <c r="AE707" s="66" t="str">
        <f>IF(AND(OR(LEFT(TH!N707,2)="15",LEFT(TH!O707,2)="15"),'152-CT'!$J$8=TH!F707),"x","")</f>
        <v/>
      </c>
      <c r="AF707" s="66" t="str">
        <f>IF(AND(OR(LEFT(TH!N707,2)="15",LEFT(TH!O707,2)="15"),'THE KHO'!$E$7=TH!F707),"x","")</f>
        <v/>
      </c>
      <c r="AG707" s="66" t="str">
        <f>IF(AND(N707="1521",MONTH(C707)='BK NL'!$M$11),"x","")</f>
        <v/>
      </c>
    </row>
    <row r="708" spans="1:33" ht="15.75" hidden="1" customHeight="1">
      <c r="A708" s="397" t="str">
        <f>IF(B708&lt;&gt;"",IF(AND(B708&gt;=_TM1,B708&lt;=_TM2,OR(TH!N708="1111",TH!O708="1111")),TH!D708,""),"")</f>
        <v/>
      </c>
      <c r="B708" s="63" t="str">
        <f t="shared" si="61"/>
        <v/>
      </c>
      <c r="C708" s="64"/>
      <c r="D708" s="64"/>
      <c r="E708" s="64"/>
      <c r="F708" s="67"/>
      <c r="G708" s="375"/>
      <c r="H708" s="74"/>
      <c r="I708" s="514"/>
      <c r="J708" s="514"/>
      <c r="K708" s="506"/>
      <c r="L708" s="514"/>
      <c r="M708" s="65"/>
      <c r="N708" s="66"/>
      <c r="O708" s="66"/>
      <c r="P708" s="66" t="str">
        <f>IF(AND('331-CT'!$E$7=TH!H708,OR(N708="331",O708="331")),"x","")</f>
        <v/>
      </c>
      <c r="Q708" s="66" t="str">
        <f>IF(AND($B708&gt;='111'!$N$11,$B708&lt;='111'!$O$11,OR($N708=$Q$7,$O708=$Q$7)),"x","")</f>
        <v/>
      </c>
      <c r="R708" s="66" t="str">
        <f>IF(AND($N708=$Q$7,$B708&lt;'111'!$N$11),"x","")</f>
        <v/>
      </c>
      <c r="S708" s="66" t="str">
        <f>IF(AND($O708=$Q$7,$B708&lt;'111'!$N$11),"x","")</f>
        <v/>
      </c>
      <c r="T708" s="66" t="str">
        <f>IF(AND($B708&gt;='112'!$M$9,$B708&lt;='112'!$N$9,OR($N708='112'!$I$6,$O708='112'!$I$6)),"x","")</f>
        <v/>
      </c>
      <c r="U708" s="66" t="str">
        <f>IF(AND($N708='112'!$I$6,$B708&lt;'112'!$M$9),"x","")</f>
        <v/>
      </c>
      <c r="V708" s="66" t="str">
        <f>IF(AND($O708='112'!$I$6,$B708&lt;'112'!$M$9),"x","")</f>
        <v/>
      </c>
      <c r="W708" s="66" t="str">
        <f>IF(AND('131-CT'!$H$9=TH!H708,OR(N708="131",O708="131")),"x","")</f>
        <v/>
      </c>
      <c r="X708" s="66" t="str">
        <f>IF(AND($B708&gt;='1331'!$I$9,$B708&lt;='1331'!$J$9,OR($N708=$X$7,$O708=$X$7)),"x","")</f>
        <v/>
      </c>
      <c r="Y708" s="66" t="str">
        <f>IF(AND($N708=$X$7,$B708&lt;'1331'!$I$9),"x","")</f>
        <v/>
      </c>
      <c r="Z708" s="66" t="str">
        <f>IF(AND($O708=$X$7,$B708&lt;'1331'!$I$9),"x","")</f>
        <v/>
      </c>
      <c r="AA708" s="66" t="str">
        <f>IF(AND('341-CT'!$H$9=H708,OR(LEFT(N708,3)=$AA$7,LEFT(O708,3)=$AA$7)),"x","")</f>
        <v/>
      </c>
      <c r="AB708" s="66" t="str">
        <f>IF(OR(TH!N708=TH!$AB$7,O708=TH!$AB$7),"x","")</f>
        <v/>
      </c>
      <c r="AC708" s="66" t="str">
        <f t="shared" si="62"/>
        <v/>
      </c>
      <c r="AD708" s="66" t="str">
        <f>IF(AND(MONTH(E708)='IN-NX'!$J$5,'IN-NX'!$D$7=D708,OR(LEFT(TH!N708,2)="15",LEFT(TH!O708,2)="15")),"x","")</f>
        <v/>
      </c>
      <c r="AE708" s="66" t="str">
        <f>IF(AND(OR(LEFT(TH!N708,2)="15",LEFT(TH!O708,2)="15"),'152-CT'!$J$8=TH!F708),"x","")</f>
        <v/>
      </c>
      <c r="AF708" s="66" t="str">
        <f>IF(AND(OR(LEFT(TH!N708,2)="15",LEFT(TH!O708,2)="15"),'THE KHO'!$E$7=TH!F708),"x","")</f>
        <v/>
      </c>
      <c r="AG708" s="66" t="str">
        <f>IF(AND(N708="1521",MONTH(C708)='BK NL'!$M$11),"x","")</f>
        <v/>
      </c>
    </row>
    <row r="709" spans="1:33" ht="15.75" hidden="1" customHeight="1">
      <c r="A709" s="397" t="str">
        <f>IF(B709&lt;&gt;"",IF(AND(B709&gt;=_TM1,B709&lt;=_TM2,OR(TH!N709="1111",TH!O709="1111")),TH!D709,""),"")</f>
        <v/>
      </c>
      <c r="B709" s="63" t="str">
        <f t="shared" si="61"/>
        <v/>
      </c>
      <c r="C709" s="64"/>
      <c r="D709" s="64"/>
      <c r="E709" s="64"/>
      <c r="F709" s="67"/>
      <c r="G709" s="375"/>
      <c r="H709" s="74"/>
      <c r="I709" s="514"/>
      <c r="J709" s="514"/>
      <c r="K709" s="506"/>
      <c r="L709" s="514"/>
      <c r="M709" s="65"/>
      <c r="N709" s="66"/>
      <c r="O709" s="66"/>
      <c r="P709" s="66" t="str">
        <f>IF(AND('331-CT'!$E$7=TH!H709,OR(N709="331",O709="331")),"x","")</f>
        <v/>
      </c>
      <c r="Q709" s="66" t="str">
        <f>IF(AND($B709&gt;='111'!$N$11,$B709&lt;='111'!$O$11,OR($N709=$Q$7,$O709=$Q$7)),"x","")</f>
        <v/>
      </c>
      <c r="R709" s="66" t="str">
        <f>IF(AND($N709=$Q$7,$B709&lt;'111'!$N$11),"x","")</f>
        <v/>
      </c>
      <c r="S709" s="66" t="str">
        <f>IF(AND($O709=$Q$7,$B709&lt;'111'!$N$11),"x","")</f>
        <v/>
      </c>
      <c r="T709" s="66" t="str">
        <f>IF(AND($B709&gt;='112'!$M$9,$B709&lt;='112'!$N$9,OR($N709='112'!$I$6,$O709='112'!$I$6)),"x","")</f>
        <v/>
      </c>
      <c r="U709" s="66" t="str">
        <f>IF(AND($N709='112'!$I$6,$B709&lt;'112'!$M$9),"x","")</f>
        <v/>
      </c>
      <c r="V709" s="66" t="str">
        <f>IF(AND($O709='112'!$I$6,$B709&lt;'112'!$M$9),"x","")</f>
        <v/>
      </c>
      <c r="W709" s="66" t="str">
        <f>IF(AND('131-CT'!$H$9=TH!H709,OR(N709="131",O709="131")),"x","")</f>
        <v/>
      </c>
      <c r="X709" s="66" t="str">
        <f>IF(AND($B709&gt;='1331'!$I$9,$B709&lt;='1331'!$J$9,OR($N709=$X$7,$O709=$X$7)),"x","")</f>
        <v/>
      </c>
      <c r="Y709" s="66" t="str">
        <f>IF(AND($N709=$X$7,$B709&lt;'1331'!$I$9),"x","")</f>
        <v/>
      </c>
      <c r="Z709" s="66" t="str">
        <f>IF(AND($O709=$X$7,$B709&lt;'1331'!$I$9),"x","")</f>
        <v/>
      </c>
      <c r="AA709" s="66" t="str">
        <f>IF(AND('341-CT'!$H$9=H709,OR(LEFT(N709,3)=$AA$7,LEFT(O709,3)=$AA$7)),"x","")</f>
        <v/>
      </c>
      <c r="AB709" s="66" t="str">
        <f>IF(OR(TH!N709=TH!$AB$7,O709=TH!$AB$7),"x","")</f>
        <v/>
      </c>
      <c r="AC709" s="66" t="str">
        <f t="shared" si="62"/>
        <v/>
      </c>
      <c r="AD709" s="66" t="str">
        <f>IF(AND(MONTH(E709)='IN-NX'!$J$5,'IN-NX'!$D$7=D709,OR(LEFT(TH!N709,2)="15",LEFT(TH!O709,2)="15")),"x","")</f>
        <v/>
      </c>
      <c r="AE709" s="66" t="str">
        <f>IF(AND(OR(LEFT(TH!N709,2)="15",LEFT(TH!O709,2)="15"),'152-CT'!$J$8=TH!F709),"x","")</f>
        <v/>
      </c>
      <c r="AF709" s="66" t="str">
        <f>IF(AND(OR(LEFT(TH!N709,2)="15",LEFT(TH!O709,2)="15"),'THE KHO'!$E$7=TH!F709),"x","")</f>
        <v/>
      </c>
      <c r="AG709" s="66" t="str">
        <f>IF(AND(N709="1521",MONTH(C709)='BK NL'!$M$11),"x","")</f>
        <v/>
      </c>
    </row>
    <row r="710" spans="1:33" ht="15.75" hidden="1" customHeight="1">
      <c r="A710" s="397" t="str">
        <f>IF(B710&lt;&gt;"",IF(AND(B710&gt;=_TM1,B710&lt;=_TM2,OR(TH!N710="1111",TH!O710="1111")),TH!D710,""),"")</f>
        <v/>
      </c>
      <c r="B710" s="63" t="str">
        <f t="shared" si="61"/>
        <v/>
      </c>
      <c r="C710" s="64"/>
      <c r="D710" s="64"/>
      <c r="E710" s="64"/>
      <c r="F710" s="67"/>
      <c r="G710" s="375"/>
      <c r="H710" s="74"/>
      <c r="I710" s="514"/>
      <c r="J710" s="514"/>
      <c r="K710" s="506"/>
      <c r="L710" s="514"/>
      <c r="M710" s="65"/>
      <c r="N710" s="66"/>
      <c r="O710" s="66"/>
      <c r="P710" s="66" t="str">
        <f>IF(AND('331-CT'!$E$7=TH!H710,OR(N710="331",O710="331")),"x","")</f>
        <v/>
      </c>
      <c r="Q710" s="66" t="str">
        <f>IF(AND($B710&gt;='111'!$N$11,$B710&lt;='111'!$O$11,OR($N710=$Q$7,$O710=$Q$7)),"x","")</f>
        <v/>
      </c>
      <c r="R710" s="66" t="str">
        <f>IF(AND($N710=$Q$7,$B710&lt;'111'!$N$11),"x","")</f>
        <v/>
      </c>
      <c r="S710" s="66" t="str">
        <f>IF(AND($O710=$Q$7,$B710&lt;'111'!$N$11),"x","")</f>
        <v/>
      </c>
      <c r="T710" s="66" t="str">
        <f>IF(AND($B710&gt;='112'!$M$9,$B710&lt;='112'!$N$9,OR($N710='112'!$I$6,$O710='112'!$I$6)),"x","")</f>
        <v/>
      </c>
      <c r="U710" s="66" t="str">
        <f>IF(AND($N710='112'!$I$6,$B710&lt;'112'!$M$9),"x","")</f>
        <v/>
      </c>
      <c r="V710" s="66" t="str">
        <f>IF(AND($O710='112'!$I$6,$B710&lt;'112'!$M$9),"x","")</f>
        <v/>
      </c>
      <c r="W710" s="66" t="str">
        <f>IF(AND('131-CT'!$H$9=TH!H710,OR(N710="131",O710="131")),"x","")</f>
        <v/>
      </c>
      <c r="X710" s="66" t="str">
        <f>IF(AND($B710&gt;='1331'!$I$9,$B710&lt;='1331'!$J$9,OR($N710=$X$7,$O710=$X$7)),"x","")</f>
        <v/>
      </c>
      <c r="Y710" s="66" t="str">
        <f>IF(AND($N710=$X$7,$B710&lt;'1331'!$I$9),"x","")</f>
        <v/>
      </c>
      <c r="Z710" s="66" t="str">
        <f>IF(AND($O710=$X$7,$B710&lt;'1331'!$I$9),"x","")</f>
        <v/>
      </c>
      <c r="AA710" s="66" t="str">
        <f>IF(AND('341-CT'!$H$9=H710,OR(LEFT(N710,3)=$AA$7,LEFT(O710,3)=$AA$7)),"x","")</f>
        <v/>
      </c>
      <c r="AB710" s="66" t="str">
        <f>IF(OR(TH!N710=TH!$AB$7,O710=TH!$AB$7),"x","")</f>
        <v/>
      </c>
      <c r="AC710" s="66" t="str">
        <f t="shared" si="62"/>
        <v/>
      </c>
      <c r="AD710" s="66" t="str">
        <f>IF(AND(MONTH(E710)='IN-NX'!$J$5,'IN-NX'!$D$7=D710,OR(LEFT(TH!N710,2)="15",LEFT(TH!O710,2)="15")),"x","")</f>
        <v/>
      </c>
      <c r="AE710" s="66" t="str">
        <f>IF(AND(OR(LEFT(TH!N710,2)="15",LEFT(TH!O710,2)="15"),'152-CT'!$J$8=TH!F710),"x","")</f>
        <v/>
      </c>
      <c r="AF710" s="66" t="str">
        <f>IF(AND(OR(LEFT(TH!N710,2)="15",LEFT(TH!O710,2)="15"),'THE KHO'!$E$7=TH!F710),"x","")</f>
        <v/>
      </c>
      <c r="AG710" s="66" t="str">
        <f>IF(AND(N710="1521",MONTH(C710)='BK NL'!$M$11),"x","")</f>
        <v/>
      </c>
    </row>
    <row r="711" spans="1:33" ht="15.75" hidden="1" customHeight="1">
      <c r="A711" s="397" t="str">
        <f>IF(B711&lt;&gt;"",IF(AND(B711&gt;=_TM1,B711&lt;=_TM2,OR(TH!N711="1111",TH!O711="1111")),TH!D711,""),"")</f>
        <v/>
      </c>
      <c r="B711" s="63" t="str">
        <f t="shared" si="61"/>
        <v/>
      </c>
      <c r="C711" s="64"/>
      <c r="D711" s="64"/>
      <c r="E711" s="64"/>
      <c r="F711" s="67"/>
      <c r="G711" s="375"/>
      <c r="H711" s="74"/>
      <c r="I711" s="514"/>
      <c r="J711" s="514"/>
      <c r="K711" s="506"/>
      <c r="L711" s="514"/>
      <c r="M711" s="65"/>
      <c r="N711" s="66"/>
      <c r="O711" s="66"/>
      <c r="P711" s="66" t="str">
        <f>IF(AND('331-CT'!$E$7=TH!H711,OR(N711="331",O711="331")),"x","")</f>
        <v/>
      </c>
      <c r="Q711" s="66" t="str">
        <f>IF(AND($B711&gt;='111'!$N$11,$B711&lt;='111'!$O$11,OR($N711=$Q$7,$O711=$Q$7)),"x","")</f>
        <v/>
      </c>
      <c r="R711" s="66" t="str">
        <f>IF(AND($N711=$Q$7,$B711&lt;'111'!$N$11),"x","")</f>
        <v/>
      </c>
      <c r="S711" s="66" t="str">
        <f>IF(AND($O711=$Q$7,$B711&lt;'111'!$N$11),"x","")</f>
        <v/>
      </c>
      <c r="T711" s="66" t="str">
        <f>IF(AND($B711&gt;='112'!$M$9,$B711&lt;='112'!$N$9,OR($N711='112'!$I$6,$O711='112'!$I$6)),"x","")</f>
        <v/>
      </c>
      <c r="U711" s="66" t="str">
        <f>IF(AND($N711='112'!$I$6,$B711&lt;'112'!$M$9),"x","")</f>
        <v/>
      </c>
      <c r="V711" s="66" t="str">
        <f>IF(AND($O711='112'!$I$6,$B711&lt;'112'!$M$9),"x","")</f>
        <v/>
      </c>
      <c r="W711" s="66" t="str">
        <f>IF(AND('131-CT'!$H$9=TH!H711,OR(N711="131",O711="131")),"x","")</f>
        <v/>
      </c>
      <c r="X711" s="66" t="str">
        <f>IF(AND($B711&gt;='1331'!$I$9,$B711&lt;='1331'!$J$9,OR($N711=$X$7,$O711=$X$7)),"x","")</f>
        <v/>
      </c>
      <c r="Y711" s="66" t="str">
        <f>IF(AND($N711=$X$7,$B711&lt;'1331'!$I$9),"x","")</f>
        <v/>
      </c>
      <c r="Z711" s="66" t="str">
        <f>IF(AND($O711=$X$7,$B711&lt;'1331'!$I$9),"x","")</f>
        <v/>
      </c>
      <c r="AA711" s="66" t="str">
        <f>IF(AND('341-CT'!$H$9=H711,OR(LEFT(N711,3)=$AA$7,LEFT(O711,3)=$AA$7)),"x","")</f>
        <v/>
      </c>
      <c r="AB711" s="66" t="str">
        <f>IF(OR(TH!N711=TH!$AB$7,O711=TH!$AB$7),"x","")</f>
        <v/>
      </c>
      <c r="AC711" s="66" t="str">
        <f t="shared" si="62"/>
        <v/>
      </c>
      <c r="AD711" s="66" t="str">
        <f>IF(AND(MONTH(E711)='IN-NX'!$J$5,'IN-NX'!$D$7=D711,OR(LEFT(TH!N711,2)="15",LEFT(TH!O711,2)="15")),"x","")</f>
        <v/>
      </c>
      <c r="AE711" s="66" t="str">
        <f>IF(AND(OR(LEFT(TH!N711,2)="15",LEFT(TH!O711,2)="15"),'152-CT'!$J$8=TH!F711),"x","")</f>
        <v/>
      </c>
      <c r="AF711" s="66" t="str">
        <f>IF(AND(OR(LEFT(TH!N711,2)="15",LEFT(TH!O711,2)="15"),'THE KHO'!$E$7=TH!F711),"x","")</f>
        <v/>
      </c>
      <c r="AG711" s="66" t="str">
        <f>IF(AND(N711="1521",MONTH(C711)='BK NL'!$M$11),"x","")</f>
        <v/>
      </c>
    </row>
    <row r="712" spans="1:33" ht="15.75" hidden="1" customHeight="1">
      <c r="A712" s="397" t="str">
        <f>IF(B712&lt;&gt;"",IF(AND(B712&gt;=_TM1,B712&lt;=_TM2,OR(TH!N712="1111",TH!O712="1111")),TH!D712,""),"")</f>
        <v/>
      </c>
      <c r="B712" s="63" t="str">
        <f t="shared" si="61"/>
        <v/>
      </c>
      <c r="C712" s="64"/>
      <c r="D712" s="64"/>
      <c r="E712" s="64"/>
      <c r="F712" s="67"/>
      <c r="G712" s="375"/>
      <c r="H712" s="74"/>
      <c r="I712" s="514"/>
      <c r="J712" s="514"/>
      <c r="K712" s="506"/>
      <c r="L712" s="514"/>
      <c r="M712" s="65"/>
      <c r="N712" s="66"/>
      <c r="O712" s="66"/>
      <c r="P712" s="66" t="str">
        <f>IF(AND('331-CT'!$E$7=TH!H712,OR(N712="331",O712="331")),"x","")</f>
        <v/>
      </c>
      <c r="Q712" s="66" t="str">
        <f>IF(AND($B712&gt;='111'!$N$11,$B712&lt;='111'!$O$11,OR($N712=$Q$7,$O712=$Q$7)),"x","")</f>
        <v/>
      </c>
      <c r="R712" s="66" t="str">
        <f>IF(AND($N712=$Q$7,$B712&lt;'111'!$N$11),"x","")</f>
        <v/>
      </c>
      <c r="S712" s="66" t="str">
        <f>IF(AND($O712=$Q$7,$B712&lt;'111'!$N$11),"x","")</f>
        <v/>
      </c>
      <c r="T712" s="66" t="str">
        <f>IF(AND($B712&gt;='112'!$M$9,$B712&lt;='112'!$N$9,OR($N712='112'!$I$6,$O712='112'!$I$6)),"x","")</f>
        <v/>
      </c>
      <c r="U712" s="66" t="str">
        <f>IF(AND($N712='112'!$I$6,$B712&lt;'112'!$M$9),"x","")</f>
        <v/>
      </c>
      <c r="V712" s="66" t="str">
        <f>IF(AND($O712='112'!$I$6,$B712&lt;'112'!$M$9),"x","")</f>
        <v/>
      </c>
      <c r="W712" s="66" t="str">
        <f>IF(AND('131-CT'!$H$9=TH!H712,OR(N712="131",O712="131")),"x","")</f>
        <v/>
      </c>
      <c r="X712" s="66" t="str">
        <f>IF(AND($B712&gt;='1331'!$I$9,$B712&lt;='1331'!$J$9,OR($N712=$X$7,$O712=$X$7)),"x","")</f>
        <v/>
      </c>
      <c r="Y712" s="66" t="str">
        <f>IF(AND($N712=$X$7,$B712&lt;'1331'!$I$9),"x","")</f>
        <v/>
      </c>
      <c r="Z712" s="66" t="str">
        <f>IF(AND($O712=$X$7,$B712&lt;'1331'!$I$9),"x","")</f>
        <v/>
      </c>
      <c r="AA712" s="66" t="str">
        <f>IF(AND('341-CT'!$H$9=H712,OR(LEFT(N712,3)=$AA$7,LEFT(O712,3)=$AA$7)),"x","")</f>
        <v/>
      </c>
      <c r="AB712" s="66" t="str">
        <f>IF(OR(TH!N712=TH!$AB$7,O712=TH!$AB$7),"x","")</f>
        <v/>
      </c>
      <c r="AC712" s="66" t="str">
        <f t="shared" si="62"/>
        <v/>
      </c>
      <c r="AD712" s="66" t="str">
        <f>IF(AND(MONTH(E712)='IN-NX'!$J$5,'IN-NX'!$D$7=D712,OR(LEFT(TH!N712,2)="15",LEFT(TH!O712,2)="15")),"x","")</f>
        <v/>
      </c>
      <c r="AE712" s="66" t="str">
        <f>IF(AND(OR(LEFT(TH!N712,2)="15",LEFT(TH!O712,2)="15"),'152-CT'!$J$8=TH!F712),"x","")</f>
        <v/>
      </c>
      <c r="AF712" s="66" t="str">
        <f>IF(AND(OR(LEFT(TH!N712,2)="15",LEFT(TH!O712,2)="15"),'THE KHO'!$E$7=TH!F712),"x","")</f>
        <v/>
      </c>
      <c r="AG712" s="66" t="str">
        <f>IF(AND(N712="1521",MONTH(C712)='BK NL'!$M$11),"x","")</f>
        <v/>
      </c>
    </row>
    <row r="713" spans="1:33" ht="15.75" hidden="1" customHeight="1">
      <c r="A713" s="397" t="str">
        <f>IF(B713&lt;&gt;"",IF(AND(B713&gt;=_TM1,B713&lt;=_TM2,OR(TH!N713="1111",TH!O713="1111")),TH!D713,""),"")</f>
        <v/>
      </c>
      <c r="B713" s="63" t="str">
        <f t="shared" si="61"/>
        <v/>
      </c>
      <c r="C713" s="64"/>
      <c r="D713" s="64"/>
      <c r="E713" s="64"/>
      <c r="F713" s="67"/>
      <c r="G713" s="375"/>
      <c r="H713" s="74"/>
      <c r="I713" s="514"/>
      <c r="J713" s="514"/>
      <c r="K713" s="506"/>
      <c r="L713" s="514"/>
      <c r="M713" s="65"/>
      <c r="N713" s="66"/>
      <c r="O713" s="66"/>
      <c r="P713" s="66" t="str">
        <f>IF(AND('331-CT'!$E$7=TH!H713,OR(N713="331",O713="331")),"x","")</f>
        <v/>
      </c>
      <c r="Q713" s="66" t="str">
        <f>IF(AND($B713&gt;='111'!$N$11,$B713&lt;='111'!$O$11,OR($N713=$Q$7,$O713=$Q$7)),"x","")</f>
        <v/>
      </c>
      <c r="R713" s="66" t="str">
        <f>IF(AND($N713=$Q$7,$B713&lt;'111'!$N$11),"x","")</f>
        <v/>
      </c>
      <c r="S713" s="66" t="str">
        <f>IF(AND($O713=$Q$7,$B713&lt;'111'!$N$11),"x","")</f>
        <v/>
      </c>
      <c r="T713" s="66" t="str">
        <f>IF(AND($B713&gt;='112'!$M$9,$B713&lt;='112'!$N$9,OR($N713='112'!$I$6,$O713='112'!$I$6)),"x","")</f>
        <v/>
      </c>
      <c r="U713" s="66" t="str">
        <f>IF(AND($N713='112'!$I$6,$B713&lt;'112'!$M$9),"x","")</f>
        <v/>
      </c>
      <c r="V713" s="66" t="str">
        <f>IF(AND($O713='112'!$I$6,$B713&lt;'112'!$M$9),"x","")</f>
        <v/>
      </c>
      <c r="W713" s="66" t="str">
        <f>IF(AND('131-CT'!$H$9=TH!H713,OR(N713="131",O713="131")),"x","")</f>
        <v/>
      </c>
      <c r="X713" s="66" t="str">
        <f>IF(AND($B713&gt;='1331'!$I$9,$B713&lt;='1331'!$J$9,OR($N713=$X$7,$O713=$X$7)),"x","")</f>
        <v/>
      </c>
      <c r="Y713" s="66" t="str">
        <f>IF(AND($N713=$X$7,$B713&lt;'1331'!$I$9),"x","")</f>
        <v/>
      </c>
      <c r="Z713" s="66" t="str">
        <f>IF(AND($O713=$X$7,$B713&lt;'1331'!$I$9),"x","")</f>
        <v/>
      </c>
      <c r="AA713" s="66" t="str">
        <f>IF(AND('341-CT'!$H$9=H713,OR(LEFT(N713,3)=$AA$7,LEFT(O713,3)=$AA$7)),"x","")</f>
        <v/>
      </c>
      <c r="AB713" s="66" t="str">
        <f>IF(OR(TH!N713=TH!$AB$7,O713=TH!$AB$7),"x","")</f>
        <v/>
      </c>
      <c r="AC713" s="66" t="str">
        <f t="shared" si="62"/>
        <v/>
      </c>
      <c r="AD713" s="66" t="str">
        <f>IF(AND(MONTH(E713)='IN-NX'!$J$5,'IN-NX'!$D$7=D713,OR(LEFT(TH!N713,2)="15",LEFT(TH!O713,2)="15")),"x","")</f>
        <v/>
      </c>
      <c r="AE713" s="66" t="str">
        <f>IF(AND(OR(LEFT(TH!N713,2)="15",LEFT(TH!O713,2)="15"),'152-CT'!$J$8=TH!F713),"x","")</f>
        <v/>
      </c>
      <c r="AF713" s="66" t="str">
        <f>IF(AND(OR(LEFT(TH!N713,2)="15",LEFT(TH!O713,2)="15"),'THE KHO'!$E$7=TH!F713),"x","")</f>
        <v/>
      </c>
      <c r="AG713" s="66" t="str">
        <f>IF(AND(N713="1521",MONTH(C713)='BK NL'!$M$11),"x","")</f>
        <v/>
      </c>
    </row>
    <row r="714" spans="1:33" ht="15.75" hidden="1" customHeight="1">
      <c r="A714" s="397" t="str">
        <f>IF(B714&lt;&gt;"",IF(AND(B714&gt;=_TM1,B714&lt;=_TM2,OR(TH!N714="1111",TH!O714="1111")),TH!D714,""),"")</f>
        <v/>
      </c>
      <c r="B714" s="63" t="str">
        <f t="shared" si="61"/>
        <v/>
      </c>
      <c r="C714" s="64"/>
      <c r="D714" s="64"/>
      <c r="E714" s="64"/>
      <c r="F714" s="67"/>
      <c r="G714" s="375"/>
      <c r="H714" s="74"/>
      <c r="I714" s="514"/>
      <c r="J714" s="514"/>
      <c r="K714" s="506"/>
      <c r="L714" s="514"/>
      <c r="M714" s="65"/>
      <c r="N714" s="66"/>
      <c r="O714" s="66"/>
      <c r="P714" s="66" t="str">
        <f>IF(AND('331-CT'!$E$7=TH!H714,OR(N714="331",O714="331")),"x","")</f>
        <v/>
      </c>
      <c r="Q714" s="66" t="str">
        <f>IF(AND($B714&gt;='111'!$N$11,$B714&lt;='111'!$O$11,OR($N714=$Q$7,$O714=$Q$7)),"x","")</f>
        <v/>
      </c>
      <c r="R714" s="66" t="str">
        <f>IF(AND($N714=$Q$7,$B714&lt;'111'!$N$11),"x","")</f>
        <v/>
      </c>
      <c r="S714" s="66" t="str">
        <f>IF(AND($O714=$Q$7,$B714&lt;'111'!$N$11),"x","")</f>
        <v/>
      </c>
      <c r="T714" s="66" t="str">
        <f>IF(AND($B714&gt;='112'!$M$9,$B714&lt;='112'!$N$9,OR($N714='112'!$I$6,$O714='112'!$I$6)),"x","")</f>
        <v/>
      </c>
      <c r="U714" s="66" t="str">
        <f>IF(AND($N714='112'!$I$6,$B714&lt;'112'!$M$9),"x","")</f>
        <v/>
      </c>
      <c r="V714" s="66" t="str">
        <f>IF(AND($O714='112'!$I$6,$B714&lt;'112'!$M$9),"x","")</f>
        <v/>
      </c>
      <c r="W714" s="66" t="str">
        <f>IF(AND('131-CT'!$H$9=TH!H714,OR(N714="131",O714="131")),"x","")</f>
        <v/>
      </c>
      <c r="X714" s="66" t="str">
        <f>IF(AND($B714&gt;='1331'!$I$9,$B714&lt;='1331'!$J$9,OR($N714=$X$7,$O714=$X$7)),"x","")</f>
        <v/>
      </c>
      <c r="Y714" s="66" t="str">
        <f>IF(AND($N714=$X$7,$B714&lt;'1331'!$I$9),"x","")</f>
        <v/>
      </c>
      <c r="Z714" s="66" t="str">
        <f>IF(AND($O714=$X$7,$B714&lt;'1331'!$I$9),"x","")</f>
        <v/>
      </c>
      <c r="AA714" s="66" t="str">
        <f>IF(AND('341-CT'!$H$9=H714,OR(LEFT(N714,3)=$AA$7,LEFT(O714,3)=$AA$7)),"x","")</f>
        <v/>
      </c>
      <c r="AB714" s="66" t="str">
        <f>IF(OR(TH!N714=TH!$AB$7,O714=TH!$AB$7),"x","")</f>
        <v/>
      </c>
      <c r="AC714" s="66" t="str">
        <f t="shared" si="62"/>
        <v/>
      </c>
      <c r="AD714" s="66" t="str">
        <f>IF(AND(MONTH(E714)='IN-NX'!$J$5,'IN-NX'!$D$7=D714,OR(LEFT(TH!N714,2)="15",LEFT(TH!O714,2)="15")),"x","")</f>
        <v/>
      </c>
      <c r="AE714" s="66" t="str">
        <f>IF(AND(OR(LEFT(TH!N714,2)="15",LEFT(TH!O714,2)="15"),'152-CT'!$J$8=TH!F714),"x","")</f>
        <v/>
      </c>
      <c r="AF714" s="66" t="str">
        <f>IF(AND(OR(LEFT(TH!N714,2)="15",LEFT(TH!O714,2)="15"),'THE KHO'!$E$7=TH!F714),"x","")</f>
        <v/>
      </c>
      <c r="AG714" s="66" t="str">
        <f>IF(AND(N714="1521",MONTH(C714)='BK NL'!$M$11),"x","")</f>
        <v/>
      </c>
    </row>
    <row r="715" spans="1:33" ht="15.75" hidden="1" customHeight="1">
      <c r="A715" s="397" t="str">
        <f>IF(B715&lt;&gt;"",IF(AND(B715&gt;=_TM1,B715&lt;=_TM2,OR(TH!N715="1111",TH!O715="1111")),TH!D715,""),"")</f>
        <v/>
      </c>
      <c r="B715" s="63" t="str">
        <f t="shared" si="61"/>
        <v/>
      </c>
      <c r="C715" s="64"/>
      <c r="D715" s="64"/>
      <c r="E715" s="64"/>
      <c r="F715" s="67"/>
      <c r="G715" s="375"/>
      <c r="H715" s="74"/>
      <c r="I715" s="514"/>
      <c r="J715" s="514"/>
      <c r="K715" s="506"/>
      <c r="L715" s="514"/>
      <c r="M715" s="65"/>
      <c r="N715" s="66"/>
      <c r="O715" s="66"/>
      <c r="P715" s="66" t="str">
        <f>IF(AND('331-CT'!$E$7=TH!H715,OR(N715="331",O715="331")),"x","")</f>
        <v/>
      </c>
      <c r="Q715" s="66" t="str">
        <f>IF(AND($B715&gt;='111'!$N$11,$B715&lt;='111'!$O$11,OR($N715=$Q$7,$O715=$Q$7)),"x","")</f>
        <v/>
      </c>
      <c r="R715" s="66" t="str">
        <f>IF(AND($N715=$Q$7,$B715&lt;'111'!$N$11),"x","")</f>
        <v/>
      </c>
      <c r="S715" s="66" t="str">
        <f>IF(AND($O715=$Q$7,$B715&lt;'111'!$N$11),"x","")</f>
        <v/>
      </c>
      <c r="T715" s="66" t="str">
        <f>IF(AND($B715&gt;='112'!$M$9,$B715&lt;='112'!$N$9,OR($N715='112'!$I$6,$O715='112'!$I$6)),"x","")</f>
        <v/>
      </c>
      <c r="U715" s="66" t="str">
        <f>IF(AND($N715='112'!$I$6,$B715&lt;'112'!$M$9),"x","")</f>
        <v/>
      </c>
      <c r="V715" s="66" t="str">
        <f>IF(AND($O715='112'!$I$6,$B715&lt;'112'!$M$9),"x","")</f>
        <v/>
      </c>
      <c r="W715" s="66" t="str">
        <f>IF(AND('131-CT'!$H$9=TH!H715,OR(N715="131",O715="131")),"x","")</f>
        <v/>
      </c>
      <c r="X715" s="66" t="str">
        <f>IF(AND($B715&gt;='1331'!$I$9,$B715&lt;='1331'!$J$9,OR($N715=$X$7,$O715=$X$7)),"x","")</f>
        <v/>
      </c>
      <c r="Y715" s="66" t="str">
        <f>IF(AND($N715=$X$7,$B715&lt;'1331'!$I$9),"x","")</f>
        <v/>
      </c>
      <c r="Z715" s="66" t="str">
        <f>IF(AND($O715=$X$7,$B715&lt;'1331'!$I$9),"x","")</f>
        <v/>
      </c>
      <c r="AA715" s="66" t="str">
        <f>IF(AND('341-CT'!$H$9=H715,OR(LEFT(N715,3)=$AA$7,LEFT(O715,3)=$AA$7)),"x","")</f>
        <v/>
      </c>
      <c r="AB715" s="66" t="str">
        <f>IF(OR(TH!N715=TH!$AB$7,O715=TH!$AB$7),"x","")</f>
        <v/>
      </c>
      <c r="AC715" s="66" t="str">
        <f t="shared" si="62"/>
        <v/>
      </c>
      <c r="AD715" s="66" t="str">
        <f>IF(AND(MONTH(E715)='IN-NX'!$J$5,'IN-NX'!$D$7=D715,OR(LEFT(TH!N715,2)="15",LEFT(TH!O715,2)="15")),"x","")</f>
        <v/>
      </c>
      <c r="AE715" s="66" t="str">
        <f>IF(AND(OR(LEFT(TH!N715,2)="15",LEFT(TH!O715,2)="15"),'152-CT'!$J$8=TH!F715),"x","")</f>
        <v/>
      </c>
      <c r="AF715" s="66" t="str">
        <f>IF(AND(OR(LEFT(TH!N715,2)="15",LEFT(TH!O715,2)="15"),'THE KHO'!$E$7=TH!F715),"x","")</f>
        <v/>
      </c>
      <c r="AG715" s="66" t="str">
        <f>IF(AND(N715="1521",MONTH(C715)='BK NL'!$M$11),"x","")</f>
        <v/>
      </c>
    </row>
    <row r="716" spans="1:33" ht="15.75" hidden="1" customHeight="1">
      <c r="A716" s="397" t="str">
        <f>IF(B716&lt;&gt;"",IF(AND(B716&gt;=_TM1,B716&lt;=_TM2,OR(TH!N716="1111",TH!O716="1111")),TH!D716,""),"")</f>
        <v/>
      </c>
      <c r="B716" s="63" t="str">
        <f t="shared" si="61"/>
        <v/>
      </c>
      <c r="C716" s="64"/>
      <c r="D716" s="64"/>
      <c r="E716" s="64"/>
      <c r="F716" s="67"/>
      <c r="G716" s="361"/>
      <c r="H716" s="364"/>
      <c r="I716" s="514"/>
      <c r="J716" s="514"/>
      <c r="K716" s="506"/>
      <c r="L716" s="514"/>
      <c r="M716" s="65"/>
      <c r="N716" s="66"/>
      <c r="O716" s="66"/>
      <c r="P716" s="66" t="str">
        <f>IF(AND('331-CT'!$E$7=TH!H716,OR(N716="331",O716="331")),"x","")</f>
        <v/>
      </c>
      <c r="Q716" s="66" t="str">
        <f>IF(AND($B716&gt;='111'!$N$11,$B716&lt;='111'!$O$11,OR($N716=$Q$7,$O716=$Q$7)),"x","")</f>
        <v/>
      </c>
      <c r="R716" s="66" t="str">
        <f>IF(AND($N716=$Q$7,$B716&lt;'111'!$N$11),"x","")</f>
        <v/>
      </c>
      <c r="S716" s="66" t="str">
        <f>IF(AND($O716=$Q$7,$B716&lt;'111'!$N$11),"x","")</f>
        <v/>
      </c>
      <c r="T716" s="66" t="str">
        <f>IF(AND($B716&gt;='112'!$M$9,$B716&lt;='112'!$N$9,OR($N716='112'!$I$6,$O716='112'!$I$6)),"x","")</f>
        <v/>
      </c>
      <c r="U716" s="66" t="str">
        <f>IF(AND($N716='112'!$I$6,$B716&lt;'112'!$M$9),"x","")</f>
        <v/>
      </c>
      <c r="V716" s="66" t="str">
        <f>IF(AND($O716='112'!$I$6,$B716&lt;'112'!$M$9),"x","")</f>
        <v/>
      </c>
      <c r="W716" s="66" t="str">
        <f>IF(AND('131-CT'!$H$9=TH!H716,OR(N716="131",O716="131")),"x","")</f>
        <v/>
      </c>
      <c r="X716" s="66" t="str">
        <f>IF(AND($B716&gt;='1331'!$I$9,$B716&lt;='1331'!$J$9,OR($N716=$X$7,$O716=$X$7)),"x","")</f>
        <v/>
      </c>
      <c r="Y716" s="66" t="str">
        <f>IF(AND($N716=$X$7,$B716&lt;'1331'!$I$9),"x","")</f>
        <v/>
      </c>
      <c r="Z716" s="66" t="str">
        <f>IF(AND($O716=$X$7,$B716&lt;'1331'!$I$9),"x","")</f>
        <v/>
      </c>
      <c r="AA716" s="66" t="str">
        <f>IF(AND('341-CT'!$H$9=H716,OR(LEFT(N716,3)=$AA$7,LEFT(O716,3)=$AA$7)),"x","")</f>
        <v/>
      </c>
      <c r="AB716" s="66" t="str">
        <f>IF(OR(TH!N716=TH!$AB$7,O716=TH!$AB$7),"x","")</f>
        <v/>
      </c>
      <c r="AC716" s="66" t="str">
        <f t="shared" si="62"/>
        <v/>
      </c>
      <c r="AD716" s="66" t="str">
        <f>IF(AND(MONTH(E716)='IN-NX'!$J$5,'IN-NX'!$D$7=D716,OR(LEFT(TH!N716,2)="15",LEFT(TH!O716,2)="15")),"x","")</f>
        <v/>
      </c>
      <c r="AE716" s="66" t="str">
        <f>IF(AND(OR(LEFT(TH!N716,2)="15",LEFT(TH!O716,2)="15"),'152-CT'!$J$8=TH!F716),"x","")</f>
        <v/>
      </c>
      <c r="AF716" s="66" t="str">
        <f>IF(AND(OR(LEFT(TH!N716,2)="15",LEFT(TH!O716,2)="15"),'THE KHO'!$E$7=TH!F716),"x","")</f>
        <v/>
      </c>
      <c r="AG716" s="66" t="str">
        <f>IF(AND(N716="1521",MONTH(C716)='BK NL'!$M$11),"x","")</f>
        <v/>
      </c>
    </row>
    <row r="717" spans="1:33" ht="15.75" hidden="1" customHeight="1">
      <c r="A717" s="397" t="str">
        <f>IF(B717&lt;&gt;"",IF(AND(B717&gt;=_TM1,B717&lt;=_TM2,OR(TH!N717="1111",TH!O717="1111")),TH!D717,""),"")</f>
        <v/>
      </c>
      <c r="B717" s="63" t="str">
        <f t="shared" ref="B717:B780" si="63">IF(C717&lt;&gt;"",MONTH(C717),"")</f>
        <v/>
      </c>
      <c r="C717" s="64"/>
      <c r="D717" s="64"/>
      <c r="E717" s="64"/>
      <c r="F717" s="67"/>
      <c r="G717" s="361"/>
      <c r="H717" s="74"/>
      <c r="I717" s="514"/>
      <c r="J717" s="514"/>
      <c r="K717" s="506"/>
      <c r="L717" s="514"/>
      <c r="M717" s="65"/>
      <c r="N717" s="66"/>
      <c r="O717" s="66"/>
      <c r="P717" s="66" t="str">
        <f>IF(AND('331-CT'!$E$7=TH!H717,OR(N717="331",O717="331")),"x","")</f>
        <v/>
      </c>
      <c r="Q717" s="66" t="str">
        <f>IF(AND($B717&gt;='111'!$N$11,$B717&lt;='111'!$O$11,OR($N717=$Q$7,$O717=$Q$7)),"x","")</f>
        <v/>
      </c>
      <c r="R717" s="66" t="str">
        <f>IF(AND($N717=$Q$7,$B717&lt;'111'!$N$11),"x","")</f>
        <v/>
      </c>
      <c r="S717" s="66" t="str">
        <f>IF(AND($O717=$Q$7,$B717&lt;'111'!$N$11),"x","")</f>
        <v/>
      </c>
      <c r="T717" s="66" t="str">
        <f>IF(AND($B717&gt;='112'!$M$9,$B717&lt;='112'!$N$9,OR($N717='112'!$I$6,$O717='112'!$I$6)),"x","")</f>
        <v/>
      </c>
      <c r="U717" s="66" t="str">
        <f>IF(AND($N717='112'!$I$6,$B717&lt;'112'!$M$9),"x","")</f>
        <v/>
      </c>
      <c r="V717" s="66" t="str">
        <f>IF(AND($O717='112'!$I$6,$B717&lt;'112'!$M$9),"x","")</f>
        <v/>
      </c>
      <c r="W717" s="66" t="str">
        <f>IF(AND('131-CT'!$H$9=TH!H717,OR(N717="131",O717="131")),"x","")</f>
        <v/>
      </c>
      <c r="X717" s="66" t="str">
        <f>IF(AND($B717&gt;='1331'!$I$9,$B717&lt;='1331'!$J$9,OR($N717=$X$7,$O717=$X$7)),"x","")</f>
        <v/>
      </c>
      <c r="Y717" s="66" t="str">
        <f>IF(AND($N717=$X$7,$B717&lt;'1331'!$I$9),"x","")</f>
        <v/>
      </c>
      <c r="Z717" s="66" t="str">
        <f>IF(AND($O717=$X$7,$B717&lt;'1331'!$I$9),"x","")</f>
        <v/>
      </c>
      <c r="AA717" s="66" t="str">
        <f>IF(AND('341-CT'!$H$9=H717,OR(LEFT(N717,3)=$AA$7,LEFT(O717,3)=$AA$7)),"x","")</f>
        <v/>
      </c>
      <c r="AB717" s="66" t="str">
        <f>IF(OR(TH!N717=TH!$AB$7,O717=TH!$AB$7),"x","")</f>
        <v/>
      </c>
      <c r="AC717" s="66" t="str">
        <f t="shared" si="62"/>
        <v/>
      </c>
      <c r="AD717" s="66" t="str">
        <f>IF(AND(MONTH(E717)='IN-NX'!$J$5,'IN-NX'!$D$7=D717,OR(LEFT(TH!N717,2)="15",LEFT(TH!O717,2)="15")),"x","")</f>
        <v/>
      </c>
      <c r="AE717" s="66" t="str">
        <f>IF(AND(OR(LEFT(TH!N717,2)="15",LEFT(TH!O717,2)="15"),'152-CT'!$J$8=TH!F717),"x","")</f>
        <v/>
      </c>
      <c r="AF717" s="66" t="str">
        <f>IF(AND(OR(LEFT(TH!N717,2)="15",LEFT(TH!O717,2)="15"),'THE KHO'!$E$7=TH!F717),"x","")</f>
        <v/>
      </c>
      <c r="AG717" s="66" t="str">
        <f>IF(AND(N717="1521",MONTH(C717)='BK NL'!$M$11),"x","")</f>
        <v/>
      </c>
    </row>
    <row r="718" spans="1:33" ht="15.75" hidden="1" customHeight="1">
      <c r="A718" s="397" t="str">
        <f>IF(B718&lt;&gt;"",IF(AND(B718&gt;=_TM1,B718&lt;=_TM2,OR(TH!N718="1111",TH!O718="1111")),TH!D718,""),"")</f>
        <v/>
      </c>
      <c r="B718" s="63" t="str">
        <f t="shared" si="63"/>
        <v/>
      </c>
      <c r="C718" s="64"/>
      <c r="D718" s="64"/>
      <c r="E718" s="64"/>
      <c r="F718" s="67"/>
      <c r="G718" s="361"/>
      <c r="H718" s="74"/>
      <c r="I718" s="514"/>
      <c r="J718" s="514"/>
      <c r="K718" s="506"/>
      <c r="L718" s="514"/>
      <c r="M718" s="65"/>
      <c r="N718" s="66"/>
      <c r="O718" s="66"/>
      <c r="P718" s="66" t="str">
        <f>IF(AND('331-CT'!$E$7=TH!H718,OR(N718="331",O718="331")),"x","")</f>
        <v/>
      </c>
      <c r="Q718" s="66" t="str">
        <f>IF(AND($B718&gt;='111'!$N$11,$B718&lt;='111'!$O$11,OR($N718=$Q$7,$O718=$Q$7)),"x","")</f>
        <v/>
      </c>
      <c r="R718" s="66" t="str">
        <f>IF(AND($N718=$Q$7,$B718&lt;'111'!$N$11),"x","")</f>
        <v/>
      </c>
      <c r="S718" s="66" t="str">
        <f>IF(AND($O718=$Q$7,$B718&lt;'111'!$N$11),"x","")</f>
        <v/>
      </c>
      <c r="T718" s="66" t="str">
        <f>IF(AND($B718&gt;='112'!$M$9,$B718&lt;='112'!$N$9,OR($N718='112'!$I$6,$O718='112'!$I$6)),"x","")</f>
        <v/>
      </c>
      <c r="U718" s="66" t="str">
        <f>IF(AND($N718='112'!$I$6,$B718&lt;'112'!$M$9),"x","")</f>
        <v/>
      </c>
      <c r="V718" s="66" t="str">
        <f>IF(AND($O718='112'!$I$6,$B718&lt;'112'!$M$9),"x","")</f>
        <v/>
      </c>
      <c r="W718" s="66" t="str">
        <f>IF(AND('131-CT'!$H$9=TH!H718,OR(N718="131",O718="131")),"x","")</f>
        <v/>
      </c>
      <c r="X718" s="66" t="str">
        <f>IF(AND($B718&gt;='1331'!$I$9,$B718&lt;='1331'!$J$9,OR($N718=$X$7,$O718=$X$7)),"x","")</f>
        <v/>
      </c>
      <c r="Y718" s="66" t="str">
        <f>IF(AND($N718=$X$7,$B718&lt;'1331'!$I$9),"x","")</f>
        <v/>
      </c>
      <c r="Z718" s="66" t="str">
        <f>IF(AND($O718=$X$7,$B718&lt;'1331'!$I$9),"x","")</f>
        <v/>
      </c>
      <c r="AA718" s="66" t="str">
        <f>IF(AND('341-CT'!$H$9=H718,OR(LEFT(N718,3)=$AA$7,LEFT(O718,3)=$AA$7)),"x","")</f>
        <v/>
      </c>
      <c r="AB718" s="66" t="str">
        <f>IF(OR(TH!N718=TH!$AB$7,O718=TH!$AB$7),"x","")</f>
        <v/>
      </c>
      <c r="AC718" s="66" t="str">
        <f t="shared" si="62"/>
        <v/>
      </c>
      <c r="AD718" s="66" t="str">
        <f>IF(AND(MONTH(E718)='IN-NX'!$J$5,'IN-NX'!$D$7=D718,OR(LEFT(TH!N718,2)="15",LEFT(TH!O718,2)="15")),"x","")</f>
        <v/>
      </c>
      <c r="AE718" s="66" t="str">
        <f>IF(AND(OR(LEFT(TH!N718,2)="15",LEFT(TH!O718,2)="15"),'152-CT'!$J$8=TH!F718),"x","")</f>
        <v/>
      </c>
      <c r="AF718" s="66" t="str">
        <f>IF(AND(OR(LEFT(TH!N718,2)="15",LEFT(TH!O718,2)="15"),'THE KHO'!$E$7=TH!F718),"x","")</f>
        <v/>
      </c>
      <c r="AG718" s="66" t="str">
        <f>IF(AND(N718="1521",MONTH(C718)='BK NL'!$M$11),"x","")</f>
        <v/>
      </c>
    </row>
    <row r="719" spans="1:33" ht="15.75" hidden="1" customHeight="1">
      <c r="A719" s="397" t="str">
        <f>IF(B719&lt;&gt;"",IF(AND(B719&gt;=_TM1,B719&lt;=_TM2,OR(TH!N719="1111",TH!O719="1111")),TH!D719,""),"")</f>
        <v/>
      </c>
      <c r="B719" s="63" t="str">
        <f t="shared" si="63"/>
        <v/>
      </c>
      <c r="C719" s="64"/>
      <c r="D719" s="64"/>
      <c r="E719" s="64"/>
      <c r="F719" s="67"/>
      <c r="G719" s="361"/>
      <c r="H719" s="74"/>
      <c r="I719" s="514"/>
      <c r="J719" s="514"/>
      <c r="K719" s="506"/>
      <c r="L719" s="514"/>
      <c r="M719" s="65"/>
      <c r="N719" s="66"/>
      <c r="O719" s="66"/>
      <c r="P719" s="66" t="str">
        <f>IF(AND('331-CT'!$E$7=TH!H719,OR(N719="331",O719="331")),"x","")</f>
        <v/>
      </c>
      <c r="Q719" s="66" t="str">
        <f>IF(AND($B719&gt;='111'!$N$11,$B719&lt;='111'!$O$11,OR($N719=$Q$7,$O719=$Q$7)),"x","")</f>
        <v/>
      </c>
      <c r="R719" s="66" t="str">
        <f>IF(AND($N719=$Q$7,$B719&lt;'111'!$N$11),"x","")</f>
        <v/>
      </c>
      <c r="S719" s="66" t="str">
        <f>IF(AND($O719=$Q$7,$B719&lt;'111'!$N$11),"x","")</f>
        <v/>
      </c>
      <c r="T719" s="66" t="str">
        <f>IF(AND($B719&gt;='112'!$M$9,$B719&lt;='112'!$N$9,OR($N719='112'!$I$6,$O719='112'!$I$6)),"x","")</f>
        <v/>
      </c>
      <c r="U719" s="66" t="str">
        <f>IF(AND($N719='112'!$I$6,$B719&lt;'112'!$M$9),"x","")</f>
        <v/>
      </c>
      <c r="V719" s="66" t="str">
        <f>IF(AND($O719='112'!$I$6,$B719&lt;'112'!$M$9),"x","")</f>
        <v/>
      </c>
      <c r="W719" s="66" t="str">
        <f>IF(AND('131-CT'!$H$9=TH!H719,OR(N719="131",O719="131")),"x","")</f>
        <v/>
      </c>
      <c r="X719" s="66" t="str">
        <f>IF(AND($B719&gt;='1331'!$I$9,$B719&lt;='1331'!$J$9,OR($N719=$X$7,$O719=$X$7)),"x","")</f>
        <v/>
      </c>
      <c r="Y719" s="66" t="str">
        <f>IF(AND($N719=$X$7,$B719&lt;'1331'!$I$9),"x","")</f>
        <v/>
      </c>
      <c r="Z719" s="66" t="str">
        <f>IF(AND($O719=$X$7,$B719&lt;'1331'!$I$9),"x","")</f>
        <v/>
      </c>
      <c r="AA719" s="66" t="str">
        <f>IF(AND('341-CT'!$H$9=H719,OR(LEFT(N719,3)=$AA$7,LEFT(O719,3)=$AA$7)),"x","")</f>
        <v/>
      </c>
      <c r="AB719" s="66" t="str">
        <f>IF(OR(TH!N719=TH!$AB$7,O719=TH!$AB$7),"x","")</f>
        <v/>
      </c>
      <c r="AC719" s="66" t="str">
        <f t="shared" si="62"/>
        <v/>
      </c>
      <c r="AD719" s="66" t="str">
        <f>IF(AND(MONTH(E719)='IN-NX'!$J$5,'IN-NX'!$D$7=D719,OR(LEFT(TH!N719,2)="15",LEFT(TH!O719,2)="15")),"x","")</f>
        <v/>
      </c>
      <c r="AE719" s="66" t="str">
        <f>IF(AND(OR(LEFT(TH!N719,2)="15",LEFT(TH!O719,2)="15"),'152-CT'!$J$8=TH!F719),"x","")</f>
        <v/>
      </c>
      <c r="AF719" s="66" t="str">
        <f>IF(AND(OR(LEFT(TH!N719,2)="15",LEFT(TH!O719,2)="15"),'THE KHO'!$E$7=TH!F719),"x","")</f>
        <v/>
      </c>
      <c r="AG719" s="66" t="str">
        <f>IF(AND(N719="1521",MONTH(C719)='BK NL'!$M$11),"x","")</f>
        <v/>
      </c>
    </row>
    <row r="720" spans="1:33" s="410" customFormat="1" ht="15.75" hidden="1" customHeight="1">
      <c r="A720" s="397" t="str">
        <f>IF(B720&lt;&gt;"",IF(AND(B720&gt;=_TM1,B720&lt;=_TM2,OR(TH!N720="1111",TH!O720="1111")),TH!D720,""),"")</f>
        <v/>
      </c>
      <c r="B720" s="63" t="str">
        <f t="shared" si="63"/>
        <v/>
      </c>
      <c r="C720" s="64"/>
      <c r="D720" s="64"/>
      <c r="E720" s="64"/>
      <c r="F720" s="67"/>
      <c r="G720" s="361"/>
      <c r="H720" s="74"/>
      <c r="I720" s="514"/>
      <c r="J720" s="514"/>
      <c r="K720" s="506"/>
      <c r="L720" s="514"/>
      <c r="M720" s="65"/>
      <c r="N720" s="66"/>
      <c r="O720" s="66"/>
      <c r="P720" s="66" t="str">
        <f>IF(AND('331-CT'!$E$7=TH!H720,OR(N720="331",O720="331")),"x","")</f>
        <v/>
      </c>
      <c r="Q720" s="66" t="str">
        <f>IF(AND($B720&gt;='111'!$N$11,$B720&lt;='111'!$O$11,OR($N720=$Q$7,$O720=$Q$7)),"x","")</f>
        <v/>
      </c>
      <c r="R720" s="66" t="str">
        <f>IF(AND($N720=$Q$7,$B720&lt;'111'!$N$11),"x","")</f>
        <v/>
      </c>
      <c r="S720" s="66" t="str">
        <f>IF(AND($O720=$Q$7,$B720&lt;'111'!$N$11),"x","")</f>
        <v/>
      </c>
      <c r="T720" s="66" t="str">
        <f>IF(AND($B720&gt;='112'!$M$9,$B720&lt;='112'!$N$9,OR($N720='112'!$I$6,$O720='112'!$I$6)),"x","")</f>
        <v/>
      </c>
      <c r="U720" s="66" t="str">
        <f>IF(AND($N720='112'!$I$6,$B720&lt;'112'!$M$9),"x","")</f>
        <v/>
      </c>
      <c r="V720" s="66" t="str">
        <f>IF(AND($O720='112'!$I$6,$B720&lt;'112'!$M$9),"x","")</f>
        <v/>
      </c>
      <c r="W720" s="66" t="str">
        <f>IF(AND('131-CT'!$H$9=TH!H720,OR(N720="131",O720="131")),"x","")</f>
        <v/>
      </c>
      <c r="X720" s="66" t="str">
        <f>IF(AND($B720&gt;='1331'!$I$9,$B720&lt;='1331'!$J$9,OR($N720=$X$7,$O720=$X$7)),"x","")</f>
        <v/>
      </c>
      <c r="Y720" s="66" t="str">
        <f>IF(AND($N720=$X$7,$B720&lt;'1331'!$I$9),"x","")</f>
        <v/>
      </c>
      <c r="Z720" s="66" t="str">
        <f>IF(AND($O720=$X$7,$B720&lt;'1331'!$I$9),"x","")</f>
        <v/>
      </c>
      <c r="AA720" s="66" t="str">
        <f>IF(AND('341-CT'!$H$9=H720,OR(LEFT(N720,3)=$AA$7,LEFT(O720,3)=$AA$7)),"x","")</f>
        <v/>
      </c>
      <c r="AB720" s="66" t="str">
        <f>IF(OR(TH!N720=TH!$AB$7,O720=TH!$AB$7),"x","")</f>
        <v/>
      </c>
      <c r="AC720" s="66" t="str">
        <f t="shared" si="62"/>
        <v/>
      </c>
      <c r="AD720" s="66" t="str">
        <f>IF(AND(MONTH(E720)='IN-NX'!$J$5,'IN-NX'!$D$7=D720,OR(LEFT(TH!N720,2)="15",LEFT(TH!O720,2)="15")),"x","")</f>
        <v/>
      </c>
      <c r="AE720" s="66" t="str">
        <f>IF(AND(OR(LEFT(TH!N720,2)="15",LEFT(TH!O720,2)="15"),'152-CT'!$J$8=TH!F720),"x","")</f>
        <v/>
      </c>
      <c r="AF720" s="66" t="str">
        <f>IF(AND(OR(LEFT(TH!N720,2)="15",LEFT(TH!O720,2)="15"),'THE KHO'!$E$7=TH!F720),"x","")</f>
        <v/>
      </c>
      <c r="AG720" s="66" t="str">
        <f>IF(AND(N720="1521",MONTH(C720)='BK NL'!$M$11),"x","")</f>
        <v/>
      </c>
    </row>
    <row r="721" spans="1:33" s="410" customFormat="1" ht="15.75" hidden="1" customHeight="1">
      <c r="A721" s="397" t="str">
        <f>IF(B721&lt;&gt;"",IF(AND(B721&gt;=_TM1,B721&lt;=_TM2,OR(TH!N721="1111",TH!O721="1111")),TH!D721,""),"")</f>
        <v/>
      </c>
      <c r="B721" s="63" t="str">
        <f t="shared" si="63"/>
        <v/>
      </c>
      <c r="C721" s="64"/>
      <c r="D721" s="64"/>
      <c r="E721" s="64"/>
      <c r="F721" s="67"/>
      <c r="G721" s="361"/>
      <c r="H721" s="74"/>
      <c r="I721" s="514"/>
      <c r="J721" s="514"/>
      <c r="K721" s="506"/>
      <c r="L721" s="514"/>
      <c r="M721" s="65"/>
      <c r="N721" s="66"/>
      <c r="O721" s="66"/>
      <c r="P721" s="66" t="str">
        <f>IF(AND('331-CT'!$E$7=TH!H721,OR(N721="331",O721="331")),"x","")</f>
        <v/>
      </c>
      <c r="Q721" s="66" t="str">
        <f>IF(AND($B721&gt;='111'!$N$11,$B721&lt;='111'!$O$11,OR($N721=$Q$7,$O721=$Q$7)),"x","")</f>
        <v/>
      </c>
      <c r="R721" s="66" t="str">
        <f>IF(AND($N721=$Q$7,$B721&lt;'111'!$N$11),"x","")</f>
        <v/>
      </c>
      <c r="S721" s="66" t="str">
        <f>IF(AND($O721=$Q$7,$B721&lt;'111'!$N$11),"x","")</f>
        <v/>
      </c>
      <c r="T721" s="66" t="str">
        <f>IF(AND($B721&gt;='112'!$M$9,$B721&lt;='112'!$N$9,OR($N721='112'!$I$6,$O721='112'!$I$6)),"x","")</f>
        <v/>
      </c>
      <c r="U721" s="66" t="str">
        <f>IF(AND($N721='112'!$I$6,$B721&lt;'112'!$M$9),"x","")</f>
        <v/>
      </c>
      <c r="V721" s="66" t="str">
        <f>IF(AND($O721='112'!$I$6,$B721&lt;'112'!$M$9),"x","")</f>
        <v/>
      </c>
      <c r="W721" s="66" t="str">
        <f>IF(AND('131-CT'!$H$9=TH!H721,OR(N721="131",O721="131")),"x","")</f>
        <v/>
      </c>
      <c r="X721" s="66" t="str">
        <f>IF(AND($B721&gt;='1331'!$I$9,$B721&lt;='1331'!$J$9,OR($N721=$X$7,$O721=$X$7)),"x","")</f>
        <v/>
      </c>
      <c r="Y721" s="66" t="str">
        <f>IF(AND($N721=$X$7,$B721&lt;'1331'!$I$9),"x","")</f>
        <v/>
      </c>
      <c r="Z721" s="66" t="str">
        <f>IF(AND($O721=$X$7,$B721&lt;'1331'!$I$9),"x","")</f>
        <v/>
      </c>
      <c r="AA721" s="66" t="str">
        <f>IF(AND('341-CT'!$H$9=H721,OR(LEFT(N721,3)=$AA$7,LEFT(O721,3)=$AA$7)),"x","")</f>
        <v/>
      </c>
      <c r="AB721" s="66" t="str">
        <f>IF(OR(TH!N721=TH!$AB$7,O721=TH!$AB$7),"x","")</f>
        <v/>
      </c>
      <c r="AC721" s="66" t="str">
        <f t="shared" si="62"/>
        <v/>
      </c>
      <c r="AD721" s="66" t="str">
        <f>IF(AND(MONTH(E721)='IN-NX'!$J$5,'IN-NX'!$D$7=D721,OR(LEFT(TH!N721,2)="15",LEFT(TH!O721,2)="15")),"x","")</f>
        <v/>
      </c>
      <c r="AE721" s="66" t="str">
        <f>IF(AND(OR(LEFT(TH!N721,2)="15",LEFT(TH!O721,2)="15"),'152-CT'!$J$8=TH!F721),"x","")</f>
        <v/>
      </c>
      <c r="AF721" s="66" t="str">
        <f>IF(AND(OR(LEFT(TH!N721,2)="15",LEFT(TH!O721,2)="15"),'THE KHO'!$E$7=TH!F721),"x","")</f>
        <v/>
      </c>
      <c r="AG721" s="66" t="str">
        <f>IF(AND(N721="1521",MONTH(C721)='BK NL'!$M$11),"x","")</f>
        <v/>
      </c>
    </row>
    <row r="722" spans="1:33" ht="15.75" hidden="1" customHeight="1">
      <c r="A722" s="397" t="str">
        <f>IF(B722&lt;&gt;"",IF(AND(B722&gt;=_TM1,B722&lt;=_TM2,OR(TH!N722="1111",TH!O722="1111")),TH!D722,""),"")</f>
        <v/>
      </c>
      <c r="B722" s="63" t="str">
        <f t="shared" si="63"/>
        <v/>
      </c>
      <c r="C722" s="64"/>
      <c r="D722" s="64"/>
      <c r="E722" s="64"/>
      <c r="F722" s="67"/>
      <c r="G722" s="361"/>
      <c r="H722" s="74"/>
      <c r="I722" s="514"/>
      <c r="J722" s="514"/>
      <c r="K722" s="506"/>
      <c r="L722" s="514"/>
      <c r="M722" s="65"/>
      <c r="N722" s="66"/>
      <c r="O722" s="66"/>
      <c r="P722" s="66" t="str">
        <f>IF(AND('331-CT'!$E$7=TH!H722,OR(N722="331",O722="331")),"x","")</f>
        <v/>
      </c>
      <c r="Q722" s="66" t="str">
        <f>IF(AND($B722&gt;='111'!$N$11,$B722&lt;='111'!$O$11,OR($N722=$Q$7,$O722=$Q$7)),"x","")</f>
        <v/>
      </c>
      <c r="R722" s="66" t="str">
        <f>IF(AND($N722=$Q$7,$B722&lt;'111'!$N$11),"x","")</f>
        <v/>
      </c>
      <c r="S722" s="66" t="str">
        <f>IF(AND($O722=$Q$7,$B722&lt;'111'!$N$11),"x","")</f>
        <v/>
      </c>
      <c r="T722" s="66" t="str">
        <f>IF(AND($B722&gt;='112'!$M$9,$B722&lt;='112'!$N$9,OR($N722='112'!$I$6,$O722='112'!$I$6)),"x","")</f>
        <v/>
      </c>
      <c r="U722" s="66" t="str">
        <f>IF(AND($N722='112'!$I$6,$B722&lt;'112'!$M$9),"x","")</f>
        <v/>
      </c>
      <c r="V722" s="66" t="str">
        <f>IF(AND($O722='112'!$I$6,$B722&lt;'112'!$M$9),"x","")</f>
        <v/>
      </c>
      <c r="W722" s="66" t="str">
        <f>IF(AND('131-CT'!$H$9=TH!H722,OR(N722="131",O722="131")),"x","")</f>
        <v/>
      </c>
      <c r="X722" s="66" t="str">
        <f>IF(AND($B722&gt;='1331'!$I$9,$B722&lt;='1331'!$J$9,OR($N722=$X$7,$O722=$X$7)),"x","")</f>
        <v/>
      </c>
      <c r="Y722" s="66" t="str">
        <f>IF(AND($N722=$X$7,$B722&lt;'1331'!$I$9),"x","")</f>
        <v/>
      </c>
      <c r="Z722" s="66" t="str">
        <f>IF(AND($O722=$X$7,$B722&lt;'1331'!$I$9),"x","")</f>
        <v/>
      </c>
      <c r="AA722" s="66" t="str">
        <f>IF(AND('341-CT'!$H$9=H722,OR(LEFT(N722,3)=$AA$7,LEFT(O722,3)=$AA$7)),"x","")</f>
        <v/>
      </c>
      <c r="AB722" s="66" t="str">
        <f>IF(OR(TH!N722=TH!$AB$7,O722=TH!$AB$7),"x","")</f>
        <v/>
      </c>
      <c r="AC722" s="66" t="str">
        <f t="shared" ref="AC722:AC785" si="64">IF(AND(1&lt;=$B722,$B722&lt;=3),"1",IF(AND(4&lt;=$B722,$B722&lt;=6),"2",IF(AND(7&lt;=$B722,$B722&lt;=9),"3",IF(AND(10&lt;=$B722,$B722&lt;=12),"4",""))))</f>
        <v/>
      </c>
      <c r="AD722" s="66" t="str">
        <f>IF(AND(MONTH(E722)='IN-NX'!$J$5,'IN-NX'!$D$7=D722,OR(LEFT(TH!N722,2)="15",LEFT(TH!O722,2)="15")),"x","")</f>
        <v/>
      </c>
      <c r="AE722" s="66" t="str">
        <f>IF(AND(OR(LEFT(TH!N722,2)="15",LEFT(TH!O722,2)="15"),'152-CT'!$J$8=TH!F722),"x","")</f>
        <v/>
      </c>
      <c r="AF722" s="66" t="str">
        <f>IF(AND(OR(LEFT(TH!N722,2)="15",LEFT(TH!O722,2)="15"),'THE KHO'!$E$7=TH!F722),"x","")</f>
        <v/>
      </c>
      <c r="AG722" s="66" t="str">
        <f>IF(AND(N722="1521",MONTH(C722)='BK NL'!$M$11),"x","")</f>
        <v/>
      </c>
    </row>
    <row r="723" spans="1:33" ht="15.75" hidden="1" customHeight="1">
      <c r="A723" s="397" t="str">
        <f>IF(B723&lt;&gt;"",IF(AND(B723&gt;=_TM1,B723&lt;=_TM2,OR(TH!N723="1111",TH!O723="1111")),TH!D723,""),"")</f>
        <v/>
      </c>
      <c r="B723" s="63" t="str">
        <f t="shared" si="63"/>
        <v/>
      </c>
      <c r="C723" s="64"/>
      <c r="D723" s="64"/>
      <c r="E723" s="64"/>
      <c r="F723" s="67"/>
      <c r="G723" s="361"/>
      <c r="H723" s="74"/>
      <c r="I723" s="514"/>
      <c r="J723" s="514"/>
      <c r="K723" s="506"/>
      <c r="L723" s="514"/>
      <c r="M723" s="65"/>
      <c r="N723" s="66"/>
      <c r="O723" s="66"/>
      <c r="P723" s="66" t="str">
        <f>IF(AND('331-CT'!$E$7=TH!H723,OR(N723="331",O723="331")),"x","")</f>
        <v/>
      </c>
      <c r="Q723" s="66" t="str">
        <f>IF(AND($B723&gt;='111'!$N$11,$B723&lt;='111'!$O$11,OR($N723=$Q$7,$O723=$Q$7)),"x","")</f>
        <v/>
      </c>
      <c r="R723" s="66" t="str">
        <f>IF(AND($N723=$Q$7,$B723&lt;'111'!$N$11),"x","")</f>
        <v/>
      </c>
      <c r="S723" s="66" t="str">
        <f>IF(AND($O723=$Q$7,$B723&lt;'111'!$N$11),"x","")</f>
        <v/>
      </c>
      <c r="T723" s="66" t="str">
        <f>IF(AND($B723&gt;='112'!$M$9,$B723&lt;='112'!$N$9,OR($N723='112'!$I$6,$O723='112'!$I$6)),"x","")</f>
        <v/>
      </c>
      <c r="U723" s="66" t="str">
        <f>IF(AND($N723='112'!$I$6,$B723&lt;'112'!$M$9),"x","")</f>
        <v/>
      </c>
      <c r="V723" s="66" t="str">
        <f>IF(AND($O723='112'!$I$6,$B723&lt;'112'!$M$9),"x","")</f>
        <v/>
      </c>
      <c r="W723" s="66" t="str">
        <f>IF(AND('131-CT'!$H$9=TH!H723,OR(N723="131",O723="131")),"x","")</f>
        <v/>
      </c>
      <c r="X723" s="66" t="str">
        <f>IF(AND($B723&gt;='1331'!$I$9,$B723&lt;='1331'!$J$9,OR($N723=$X$7,$O723=$X$7)),"x","")</f>
        <v/>
      </c>
      <c r="Y723" s="66" t="str">
        <f>IF(AND($N723=$X$7,$B723&lt;'1331'!$I$9),"x","")</f>
        <v/>
      </c>
      <c r="Z723" s="66" t="str">
        <f>IF(AND($O723=$X$7,$B723&lt;'1331'!$I$9),"x","")</f>
        <v/>
      </c>
      <c r="AA723" s="66" t="str">
        <f>IF(AND('341-CT'!$H$9=H723,OR(LEFT(N723,3)=$AA$7,LEFT(O723,3)=$AA$7)),"x","")</f>
        <v/>
      </c>
      <c r="AB723" s="66" t="str">
        <f>IF(OR(TH!N723=TH!$AB$7,O723=TH!$AB$7),"x","")</f>
        <v/>
      </c>
      <c r="AC723" s="66" t="str">
        <f t="shared" si="64"/>
        <v/>
      </c>
      <c r="AD723" s="66" t="str">
        <f>IF(AND(MONTH(E723)='IN-NX'!$J$5,'IN-NX'!$D$7=D723,OR(LEFT(TH!N723,2)="15",LEFT(TH!O723,2)="15")),"x","")</f>
        <v/>
      </c>
      <c r="AE723" s="66" t="str">
        <f>IF(AND(OR(LEFT(TH!N723,2)="15",LEFT(TH!O723,2)="15"),'152-CT'!$J$8=TH!F723),"x","")</f>
        <v/>
      </c>
      <c r="AF723" s="66" t="str">
        <f>IF(AND(OR(LEFT(TH!N723,2)="15",LEFT(TH!O723,2)="15"),'THE KHO'!$E$7=TH!F723),"x","")</f>
        <v/>
      </c>
      <c r="AG723" s="66" t="str">
        <f>IF(AND(N723="1521",MONTH(C723)='BK NL'!$M$11),"x","")</f>
        <v/>
      </c>
    </row>
    <row r="724" spans="1:33" ht="15.75" hidden="1" customHeight="1">
      <c r="A724" s="397" t="str">
        <f>IF(B724&lt;&gt;"",IF(AND(B724&gt;=_TM1,B724&lt;=_TM2,OR(TH!N724="1111",TH!O724="1111")),TH!D724,""),"")</f>
        <v/>
      </c>
      <c r="B724" s="63" t="str">
        <f t="shared" si="63"/>
        <v/>
      </c>
      <c r="C724" s="64"/>
      <c r="D724" s="64"/>
      <c r="E724" s="64"/>
      <c r="F724" s="67"/>
      <c r="G724" s="361"/>
      <c r="H724" s="74"/>
      <c r="I724" s="514"/>
      <c r="J724" s="514"/>
      <c r="K724" s="506"/>
      <c r="L724" s="514"/>
      <c r="M724" s="65"/>
      <c r="N724" s="66"/>
      <c r="O724" s="66"/>
      <c r="P724" s="66" t="str">
        <f>IF(AND('331-CT'!$E$7=TH!H724,OR(N724="331",O724="331")),"x","")</f>
        <v/>
      </c>
      <c r="Q724" s="66" t="str">
        <f>IF(AND($B724&gt;='111'!$N$11,$B724&lt;='111'!$O$11,OR($N724=$Q$7,$O724=$Q$7)),"x","")</f>
        <v/>
      </c>
      <c r="R724" s="66" t="str">
        <f>IF(AND($N724=$Q$7,$B724&lt;'111'!$N$11),"x","")</f>
        <v/>
      </c>
      <c r="S724" s="66" t="str">
        <f>IF(AND($O724=$Q$7,$B724&lt;'111'!$N$11),"x","")</f>
        <v/>
      </c>
      <c r="T724" s="66" t="str">
        <f>IF(AND($B724&gt;='112'!$M$9,$B724&lt;='112'!$N$9,OR($N724='112'!$I$6,$O724='112'!$I$6)),"x","")</f>
        <v/>
      </c>
      <c r="U724" s="66" t="str">
        <f>IF(AND($N724='112'!$I$6,$B724&lt;'112'!$M$9),"x","")</f>
        <v/>
      </c>
      <c r="V724" s="66" t="str">
        <f>IF(AND($O724='112'!$I$6,$B724&lt;'112'!$M$9),"x","")</f>
        <v/>
      </c>
      <c r="W724" s="66" t="str">
        <f>IF(AND('131-CT'!$H$9=TH!H724,OR(N724="131",O724="131")),"x","")</f>
        <v/>
      </c>
      <c r="X724" s="66" t="str">
        <f>IF(AND($B724&gt;='1331'!$I$9,$B724&lt;='1331'!$J$9,OR($N724=$X$7,$O724=$X$7)),"x","")</f>
        <v/>
      </c>
      <c r="Y724" s="66" t="str">
        <f>IF(AND($N724=$X$7,$B724&lt;'1331'!$I$9),"x","")</f>
        <v/>
      </c>
      <c r="Z724" s="66" t="str">
        <f>IF(AND($O724=$X$7,$B724&lt;'1331'!$I$9),"x","")</f>
        <v/>
      </c>
      <c r="AA724" s="66" t="str">
        <f>IF(AND('341-CT'!$H$9=H724,OR(LEFT(N724,3)=$AA$7,LEFT(O724,3)=$AA$7)),"x","")</f>
        <v/>
      </c>
      <c r="AB724" s="66" t="str">
        <f>IF(OR(TH!N724=TH!$AB$7,O724=TH!$AB$7),"x","")</f>
        <v/>
      </c>
      <c r="AC724" s="66" t="str">
        <f t="shared" si="64"/>
        <v/>
      </c>
      <c r="AD724" s="66" t="str">
        <f>IF(AND(MONTH(E724)='IN-NX'!$J$5,'IN-NX'!$D$7=D724,OR(LEFT(TH!N724,2)="15",LEFT(TH!O724,2)="15")),"x","")</f>
        <v/>
      </c>
      <c r="AE724" s="66" t="str">
        <f>IF(AND(OR(LEFT(TH!N724,2)="15",LEFT(TH!O724,2)="15"),'152-CT'!$J$8=TH!F724),"x","")</f>
        <v/>
      </c>
      <c r="AF724" s="66" t="str">
        <f>IF(AND(OR(LEFT(TH!N724,2)="15",LEFT(TH!O724,2)="15"),'THE KHO'!$E$7=TH!F724),"x","")</f>
        <v/>
      </c>
      <c r="AG724" s="66" t="str">
        <f>IF(AND(N724="1521",MONTH(C724)='BK NL'!$M$11),"x","")</f>
        <v/>
      </c>
    </row>
    <row r="725" spans="1:33" ht="15.75" hidden="1" customHeight="1">
      <c r="A725" s="397" t="str">
        <f>IF(B725&lt;&gt;"",IF(AND(B725&gt;=_TM1,B725&lt;=_TM2,OR(TH!N725="1111",TH!O725="1111")),TH!D725,""),"")</f>
        <v/>
      </c>
      <c r="B725" s="63" t="str">
        <f t="shared" si="63"/>
        <v/>
      </c>
      <c r="C725" s="64"/>
      <c r="D725" s="64"/>
      <c r="E725" s="64"/>
      <c r="F725" s="67"/>
      <c r="G725" s="361"/>
      <c r="H725" s="404"/>
      <c r="I725" s="515"/>
      <c r="J725" s="515"/>
      <c r="K725" s="507"/>
      <c r="L725" s="515"/>
      <c r="M725" s="65"/>
      <c r="N725" s="66"/>
      <c r="O725" s="66"/>
      <c r="P725" s="66" t="str">
        <f>IF(AND('331-CT'!$E$7=TH!H725,OR(N725="331",O725="331")),"x","")</f>
        <v/>
      </c>
      <c r="Q725" s="66" t="str">
        <f>IF(AND($B725&gt;='111'!$N$11,$B725&lt;='111'!$O$11,OR($N725=$Q$7,$O725=$Q$7)),"x","")</f>
        <v/>
      </c>
      <c r="R725" s="66" t="str">
        <f>IF(AND($N725=$Q$7,$B725&lt;'111'!$N$11),"x","")</f>
        <v/>
      </c>
      <c r="S725" s="66" t="str">
        <f>IF(AND($O725=$Q$7,$B725&lt;'111'!$N$11),"x","")</f>
        <v/>
      </c>
      <c r="T725" s="66" t="str">
        <f>IF(AND($B725&gt;='112'!$M$9,$B725&lt;='112'!$N$9,OR($N725='112'!$I$6,$O725='112'!$I$6)),"x","")</f>
        <v/>
      </c>
      <c r="U725" s="66" t="str">
        <f>IF(AND($N725='112'!$I$6,$B725&lt;'112'!$M$9),"x","")</f>
        <v/>
      </c>
      <c r="V725" s="66" t="str">
        <f>IF(AND($O725='112'!$I$6,$B725&lt;'112'!$M$9),"x","")</f>
        <v/>
      </c>
      <c r="W725" s="66" t="str">
        <f>IF(AND('131-CT'!$H$9=TH!H725,OR(N725="131",O725="131")),"x","")</f>
        <v/>
      </c>
      <c r="X725" s="66" t="str">
        <f>IF(AND($B725&gt;='1331'!$I$9,$B725&lt;='1331'!$J$9,OR($N725=$X$7,$O725=$X$7)),"x","")</f>
        <v/>
      </c>
      <c r="Y725" s="66" t="str">
        <f>IF(AND($N725=$X$7,$B725&lt;'1331'!$I$9),"x","")</f>
        <v/>
      </c>
      <c r="Z725" s="66" t="str">
        <f>IF(AND($O725=$X$7,$B725&lt;'1331'!$I$9),"x","")</f>
        <v/>
      </c>
      <c r="AA725" s="66" t="str">
        <f>IF(AND('341-CT'!$H$9=H725,OR(LEFT(N725,3)=$AA$7,LEFT(O725,3)=$AA$7)),"x","")</f>
        <v/>
      </c>
      <c r="AB725" s="66" t="str">
        <f>IF(OR(TH!N725=TH!$AB$7,O725=TH!$AB$7),"x","")</f>
        <v/>
      </c>
      <c r="AC725" s="66" t="str">
        <f t="shared" si="64"/>
        <v/>
      </c>
      <c r="AD725" s="66" t="str">
        <f>IF(AND(MONTH(E725)='IN-NX'!$J$5,'IN-NX'!$D$7=D725,OR(LEFT(TH!N725,2)="15",LEFT(TH!O725,2)="15")),"x","")</f>
        <v/>
      </c>
      <c r="AE725" s="66" t="str">
        <f>IF(AND(OR(LEFT(TH!N725,2)="15",LEFT(TH!O725,2)="15"),'152-CT'!$J$8=TH!F725),"x","")</f>
        <v/>
      </c>
      <c r="AF725" s="66" t="str">
        <f>IF(AND(OR(LEFT(TH!N725,2)="15",LEFT(TH!O725,2)="15"),'THE KHO'!$E$7=TH!F725),"x","")</f>
        <v/>
      </c>
      <c r="AG725" s="66" t="str">
        <f>IF(AND(N725="1521",MONTH(C725)='BK NL'!$M$11),"x","")</f>
        <v/>
      </c>
    </row>
    <row r="726" spans="1:33" ht="15.75" hidden="1" customHeight="1">
      <c r="A726" s="397" t="str">
        <f>IF(B726&lt;&gt;"",IF(AND(B726&gt;=_TM1,B726&lt;=_TM2,OR(TH!N726="1111",TH!O726="1111")),TH!D726,""),"")</f>
        <v/>
      </c>
      <c r="B726" s="63" t="str">
        <f t="shared" si="63"/>
        <v/>
      </c>
      <c r="C726" s="64"/>
      <c r="D726" s="64"/>
      <c r="E726" s="64"/>
      <c r="F726" s="67"/>
      <c r="G726" s="361"/>
      <c r="H726" s="74"/>
      <c r="I726" s="514"/>
      <c r="J726" s="514"/>
      <c r="K726" s="506"/>
      <c r="L726" s="514"/>
      <c r="M726" s="65"/>
      <c r="N726" s="66"/>
      <c r="O726" s="66"/>
      <c r="P726" s="66" t="str">
        <f>IF(AND('331-CT'!$E$7=TH!H726,OR(N726="331",O726="331")),"x","")</f>
        <v/>
      </c>
      <c r="Q726" s="66" t="str">
        <f>IF(AND($B726&gt;='111'!$N$11,$B726&lt;='111'!$O$11,OR($N726=$Q$7,$O726=$Q$7)),"x","")</f>
        <v/>
      </c>
      <c r="R726" s="66" t="str">
        <f>IF(AND($N726=$Q$7,$B726&lt;'111'!$N$11),"x","")</f>
        <v/>
      </c>
      <c r="S726" s="66" t="str">
        <f>IF(AND($O726=$Q$7,$B726&lt;'111'!$N$11),"x","")</f>
        <v/>
      </c>
      <c r="T726" s="66" t="str">
        <f>IF(AND($B726&gt;='112'!$M$9,$B726&lt;='112'!$N$9,OR($N726='112'!$I$6,$O726='112'!$I$6)),"x","")</f>
        <v/>
      </c>
      <c r="U726" s="66" t="str">
        <f>IF(AND($N726='112'!$I$6,$B726&lt;'112'!$M$9),"x","")</f>
        <v/>
      </c>
      <c r="V726" s="66" t="str">
        <f>IF(AND($O726='112'!$I$6,$B726&lt;'112'!$M$9),"x","")</f>
        <v/>
      </c>
      <c r="W726" s="66" t="str">
        <f>IF(AND('131-CT'!$H$9=TH!H726,OR(N726="131",O726="131")),"x","")</f>
        <v/>
      </c>
      <c r="X726" s="66" t="str">
        <f>IF(AND($B726&gt;='1331'!$I$9,$B726&lt;='1331'!$J$9,OR($N726=$X$7,$O726=$X$7)),"x","")</f>
        <v/>
      </c>
      <c r="Y726" s="66" t="str">
        <f>IF(AND($N726=$X$7,$B726&lt;'1331'!$I$9),"x","")</f>
        <v/>
      </c>
      <c r="Z726" s="66" t="str">
        <f>IF(AND($O726=$X$7,$B726&lt;'1331'!$I$9),"x","")</f>
        <v/>
      </c>
      <c r="AA726" s="66" t="str">
        <f>IF(AND('341-CT'!$H$9=H726,OR(LEFT(N726,3)=$AA$7,LEFT(O726,3)=$AA$7)),"x","")</f>
        <v/>
      </c>
      <c r="AB726" s="66" t="str">
        <f>IF(OR(TH!N726=TH!$AB$7,O726=TH!$AB$7),"x","")</f>
        <v/>
      </c>
      <c r="AC726" s="66" t="str">
        <f t="shared" si="64"/>
        <v/>
      </c>
      <c r="AD726" s="66" t="str">
        <f>IF(AND(MONTH(E726)='IN-NX'!$J$5,'IN-NX'!$D$7=D726,OR(LEFT(TH!N726,2)="15",LEFT(TH!O726,2)="15")),"x","")</f>
        <v/>
      </c>
      <c r="AE726" s="66" t="str">
        <f>IF(AND(OR(LEFT(TH!N726,2)="15",LEFT(TH!O726,2)="15"),'152-CT'!$J$8=TH!F726),"x","")</f>
        <v/>
      </c>
      <c r="AF726" s="66" t="str">
        <f>IF(AND(OR(LEFT(TH!N726,2)="15",LEFT(TH!O726,2)="15"),'THE KHO'!$E$7=TH!F726),"x","")</f>
        <v/>
      </c>
      <c r="AG726" s="66" t="str">
        <f>IF(AND(N726="1521",MONTH(C726)='BK NL'!$M$11),"x","")</f>
        <v/>
      </c>
    </row>
    <row r="727" spans="1:33" ht="15.75" hidden="1" customHeight="1">
      <c r="A727" s="397" t="str">
        <f>IF(B727&lt;&gt;"",IF(AND(B727&gt;=_TM1,B727&lt;=_TM2,OR(TH!N727="1111",TH!O727="1111")),TH!D727,""),"")</f>
        <v/>
      </c>
      <c r="B727" s="63" t="str">
        <f t="shared" si="63"/>
        <v/>
      </c>
      <c r="C727" s="64"/>
      <c r="D727" s="64"/>
      <c r="E727" s="64"/>
      <c r="F727" s="67"/>
      <c r="G727" s="361"/>
      <c r="H727" s="74"/>
      <c r="I727" s="514"/>
      <c r="J727" s="514"/>
      <c r="K727" s="506"/>
      <c r="L727" s="514"/>
      <c r="M727" s="65"/>
      <c r="N727" s="66"/>
      <c r="O727" s="66"/>
      <c r="P727" s="66" t="str">
        <f>IF(AND('331-CT'!$E$7=TH!H727,OR(N727="331",O727="331")),"x","")</f>
        <v/>
      </c>
      <c r="Q727" s="66" t="str">
        <f>IF(AND($B727&gt;='111'!$N$11,$B727&lt;='111'!$O$11,OR($N727=$Q$7,$O727=$Q$7)),"x","")</f>
        <v/>
      </c>
      <c r="R727" s="66" t="str">
        <f>IF(AND($N727=$Q$7,$B727&lt;'111'!$N$11),"x","")</f>
        <v/>
      </c>
      <c r="S727" s="66" t="str">
        <f>IF(AND($O727=$Q$7,$B727&lt;'111'!$N$11),"x","")</f>
        <v/>
      </c>
      <c r="T727" s="66" t="str">
        <f>IF(AND($B727&gt;='112'!$M$9,$B727&lt;='112'!$N$9,OR($N727='112'!$I$6,$O727='112'!$I$6)),"x","")</f>
        <v/>
      </c>
      <c r="U727" s="66" t="str">
        <f>IF(AND($N727='112'!$I$6,$B727&lt;'112'!$M$9),"x","")</f>
        <v/>
      </c>
      <c r="V727" s="66" t="str">
        <f>IF(AND($O727='112'!$I$6,$B727&lt;'112'!$M$9),"x","")</f>
        <v/>
      </c>
      <c r="W727" s="66" t="str">
        <f>IF(AND('131-CT'!$H$9=TH!H727,OR(N727="131",O727="131")),"x","")</f>
        <v/>
      </c>
      <c r="X727" s="66" t="str">
        <f>IF(AND($B727&gt;='1331'!$I$9,$B727&lt;='1331'!$J$9,OR($N727=$X$7,$O727=$X$7)),"x","")</f>
        <v/>
      </c>
      <c r="Y727" s="66" t="str">
        <f>IF(AND($N727=$X$7,$B727&lt;'1331'!$I$9),"x","")</f>
        <v/>
      </c>
      <c r="Z727" s="66" t="str">
        <f>IF(AND($O727=$X$7,$B727&lt;'1331'!$I$9),"x","")</f>
        <v/>
      </c>
      <c r="AA727" s="66" t="str">
        <f>IF(AND('341-CT'!$H$9=H727,OR(LEFT(N727,3)=$AA$7,LEFT(O727,3)=$AA$7)),"x","")</f>
        <v/>
      </c>
      <c r="AB727" s="66" t="str">
        <f>IF(OR(TH!N727=TH!$AB$7,O727=TH!$AB$7),"x","")</f>
        <v/>
      </c>
      <c r="AC727" s="66" t="str">
        <f t="shared" si="64"/>
        <v/>
      </c>
      <c r="AD727" s="66" t="str">
        <f>IF(AND(MONTH(E727)='IN-NX'!$J$5,'IN-NX'!$D$7=D727,OR(LEFT(TH!N727,2)="15",LEFT(TH!O727,2)="15")),"x","")</f>
        <v/>
      </c>
      <c r="AE727" s="66" t="str">
        <f>IF(AND(OR(LEFT(TH!N727,2)="15",LEFT(TH!O727,2)="15"),'152-CT'!$J$8=TH!F727),"x","")</f>
        <v/>
      </c>
      <c r="AF727" s="66" t="str">
        <f>IF(AND(OR(LEFT(TH!N727,2)="15",LEFT(TH!O727,2)="15"),'THE KHO'!$E$7=TH!F727),"x","")</f>
        <v/>
      </c>
      <c r="AG727" s="66" t="str">
        <f>IF(AND(N727="1521",MONTH(C727)='BK NL'!$M$11),"x","")</f>
        <v/>
      </c>
    </row>
    <row r="728" spans="1:33" ht="15.75" hidden="1" customHeight="1">
      <c r="A728" s="397" t="str">
        <f>IF(B728&lt;&gt;"",IF(AND(B728&gt;=_TM1,B728&lt;=_TM2,OR(TH!N728="1111",TH!O728="1111")),TH!D728,""),"")</f>
        <v/>
      </c>
      <c r="B728" s="63" t="str">
        <f t="shared" si="63"/>
        <v/>
      </c>
      <c r="C728" s="64"/>
      <c r="D728" s="64"/>
      <c r="E728" s="64"/>
      <c r="F728" s="67"/>
      <c r="G728" s="361"/>
      <c r="H728" s="404"/>
      <c r="I728" s="515"/>
      <c r="J728" s="515"/>
      <c r="K728" s="507"/>
      <c r="L728" s="515"/>
      <c r="M728" s="65"/>
      <c r="N728" s="66"/>
      <c r="O728" s="66"/>
      <c r="P728" s="66" t="str">
        <f>IF(AND('331-CT'!$E$7=TH!H728,OR(N728="331",O728="331")),"x","")</f>
        <v/>
      </c>
      <c r="Q728" s="66" t="str">
        <f>IF(AND($B728&gt;='111'!$N$11,$B728&lt;='111'!$O$11,OR($N728=$Q$7,$O728=$Q$7)),"x","")</f>
        <v/>
      </c>
      <c r="R728" s="66" t="str">
        <f>IF(AND($N728=$Q$7,$B728&lt;'111'!$N$11),"x","")</f>
        <v/>
      </c>
      <c r="S728" s="66" t="str">
        <f>IF(AND($O728=$Q$7,$B728&lt;'111'!$N$11),"x","")</f>
        <v/>
      </c>
      <c r="T728" s="66" t="str">
        <f>IF(AND($B728&gt;='112'!$M$9,$B728&lt;='112'!$N$9,OR($N728='112'!$I$6,$O728='112'!$I$6)),"x","")</f>
        <v/>
      </c>
      <c r="U728" s="66" t="str">
        <f>IF(AND($N728='112'!$I$6,$B728&lt;'112'!$M$9),"x","")</f>
        <v/>
      </c>
      <c r="V728" s="66" t="str">
        <f>IF(AND($O728='112'!$I$6,$B728&lt;'112'!$M$9),"x","")</f>
        <v/>
      </c>
      <c r="W728" s="66" t="str">
        <f>IF(AND('131-CT'!$H$9=TH!H728,OR(N728="131",O728="131")),"x","")</f>
        <v/>
      </c>
      <c r="X728" s="66" t="str">
        <f>IF(AND($B728&gt;='1331'!$I$9,$B728&lt;='1331'!$J$9,OR($N728=$X$7,$O728=$X$7)),"x","")</f>
        <v/>
      </c>
      <c r="Y728" s="66" t="str">
        <f>IF(AND($N728=$X$7,$B728&lt;'1331'!$I$9),"x","")</f>
        <v/>
      </c>
      <c r="Z728" s="66" t="str">
        <f>IF(AND($O728=$X$7,$B728&lt;'1331'!$I$9),"x","")</f>
        <v/>
      </c>
      <c r="AA728" s="66" t="str">
        <f>IF(AND('341-CT'!$H$9=H728,OR(LEFT(N728,3)=$AA$7,LEFT(O728,3)=$AA$7)),"x","")</f>
        <v/>
      </c>
      <c r="AB728" s="66" t="str">
        <f>IF(OR(TH!N728=TH!$AB$7,O728=TH!$AB$7),"x","")</f>
        <v/>
      </c>
      <c r="AC728" s="66" t="str">
        <f t="shared" si="64"/>
        <v/>
      </c>
      <c r="AD728" s="66" t="str">
        <f>IF(AND(MONTH(E728)='IN-NX'!$J$5,'IN-NX'!$D$7=D728,OR(LEFT(TH!N728,2)="15",LEFT(TH!O728,2)="15")),"x","")</f>
        <v/>
      </c>
      <c r="AE728" s="66" t="str">
        <f>IF(AND(OR(LEFT(TH!N728,2)="15",LEFT(TH!O728,2)="15"),'152-CT'!$J$8=TH!F728),"x","")</f>
        <v/>
      </c>
      <c r="AF728" s="66" t="str">
        <f>IF(AND(OR(LEFT(TH!N728,2)="15",LEFT(TH!O728,2)="15"),'THE KHO'!$E$7=TH!F728),"x","")</f>
        <v/>
      </c>
      <c r="AG728" s="66" t="str">
        <f>IF(AND(N728="1521",MONTH(C728)='BK NL'!$M$11),"x","")</f>
        <v/>
      </c>
    </row>
    <row r="729" spans="1:33" ht="15.75" hidden="1" customHeight="1">
      <c r="A729" s="397" t="str">
        <f>IF(B729&lt;&gt;"",IF(AND(B729&gt;=_TM1,B729&lt;=_TM2,OR(TH!N729="1111",TH!O729="1111")),TH!D729,""),"")</f>
        <v/>
      </c>
      <c r="B729" s="63" t="str">
        <f t="shared" si="63"/>
        <v/>
      </c>
      <c r="C729" s="64"/>
      <c r="D729" s="64"/>
      <c r="E729" s="64"/>
      <c r="F729" s="67"/>
      <c r="G729" s="361"/>
      <c r="H729" s="74"/>
      <c r="I729" s="514"/>
      <c r="J729" s="514"/>
      <c r="K729" s="506"/>
      <c r="L729" s="514"/>
      <c r="M729" s="65"/>
      <c r="N729" s="66"/>
      <c r="O729" s="66"/>
      <c r="P729" s="66" t="str">
        <f>IF(AND('331-CT'!$E$7=TH!H729,OR(N729="331",O729="331")),"x","")</f>
        <v/>
      </c>
      <c r="Q729" s="66" t="str">
        <f>IF(AND($B729&gt;='111'!$N$11,$B729&lt;='111'!$O$11,OR($N729=$Q$7,$O729=$Q$7)),"x","")</f>
        <v/>
      </c>
      <c r="R729" s="66" t="str">
        <f>IF(AND($N729=$Q$7,$B729&lt;'111'!$N$11),"x","")</f>
        <v/>
      </c>
      <c r="S729" s="66" t="str">
        <f>IF(AND($O729=$Q$7,$B729&lt;'111'!$N$11),"x","")</f>
        <v/>
      </c>
      <c r="T729" s="66" t="str">
        <f>IF(AND($B729&gt;='112'!$M$9,$B729&lt;='112'!$N$9,OR($N729='112'!$I$6,$O729='112'!$I$6)),"x","")</f>
        <v/>
      </c>
      <c r="U729" s="66" t="str">
        <f>IF(AND($N729='112'!$I$6,$B729&lt;'112'!$M$9),"x","")</f>
        <v/>
      </c>
      <c r="V729" s="66" t="str">
        <f>IF(AND($O729='112'!$I$6,$B729&lt;'112'!$M$9),"x","")</f>
        <v/>
      </c>
      <c r="W729" s="66" t="str">
        <f>IF(AND('131-CT'!$H$9=TH!H729,OR(N729="131",O729="131")),"x","")</f>
        <v/>
      </c>
      <c r="X729" s="66" t="str">
        <f>IF(AND($B729&gt;='1331'!$I$9,$B729&lt;='1331'!$J$9,OR($N729=$X$7,$O729=$X$7)),"x","")</f>
        <v/>
      </c>
      <c r="Y729" s="66" t="str">
        <f>IF(AND($N729=$X$7,$B729&lt;'1331'!$I$9),"x","")</f>
        <v/>
      </c>
      <c r="Z729" s="66" t="str">
        <f>IF(AND($O729=$X$7,$B729&lt;'1331'!$I$9),"x","")</f>
        <v/>
      </c>
      <c r="AA729" s="66" t="str">
        <f>IF(AND('341-CT'!$H$9=H729,OR(LEFT(N729,3)=$AA$7,LEFT(O729,3)=$AA$7)),"x","")</f>
        <v/>
      </c>
      <c r="AB729" s="66" t="str">
        <f>IF(OR(TH!N729=TH!$AB$7,O729=TH!$AB$7),"x","")</f>
        <v/>
      </c>
      <c r="AC729" s="66" t="str">
        <f t="shared" si="64"/>
        <v/>
      </c>
      <c r="AD729" s="66" t="str">
        <f>IF(AND(MONTH(E729)='IN-NX'!$J$5,'IN-NX'!$D$7=D729,OR(LEFT(TH!N729,2)="15",LEFT(TH!O729,2)="15")),"x","")</f>
        <v/>
      </c>
      <c r="AE729" s="66" t="str">
        <f>IF(AND(OR(LEFT(TH!N729,2)="15",LEFT(TH!O729,2)="15"),'152-CT'!$J$8=TH!F729),"x","")</f>
        <v/>
      </c>
      <c r="AF729" s="66" t="str">
        <f>IF(AND(OR(LEFT(TH!N729,2)="15",LEFT(TH!O729,2)="15"),'THE KHO'!$E$7=TH!F729),"x","")</f>
        <v/>
      </c>
      <c r="AG729" s="66" t="str">
        <f>IF(AND(N729="1521",MONTH(C729)='BK NL'!$M$11),"x","")</f>
        <v/>
      </c>
    </row>
    <row r="730" spans="1:33" ht="15.75" hidden="1" customHeight="1">
      <c r="A730" s="397" t="str">
        <f>IF(B730&lt;&gt;"",IF(AND(B730&gt;=_TM1,B730&lt;=_TM2,OR(TH!N730="1111",TH!O730="1111")),TH!D730,""),"")</f>
        <v/>
      </c>
      <c r="B730" s="63" t="str">
        <f t="shared" si="63"/>
        <v/>
      </c>
      <c r="C730" s="64"/>
      <c r="D730" s="64"/>
      <c r="E730" s="64"/>
      <c r="F730" s="67"/>
      <c r="G730" s="361"/>
      <c r="H730" s="74"/>
      <c r="I730" s="514"/>
      <c r="J730" s="514"/>
      <c r="K730" s="506"/>
      <c r="L730" s="514"/>
      <c r="M730" s="65"/>
      <c r="N730" s="66"/>
      <c r="O730" s="66"/>
      <c r="P730" s="66" t="str">
        <f>IF(AND('331-CT'!$E$7=TH!H730,OR(N730="331",O730="331")),"x","")</f>
        <v/>
      </c>
      <c r="Q730" s="66" t="str">
        <f>IF(AND($B730&gt;='111'!$N$11,$B730&lt;='111'!$O$11,OR($N730=$Q$7,$O730=$Q$7)),"x","")</f>
        <v/>
      </c>
      <c r="R730" s="66" t="str">
        <f>IF(AND($N730=$Q$7,$B730&lt;'111'!$N$11),"x","")</f>
        <v/>
      </c>
      <c r="S730" s="66" t="str">
        <f>IF(AND($O730=$Q$7,$B730&lt;'111'!$N$11),"x","")</f>
        <v/>
      </c>
      <c r="T730" s="66" t="str">
        <f>IF(AND($B730&gt;='112'!$M$9,$B730&lt;='112'!$N$9,OR($N730='112'!$I$6,$O730='112'!$I$6)),"x","")</f>
        <v/>
      </c>
      <c r="U730" s="66" t="str">
        <f>IF(AND($N730='112'!$I$6,$B730&lt;'112'!$M$9),"x","")</f>
        <v/>
      </c>
      <c r="V730" s="66" t="str">
        <f>IF(AND($O730='112'!$I$6,$B730&lt;'112'!$M$9),"x","")</f>
        <v/>
      </c>
      <c r="W730" s="66" t="str">
        <f>IF(AND('131-CT'!$H$9=TH!H730,OR(N730="131",O730="131")),"x","")</f>
        <v/>
      </c>
      <c r="X730" s="66" t="str">
        <f>IF(AND($B730&gt;='1331'!$I$9,$B730&lt;='1331'!$J$9,OR($N730=$X$7,$O730=$X$7)),"x","")</f>
        <v/>
      </c>
      <c r="Y730" s="66" t="str">
        <f>IF(AND($N730=$X$7,$B730&lt;'1331'!$I$9),"x","")</f>
        <v/>
      </c>
      <c r="Z730" s="66" t="str">
        <f>IF(AND($O730=$X$7,$B730&lt;'1331'!$I$9),"x","")</f>
        <v/>
      </c>
      <c r="AA730" s="66" t="str">
        <f>IF(AND('341-CT'!$H$9=H730,OR(LEFT(N730,3)=$AA$7,LEFT(O730,3)=$AA$7)),"x","")</f>
        <v/>
      </c>
      <c r="AB730" s="66" t="str">
        <f>IF(OR(TH!N730=TH!$AB$7,O730=TH!$AB$7),"x","")</f>
        <v/>
      </c>
      <c r="AC730" s="66" t="str">
        <f t="shared" si="64"/>
        <v/>
      </c>
      <c r="AD730" s="66" t="str">
        <f>IF(AND(MONTH(E730)='IN-NX'!$J$5,'IN-NX'!$D$7=D730,OR(LEFT(TH!N730,2)="15",LEFT(TH!O730,2)="15")),"x","")</f>
        <v/>
      </c>
      <c r="AE730" s="66" t="str">
        <f>IF(AND(OR(LEFT(TH!N730,2)="15",LEFT(TH!O730,2)="15"),'152-CT'!$J$8=TH!F730),"x","")</f>
        <v/>
      </c>
      <c r="AF730" s="66" t="str">
        <f>IF(AND(OR(LEFT(TH!N730,2)="15",LEFT(TH!O730,2)="15"),'THE KHO'!$E$7=TH!F730),"x","")</f>
        <v/>
      </c>
      <c r="AG730" s="66" t="str">
        <f>IF(AND(N730="1521",MONTH(C730)='BK NL'!$M$11),"x","")</f>
        <v/>
      </c>
    </row>
    <row r="731" spans="1:33" ht="15.75" hidden="1" customHeight="1">
      <c r="A731" s="397" t="str">
        <f>IF(B731&lt;&gt;"",IF(AND(B731&gt;=_TM1,B731&lt;=_TM2,OR(TH!N731="1111",TH!O731="1111")),TH!D731,""),"")</f>
        <v/>
      </c>
      <c r="B731" s="63" t="str">
        <f t="shared" si="63"/>
        <v/>
      </c>
      <c r="C731" s="64"/>
      <c r="D731" s="64"/>
      <c r="E731" s="64"/>
      <c r="F731" s="67"/>
      <c r="G731" s="375"/>
      <c r="H731" s="364"/>
      <c r="I731" s="514"/>
      <c r="J731" s="514"/>
      <c r="K731" s="506"/>
      <c r="L731" s="514"/>
      <c r="M731" s="65"/>
      <c r="N731" s="66"/>
      <c r="O731" s="66"/>
      <c r="P731" s="66" t="str">
        <f>IF(AND('331-CT'!$E$7=TH!H731,OR(N731="331",O731="331")),"x","")</f>
        <v/>
      </c>
      <c r="Q731" s="66" t="str">
        <f>IF(AND($B731&gt;='111'!$N$11,$B731&lt;='111'!$O$11,OR($N731=$Q$7,$O731=$Q$7)),"x","")</f>
        <v/>
      </c>
      <c r="R731" s="66" t="str">
        <f>IF(AND($N731=$Q$7,$B731&lt;'111'!$N$11),"x","")</f>
        <v/>
      </c>
      <c r="S731" s="66" t="str">
        <f>IF(AND($O731=$Q$7,$B731&lt;'111'!$N$11),"x","")</f>
        <v/>
      </c>
      <c r="T731" s="66" t="str">
        <f>IF(AND($B731&gt;='112'!$M$9,$B731&lt;='112'!$N$9,OR($N731='112'!$I$6,$O731='112'!$I$6)),"x","")</f>
        <v/>
      </c>
      <c r="U731" s="66" t="str">
        <f>IF(AND($N731='112'!$I$6,$B731&lt;'112'!$M$9),"x","")</f>
        <v/>
      </c>
      <c r="V731" s="66" t="str">
        <f>IF(AND($O731='112'!$I$6,$B731&lt;'112'!$M$9),"x","")</f>
        <v/>
      </c>
      <c r="W731" s="66" t="str">
        <f>IF(AND('131-CT'!$H$9=TH!H731,OR(N731="131",O731="131")),"x","")</f>
        <v/>
      </c>
      <c r="X731" s="66" t="str">
        <f>IF(AND($B731&gt;='1331'!$I$9,$B731&lt;='1331'!$J$9,OR($N731=$X$7,$O731=$X$7)),"x","")</f>
        <v/>
      </c>
      <c r="Y731" s="66" t="str">
        <f>IF(AND($N731=$X$7,$B731&lt;'1331'!$I$9),"x","")</f>
        <v/>
      </c>
      <c r="Z731" s="66" t="str">
        <f>IF(AND($O731=$X$7,$B731&lt;'1331'!$I$9),"x","")</f>
        <v/>
      </c>
      <c r="AA731" s="66" t="str">
        <f>IF(AND('341-CT'!$H$9=H731,OR(LEFT(N731,3)=$AA$7,LEFT(O731,3)=$AA$7)),"x","")</f>
        <v/>
      </c>
      <c r="AB731" s="66" t="str">
        <f>IF(OR(TH!N731=TH!$AB$7,O731=TH!$AB$7),"x","")</f>
        <v/>
      </c>
      <c r="AC731" s="66" t="str">
        <f t="shared" si="64"/>
        <v/>
      </c>
      <c r="AD731" s="66" t="str">
        <f>IF(AND(MONTH(E731)='IN-NX'!$J$5,'IN-NX'!$D$7=D731,OR(LEFT(TH!N731,2)="15",LEFT(TH!O731,2)="15")),"x","")</f>
        <v/>
      </c>
      <c r="AE731" s="66" t="str">
        <f>IF(AND(OR(LEFT(TH!N731,2)="15",LEFT(TH!O731,2)="15"),'152-CT'!$J$8=TH!F731),"x","")</f>
        <v/>
      </c>
      <c r="AF731" s="66" t="str">
        <f>IF(AND(OR(LEFT(TH!N731,2)="15",LEFT(TH!O731,2)="15"),'THE KHO'!$E$7=TH!F731),"x","")</f>
        <v/>
      </c>
      <c r="AG731" s="66" t="str">
        <f>IF(AND(N731="1521",MONTH(C731)='BK NL'!$M$11),"x","")</f>
        <v/>
      </c>
    </row>
    <row r="732" spans="1:33" ht="15.75" hidden="1" customHeight="1">
      <c r="A732" s="397" t="str">
        <f>IF(B732&lt;&gt;"",IF(AND(B732&gt;=_TM1,B732&lt;=_TM2,OR(TH!N732="1111",TH!O732="1111")),TH!D732,""),"")</f>
        <v/>
      </c>
      <c r="B732" s="63" t="str">
        <f t="shared" si="63"/>
        <v/>
      </c>
      <c r="C732" s="64"/>
      <c r="D732" s="64"/>
      <c r="E732" s="64"/>
      <c r="F732" s="67"/>
      <c r="G732" s="375"/>
      <c r="H732" s="364"/>
      <c r="I732" s="514"/>
      <c r="J732" s="514"/>
      <c r="K732" s="506"/>
      <c r="L732" s="514"/>
      <c r="M732" s="65"/>
      <c r="N732" s="66"/>
      <c r="O732" s="66"/>
      <c r="P732" s="66" t="str">
        <f>IF(AND('331-CT'!$E$7=TH!H732,OR(N732="331",O732="331")),"x","")</f>
        <v/>
      </c>
      <c r="Q732" s="66" t="str">
        <f>IF(AND($B732&gt;='111'!$N$11,$B732&lt;='111'!$O$11,OR($N732=$Q$7,$O732=$Q$7)),"x","")</f>
        <v/>
      </c>
      <c r="R732" s="66" t="str">
        <f>IF(AND($N732=$Q$7,$B732&lt;'111'!$N$11),"x","")</f>
        <v/>
      </c>
      <c r="S732" s="66" t="str">
        <f>IF(AND($O732=$Q$7,$B732&lt;'111'!$N$11),"x","")</f>
        <v/>
      </c>
      <c r="T732" s="66" t="str">
        <f>IF(AND($B732&gt;='112'!$M$9,$B732&lt;='112'!$N$9,OR($N732='112'!$I$6,$O732='112'!$I$6)),"x","")</f>
        <v/>
      </c>
      <c r="U732" s="66" t="str">
        <f>IF(AND($N732='112'!$I$6,$B732&lt;'112'!$M$9),"x","")</f>
        <v/>
      </c>
      <c r="V732" s="66" t="str">
        <f>IF(AND($O732='112'!$I$6,$B732&lt;'112'!$M$9),"x","")</f>
        <v/>
      </c>
      <c r="W732" s="66" t="str">
        <f>IF(AND('131-CT'!$H$9=TH!H732,OR(N732="131",O732="131")),"x","")</f>
        <v/>
      </c>
      <c r="X732" s="66" t="str">
        <f>IF(AND($B732&gt;='1331'!$I$9,$B732&lt;='1331'!$J$9,OR($N732=$X$7,$O732=$X$7)),"x","")</f>
        <v/>
      </c>
      <c r="Y732" s="66" t="str">
        <f>IF(AND($N732=$X$7,$B732&lt;'1331'!$I$9),"x","")</f>
        <v/>
      </c>
      <c r="Z732" s="66" t="str">
        <f>IF(AND($O732=$X$7,$B732&lt;'1331'!$I$9),"x","")</f>
        <v/>
      </c>
      <c r="AA732" s="66" t="str">
        <f>IF(AND('341-CT'!$H$9=H732,OR(LEFT(N732,3)=$AA$7,LEFT(O732,3)=$AA$7)),"x","")</f>
        <v/>
      </c>
      <c r="AB732" s="66" t="str">
        <f>IF(OR(TH!N732=TH!$AB$7,O732=TH!$AB$7),"x","")</f>
        <v/>
      </c>
      <c r="AC732" s="66" t="str">
        <f t="shared" si="64"/>
        <v/>
      </c>
      <c r="AD732" s="66" t="str">
        <f>IF(AND(MONTH(E732)='IN-NX'!$J$5,'IN-NX'!$D$7=D732,OR(LEFT(TH!N732,2)="15",LEFT(TH!O732,2)="15")),"x","")</f>
        <v/>
      </c>
      <c r="AE732" s="66" t="str">
        <f>IF(AND(OR(LEFT(TH!N732,2)="15",LEFT(TH!O732,2)="15"),'152-CT'!$J$8=TH!F732),"x","")</f>
        <v/>
      </c>
      <c r="AF732" s="66" t="str">
        <f>IF(AND(OR(LEFT(TH!N732,2)="15",LEFT(TH!O732,2)="15"),'THE KHO'!$E$7=TH!F732),"x","")</f>
        <v/>
      </c>
      <c r="AG732" s="66" t="str">
        <f>IF(AND(N732="1521",MONTH(C732)='BK NL'!$M$11),"x","")</f>
        <v/>
      </c>
    </row>
    <row r="733" spans="1:33" ht="15.75" hidden="1" customHeight="1">
      <c r="A733" s="397" t="str">
        <f>IF(B733&lt;&gt;"",IF(AND(B733&gt;=_TM1,B733&lt;=_TM2,OR(TH!N733="1111",TH!O733="1111")),TH!D733,""),"")</f>
        <v/>
      </c>
      <c r="B733" s="63" t="str">
        <f t="shared" si="63"/>
        <v/>
      </c>
      <c r="C733" s="362"/>
      <c r="D733" s="362"/>
      <c r="E733" s="362"/>
      <c r="F733" s="363"/>
      <c r="G733" s="389"/>
      <c r="H733" s="364"/>
      <c r="I733" s="514"/>
      <c r="J733" s="514"/>
      <c r="K733" s="506"/>
      <c r="L733" s="514"/>
      <c r="M733" s="65"/>
      <c r="N733" s="365"/>
      <c r="O733" s="365"/>
      <c r="P733" s="66" t="str">
        <f>IF(AND('331-CT'!$E$7=TH!H733,OR(N733="331",O733="331")),"x","")</f>
        <v/>
      </c>
      <c r="Q733" s="66" t="str">
        <f>IF(AND($B733&gt;='111'!$N$11,$B733&lt;='111'!$O$11,OR($N733=$Q$7,$O733=$Q$7)),"x","")</f>
        <v/>
      </c>
      <c r="R733" s="66" t="str">
        <f>IF(AND($N733=$Q$7,$B733&lt;'111'!$N$11),"x","")</f>
        <v/>
      </c>
      <c r="S733" s="66" t="str">
        <f>IF(AND($O733=$Q$7,$B733&lt;'111'!$N$11),"x","")</f>
        <v/>
      </c>
      <c r="T733" s="66" t="str">
        <f>IF(AND($B733&gt;='112'!$M$9,$B733&lt;='112'!$N$9,OR($N733='112'!$I$6,$O733='112'!$I$6)),"x","")</f>
        <v/>
      </c>
      <c r="U733" s="66" t="str">
        <f>IF(AND($N733='112'!$I$6,$B733&lt;'112'!$M$9),"x","")</f>
        <v/>
      </c>
      <c r="V733" s="66" t="str">
        <f>IF(AND($O733='112'!$I$6,$B733&lt;'112'!$M$9),"x","")</f>
        <v/>
      </c>
      <c r="W733" s="66" t="str">
        <f>IF(AND('131-CT'!$H$9=TH!H733,OR(N733="131",O733="131")),"x","")</f>
        <v/>
      </c>
      <c r="X733" s="66" t="str">
        <f>IF(AND($B733&gt;='1331'!$I$9,$B733&lt;='1331'!$J$9,OR($N733=$X$7,$O733=$X$7)),"x","")</f>
        <v/>
      </c>
      <c r="Y733" s="66" t="str">
        <f>IF(AND($N733=$X$7,$B733&lt;'1331'!$I$9),"x","")</f>
        <v/>
      </c>
      <c r="Z733" s="66" t="str">
        <f>IF(AND($O733=$X$7,$B733&lt;'1331'!$I$9),"x","")</f>
        <v/>
      </c>
      <c r="AA733" s="66" t="str">
        <f>IF(AND('341-CT'!$H$9=H733,OR(LEFT(N733,3)=$AA$7,LEFT(O733,3)=$AA$7)),"x","")</f>
        <v/>
      </c>
      <c r="AB733" s="66" t="str">
        <f>IF(OR(TH!N733=TH!$AB$7,O733=TH!$AB$7),"x","")</f>
        <v/>
      </c>
      <c r="AC733" s="66" t="str">
        <f t="shared" si="64"/>
        <v/>
      </c>
      <c r="AD733" s="66" t="str">
        <f>IF(AND(MONTH(E733)='IN-NX'!$J$5,'IN-NX'!$D$7=D733,OR(LEFT(TH!N733,2)="15",LEFT(TH!O733,2)="15")),"x","")</f>
        <v/>
      </c>
      <c r="AE733" s="66" t="str">
        <f>IF(AND(OR(LEFT(TH!N733,2)="15",LEFT(TH!O733,2)="15"),'152-CT'!$J$8=TH!F733),"x","")</f>
        <v/>
      </c>
      <c r="AF733" s="66" t="str">
        <f>IF(AND(OR(LEFT(TH!N733,2)="15",LEFT(TH!O733,2)="15"),'THE KHO'!$E$7=TH!F733),"x","")</f>
        <v/>
      </c>
      <c r="AG733" s="66" t="str">
        <f>IF(AND(N733="1521",MONTH(C733)='BK NL'!$M$11),"x","")</f>
        <v/>
      </c>
    </row>
    <row r="734" spans="1:33" ht="15.75" hidden="1" customHeight="1">
      <c r="A734" s="397" t="str">
        <f>IF(B734&lt;&gt;"",IF(AND(B734&gt;=_TM1,B734&lt;=_TM2,OR(TH!N734="1111",TH!O734="1111")),TH!D734,""),"")</f>
        <v/>
      </c>
      <c r="B734" s="63" t="str">
        <f t="shared" si="63"/>
        <v/>
      </c>
      <c r="C734" s="362"/>
      <c r="D734" s="362"/>
      <c r="E734" s="362"/>
      <c r="F734" s="363"/>
      <c r="G734" s="389"/>
      <c r="H734" s="364"/>
      <c r="I734" s="514"/>
      <c r="J734" s="514"/>
      <c r="K734" s="506"/>
      <c r="L734" s="514"/>
      <c r="M734" s="65"/>
      <c r="N734" s="365"/>
      <c r="O734" s="365"/>
      <c r="P734" s="66" t="str">
        <f>IF(AND('331-CT'!$E$7=TH!H734,OR(N734="331",O734="331")),"x","")</f>
        <v/>
      </c>
      <c r="Q734" s="66" t="str">
        <f>IF(AND($B734&gt;='111'!$N$11,$B734&lt;='111'!$O$11,OR($N734=$Q$7,$O734=$Q$7)),"x","")</f>
        <v/>
      </c>
      <c r="R734" s="66" t="str">
        <f>IF(AND($N734=$Q$7,$B734&lt;'111'!$N$11),"x","")</f>
        <v/>
      </c>
      <c r="S734" s="66" t="str">
        <f>IF(AND($O734=$Q$7,$B734&lt;'111'!$N$11),"x","")</f>
        <v/>
      </c>
      <c r="T734" s="66" t="str">
        <f>IF(AND($B734&gt;='112'!$M$9,$B734&lt;='112'!$N$9,OR($N734='112'!$I$6,$O734='112'!$I$6)),"x","")</f>
        <v/>
      </c>
      <c r="U734" s="66" t="str">
        <f>IF(AND($N734='112'!$I$6,$B734&lt;'112'!$M$9),"x","")</f>
        <v/>
      </c>
      <c r="V734" s="66" t="str">
        <f>IF(AND($O734='112'!$I$6,$B734&lt;'112'!$M$9),"x","")</f>
        <v/>
      </c>
      <c r="W734" s="66" t="str">
        <f>IF(AND('131-CT'!$H$9=TH!H734,OR(N734="131",O734="131")),"x","")</f>
        <v/>
      </c>
      <c r="X734" s="66" t="str">
        <f>IF(AND($B734&gt;='1331'!$I$9,$B734&lt;='1331'!$J$9,OR($N734=$X$7,$O734=$X$7)),"x","")</f>
        <v/>
      </c>
      <c r="Y734" s="66" t="str">
        <f>IF(AND($N734=$X$7,$B734&lt;'1331'!$I$9),"x","")</f>
        <v/>
      </c>
      <c r="Z734" s="66" t="str">
        <f>IF(AND($O734=$X$7,$B734&lt;'1331'!$I$9),"x","")</f>
        <v/>
      </c>
      <c r="AA734" s="66" t="str">
        <f>IF(AND('341-CT'!$H$9=H734,OR(LEFT(N734,3)=$AA$7,LEFT(O734,3)=$AA$7)),"x","")</f>
        <v/>
      </c>
      <c r="AB734" s="66" t="str">
        <f>IF(OR(TH!N734=TH!$AB$7,O734=TH!$AB$7),"x","")</f>
        <v/>
      </c>
      <c r="AC734" s="66" t="str">
        <f t="shared" si="64"/>
        <v/>
      </c>
      <c r="AD734" s="66" t="str">
        <f>IF(AND(MONTH(E734)='IN-NX'!$J$5,'IN-NX'!$D$7=D734,OR(LEFT(TH!N734,2)="15",LEFT(TH!O734,2)="15")),"x","")</f>
        <v/>
      </c>
      <c r="AE734" s="66" t="str">
        <f>IF(AND(OR(LEFT(TH!N734,2)="15",LEFT(TH!O734,2)="15"),'152-CT'!$J$8=TH!F734),"x","")</f>
        <v/>
      </c>
      <c r="AF734" s="66" t="str">
        <f>IF(AND(OR(LEFT(TH!N734,2)="15",LEFT(TH!O734,2)="15"),'THE KHO'!$E$7=TH!F734),"x","")</f>
        <v/>
      </c>
      <c r="AG734" s="66" t="str">
        <f>IF(AND(N734="1521",MONTH(C734)='BK NL'!$M$11),"x","")</f>
        <v/>
      </c>
    </row>
    <row r="735" spans="1:33" ht="15.75" hidden="1" customHeight="1">
      <c r="A735" s="397" t="str">
        <f>IF(B735&lt;&gt;"",IF(AND(B735&gt;=_TM1,B735&lt;=_TM2,OR(TH!N735="1111",TH!O735="1111")),TH!D735,""),"")</f>
        <v/>
      </c>
      <c r="B735" s="63" t="str">
        <f t="shared" si="63"/>
        <v/>
      </c>
      <c r="C735" s="362"/>
      <c r="D735" s="362"/>
      <c r="E735" s="362"/>
      <c r="F735" s="363"/>
      <c r="G735" s="389"/>
      <c r="H735" s="364"/>
      <c r="I735" s="514"/>
      <c r="J735" s="514"/>
      <c r="K735" s="506"/>
      <c r="L735" s="514"/>
      <c r="M735" s="65"/>
      <c r="N735" s="365"/>
      <c r="O735" s="365"/>
      <c r="P735" s="66" t="str">
        <f>IF(AND('331-CT'!$E$7=TH!H735,OR(N735="331",O735="331")),"x","")</f>
        <v/>
      </c>
      <c r="Q735" s="66" t="str">
        <f>IF(AND($B735&gt;='111'!$N$11,$B735&lt;='111'!$O$11,OR($N735=$Q$7,$O735=$Q$7)),"x","")</f>
        <v/>
      </c>
      <c r="R735" s="66" t="str">
        <f>IF(AND($N735=$Q$7,$B735&lt;'111'!$N$11),"x","")</f>
        <v/>
      </c>
      <c r="S735" s="66" t="str">
        <f>IF(AND($O735=$Q$7,$B735&lt;'111'!$N$11),"x","")</f>
        <v/>
      </c>
      <c r="T735" s="66" t="str">
        <f>IF(AND($B735&gt;='112'!$M$9,$B735&lt;='112'!$N$9,OR($N735='112'!$I$6,$O735='112'!$I$6)),"x","")</f>
        <v/>
      </c>
      <c r="U735" s="66" t="str">
        <f>IF(AND($N735='112'!$I$6,$B735&lt;'112'!$M$9),"x","")</f>
        <v/>
      </c>
      <c r="V735" s="66" t="str">
        <f>IF(AND($O735='112'!$I$6,$B735&lt;'112'!$M$9),"x","")</f>
        <v/>
      </c>
      <c r="W735" s="66" t="str">
        <f>IF(AND('131-CT'!$H$9=TH!H735,OR(N735="131",O735="131")),"x","")</f>
        <v/>
      </c>
      <c r="X735" s="66" t="str">
        <f>IF(AND($B735&gt;='1331'!$I$9,$B735&lt;='1331'!$J$9,OR($N735=$X$7,$O735=$X$7)),"x","")</f>
        <v/>
      </c>
      <c r="Y735" s="66" t="str">
        <f>IF(AND($N735=$X$7,$B735&lt;'1331'!$I$9),"x","")</f>
        <v/>
      </c>
      <c r="Z735" s="66" t="str">
        <f>IF(AND($O735=$X$7,$B735&lt;'1331'!$I$9),"x","")</f>
        <v/>
      </c>
      <c r="AA735" s="66" t="str">
        <f>IF(AND('341-CT'!$H$9=H735,OR(LEFT(N735,3)=$AA$7,LEFT(O735,3)=$AA$7)),"x","")</f>
        <v/>
      </c>
      <c r="AB735" s="66" t="str">
        <f>IF(OR(TH!N735=TH!$AB$7,O735=TH!$AB$7),"x","")</f>
        <v/>
      </c>
      <c r="AC735" s="66" t="str">
        <f t="shared" si="64"/>
        <v/>
      </c>
      <c r="AD735" s="66" t="str">
        <f>IF(AND(MONTH(E735)='IN-NX'!$J$5,'IN-NX'!$D$7=D735,OR(LEFT(TH!N735,2)="15",LEFT(TH!O735,2)="15")),"x","")</f>
        <v/>
      </c>
      <c r="AE735" s="66" t="str">
        <f>IF(AND(OR(LEFT(TH!N735,2)="15",LEFT(TH!O735,2)="15"),'152-CT'!$J$8=TH!F735),"x","")</f>
        <v/>
      </c>
      <c r="AF735" s="66" t="str">
        <f>IF(AND(OR(LEFT(TH!N735,2)="15",LEFT(TH!O735,2)="15"),'THE KHO'!$E$7=TH!F735),"x","")</f>
        <v/>
      </c>
      <c r="AG735" s="66" t="str">
        <f>IF(AND(N735="1521",MONTH(C735)='BK NL'!$M$11),"x","")</f>
        <v/>
      </c>
    </row>
    <row r="736" spans="1:33" ht="15.75" hidden="1" customHeight="1">
      <c r="A736" s="397" t="str">
        <f>IF(B736&lt;&gt;"",IF(AND(B736&gt;=_TM1,B736&lt;=_TM2,OR(TH!N736="1111",TH!O736="1111")),TH!D736,""),"")</f>
        <v/>
      </c>
      <c r="B736" s="63" t="str">
        <f t="shared" si="63"/>
        <v/>
      </c>
      <c r="C736" s="64"/>
      <c r="D736" s="64"/>
      <c r="E736" s="64"/>
      <c r="F736" s="67"/>
      <c r="G736" s="375"/>
      <c r="H736" s="404"/>
      <c r="I736" s="515"/>
      <c r="J736" s="515"/>
      <c r="K736" s="507"/>
      <c r="L736" s="515"/>
      <c r="M736" s="65"/>
      <c r="N736" s="365"/>
      <c r="O736" s="66"/>
      <c r="P736" s="66" t="str">
        <f>IF(AND('331-CT'!$E$7=TH!H736,OR(N736="331",O736="331")),"x","")</f>
        <v/>
      </c>
      <c r="Q736" s="66" t="str">
        <f>IF(AND($B736&gt;='111'!$N$11,$B736&lt;='111'!$O$11,OR($N736=$Q$7,$O736=$Q$7)),"x","")</f>
        <v/>
      </c>
      <c r="R736" s="66" t="str">
        <f>IF(AND($N736=$Q$7,$B736&lt;'111'!$N$11),"x","")</f>
        <v/>
      </c>
      <c r="S736" s="66" t="str">
        <f>IF(AND($O736=$Q$7,$B736&lt;'111'!$N$11),"x","")</f>
        <v/>
      </c>
      <c r="T736" s="66" t="str">
        <f>IF(AND($B736&gt;='112'!$M$9,$B736&lt;='112'!$N$9,OR($N736='112'!$I$6,$O736='112'!$I$6)),"x","")</f>
        <v/>
      </c>
      <c r="U736" s="66" t="str">
        <f>IF(AND($N736='112'!$I$6,$B736&lt;'112'!$M$9),"x","")</f>
        <v/>
      </c>
      <c r="V736" s="66" t="str">
        <f>IF(AND($O736='112'!$I$6,$B736&lt;'112'!$M$9),"x","")</f>
        <v/>
      </c>
      <c r="W736" s="66" t="str">
        <f>IF(AND('131-CT'!$H$9=TH!H736,OR(N736="131",O736="131")),"x","")</f>
        <v/>
      </c>
      <c r="X736" s="66" t="str">
        <f>IF(AND($B736&gt;='1331'!$I$9,$B736&lt;='1331'!$J$9,OR($N736=$X$7,$O736=$X$7)),"x","")</f>
        <v/>
      </c>
      <c r="Y736" s="66" t="str">
        <f>IF(AND($N736=$X$7,$B736&lt;'1331'!$I$9),"x","")</f>
        <v/>
      </c>
      <c r="Z736" s="66" t="str">
        <f>IF(AND($O736=$X$7,$B736&lt;'1331'!$I$9),"x","")</f>
        <v/>
      </c>
      <c r="AA736" s="66" t="str">
        <f>IF(AND('341-CT'!$H$9=H736,OR(LEFT(N736,3)=$AA$7,LEFT(O736,3)=$AA$7)),"x","")</f>
        <v/>
      </c>
      <c r="AB736" s="66" t="str">
        <f>IF(OR(TH!N736=TH!$AB$7,O736=TH!$AB$7),"x","")</f>
        <v/>
      </c>
      <c r="AC736" s="66" t="str">
        <f t="shared" si="64"/>
        <v/>
      </c>
      <c r="AD736" s="66" t="str">
        <f>IF(AND(MONTH(E736)='IN-NX'!$J$5,'IN-NX'!$D$7=D736,OR(LEFT(TH!N736,2)="15",LEFT(TH!O736,2)="15")),"x","")</f>
        <v/>
      </c>
      <c r="AE736" s="66" t="str">
        <f>IF(AND(OR(LEFT(TH!N736,2)="15",LEFT(TH!O736,2)="15"),'152-CT'!$J$8=TH!F736),"x","")</f>
        <v/>
      </c>
      <c r="AF736" s="66" t="str">
        <f>IF(AND(OR(LEFT(TH!N736,2)="15",LEFT(TH!O736,2)="15"),'THE KHO'!$E$7=TH!F736),"x","")</f>
        <v/>
      </c>
      <c r="AG736" s="66" t="str">
        <f>IF(AND(N736="1521",MONTH(C736)='BK NL'!$M$11),"x","")</f>
        <v/>
      </c>
    </row>
    <row r="737" spans="1:33" ht="15.75" hidden="1" customHeight="1">
      <c r="A737" s="397" t="str">
        <f>IF(B737&lt;&gt;"",IF(AND(B737&gt;=_TM1,B737&lt;=_TM2,OR(TH!N737="1111",TH!O737="1111")),TH!D737,""),"")</f>
        <v/>
      </c>
      <c r="B737" s="63" t="str">
        <f t="shared" si="63"/>
        <v/>
      </c>
      <c r="C737" s="64"/>
      <c r="D737" s="64"/>
      <c r="E737" s="64"/>
      <c r="F737" s="67"/>
      <c r="G737" s="375"/>
      <c r="H737" s="404"/>
      <c r="I737" s="515"/>
      <c r="J737" s="515"/>
      <c r="K737" s="507"/>
      <c r="L737" s="515"/>
      <c r="M737" s="65"/>
      <c r="N737" s="365"/>
      <c r="O737" s="66"/>
      <c r="P737" s="66" t="str">
        <f>IF(AND('331-CT'!$E$7=TH!H737,OR(N737="331",O737="331")),"x","")</f>
        <v/>
      </c>
      <c r="Q737" s="66" t="str">
        <f>IF(AND($B737&gt;='111'!$N$11,$B737&lt;='111'!$O$11,OR($N737=$Q$7,$O737=$Q$7)),"x","")</f>
        <v/>
      </c>
      <c r="R737" s="66" t="str">
        <f>IF(AND($N737=$Q$7,$B737&lt;'111'!$N$11),"x","")</f>
        <v/>
      </c>
      <c r="S737" s="66" t="str">
        <f>IF(AND($O737=$Q$7,$B737&lt;'111'!$N$11),"x","")</f>
        <v/>
      </c>
      <c r="T737" s="66" t="str">
        <f>IF(AND($B737&gt;='112'!$M$9,$B737&lt;='112'!$N$9,OR($N737='112'!$I$6,$O737='112'!$I$6)),"x","")</f>
        <v/>
      </c>
      <c r="U737" s="66" t="str">
        <f>IF(AND($N737='112'!$I$6,$B737&lt;'112'!$M$9),"x","")</f>
        <v/>
      </c>
      <c r="V737" s="66" t="str">
        <f>IF(AND($O737='112'!$I$6,$B737&lt;'112'!$M$9),"x","")</f>
        <v/>
      </c>
      <c r="W737" s="66" t="str">
        <f>IF(AND('131-CT'!$H$9=TH!H737,OR(N737="131",O737="131")),"x","")</f>
        <v/>
      </c>
      <c r="X737" s="66" t="str">
        <f>IF(AND($B737&gt;='1331'!$I$9,$B737&lt;='1331'!$J$9,OR($N737=$X$7,$O737=$X$7)),"x","")</f>
        <v/>
      </c>
      <c r="Y737" s="66" t="str">
        <f>IF(AND($N737=$X$7,$B737&lt;'1331'!$I$9),"x","")</f>
        <v/>
      </c>
      <c r="Z737" s="66" t="str">
        <f>IF(AND($O737=$X$7,$B737&lt;'1331'!$I$9),"x","")</f>
        <v/>
      </c>
      <c r="AA737" s="66" t="str">
        <f>IF(AND('341-CT'!$H$9=H737,OR(LEFT(N737,3)=$AA$7,LEFT(O737,3)=$AA$7)),"x","")</f>
        <v/>
      </c>
      <c r="AB737" s="66" t="str">
        <f>IF(OR(TH!N737=TH!$AB$7,O737=TH!$AB$7),"x","")</f>
        <v/>
      </c>
      <c r="AC737" s="66" t="str">
        <f t="shared" si="64"/>
        <v/>
      </c>
      <c r="AD737" s="66" t="str">
        <f>IF(AND(MONTH(E737)='IN-NX'!$J$5,'IN-NX'!$D$7=D737,OR(LEFT(TH!N737,2)="15",LEFT(TH!O737,2)="15")),"x","")</f>
        <v/>
      </c>
      <c r="AE737" s="66" t="str">
        <f>IF(AND(OR(LEFT(TH!N737,2)="15",LEFT(TH!O737,2)="15"),'152-CT'!$J$8=TH!F737),"x","")</f>
        <v/>
      </c>
      <c r="AF737" s="66" t="str">
        <f>IF(AND(OR(LEFT(TH!N737,2)="15",LEFT(TH!O737,2)="15"),'THE KHO'!$E$7=TH!F737),"x","")</f>
        <v/>
      </c>
      <c r="AG737" s="66" t="str">
        <f>IF(AND(N737="1521",MONTH(C737)='BK NL'!$M$11),"x","")</f>
        <v/>
      </c>
    </row>
    <row r="738" spans="1:33" ht="15.75" hidden="1" customHeight="1">
      <c r="A738" s="397" t="str">
        <f>IF(B738&lt;&gt;"",IF(AND(B738&gt;=_TM1,B738&lt;=_TM2,OR(TH!N738="1111",TH!O738="1111")),TH!D738,""),"")</f>
        <v/>
      </c>
      <c r="B738" s="63" t="str">
        <f t="shared" si="63"/>
        <v/>
      </c>
      <c r="C738" s="362"/>
      <c r="D738" s="362"/>
      <c r="E738" s="362"/>
      <c r="F738" s="363"/>
      <c r="G738" s="389"/>
      <c r="H738" s="364"/>
      <c r="I738" s="514"/>
      <c r="J738" s="514"/>
      <c r="K738" s="506"/>
      <c r="L738" s="514"/>
      <c r="M738" s="65"/>
      <c r="N738" s="365"/>
      <c r="O738" s="365"/>
      <c r="P738" s="66" t="str">
        <f>IF(AND('331-CT'!$E$7=TH!H738,OR(N738="331",O738="331")),"x","")</f>
        <v/>
      </c>
      <c r="Q738" s="66" t="str">
        <f>IF(AND($B738&gt;='111'!$N$11,$B738&lt;='111'!$O$11,OR($N738=$Q$7,$O738=$Q$7)),"x","")</f>
        <v/>
      </c>
      <c r="R738" s="66" t="str">
        <f>IF(AND($N738=$Q$7,$B738&lt;'111'!$N$11),"x","")</f>
        <v/>
      </c>
      <c r="S738" s="66" t="str">
        <f>IF(AND($O738=$Q$7,$B738&lt;'111'!$N$11),"x","")</f>
        <v/>
      </c>
      <c r="T738" s="66" t="str">
        <f>IF(AND($B738&gt;='112'!$M$9,$B738&lt;='112'!$N$9,OR($N738='112'!$I$6,$O738='112'!$I$6)),"x","")</f>
        <v/>
      </c>
      <c r="U738" s="66" t="str">
        <f>IF(AND($N738='112'!$I$6,$B738&lt;'112'!$M$9),"x","")</f>
        <v/>
      </c>
      <c r="V738" s="66" t="str">
        <f>IF(AND($O738='112'!$I$6,$B738&lt;'112'!$M$9),"x","")</f>
        <v/>
      </c>
      <c r="W738" s="66" t="str">
        <f>IF(AND('131-CT'!$H$9=TH!H738,OR(N738="131",O738="131")),"x","")</f>
        <v/>
      </c>
      <c r="X738" s="66" t="str">
        <f>IF(AND($B738&gt;='1331'!$I$9,$B738&lt;='1331'!$J$9,OR($N738=$X$7,$O738=$X$7)),"x","")</f>
        <v/>
      </c>
      <c r="Y738" s="66" t="str">
        <f>IF(AND($N738=$X$7,$B738&lt;'1331'!$I$9),"x","")</f>
        <v/>
      </c>
      <c r="Z738" s="66" t="str">
        <f>IF(AND($O738=$X$7,$B738&lt;'1331'!$I$9),"x","")</f>
        <v/>
      </c>
      <c r="AA738" s="66" t="str">
        <f>IF(AND('341-CT'!$H$9=H738,OR(LEFT(N738,3)=$AA$7,LEFT(O738,3)=$AA$7)),"x","")</f>
        <v/>
      </c>
      <c r="AB738" s="66" t="str">
        <f>IF(OR(TH!N738=TH!$AB$7,O738=TH!$AB$7),"x","")</f>
        <v/>
      </c>
      <c r="AC738" s="66" t="str">
        <f t="shared" si="64"/>
        <v/>
      </c>
      <c r="AD738" s="66" t="str">
        <f>IF(AND(MONTH(E738)='IN-NX'!$J$5,'IN-NX'!$D$7=D738,OR(LEFT(TH!N738,2)="15",LEFT(TH!O738,2)="15")),"x","")</f>
        <v/>
      </c>
      <c r="AE738" s="66" t="str">
        <f>IF(AND(OR(LEFT(TH!N738,2)="15",LEFT(TH!O738,2)="15"),'152-CT'!$J$8=TH!F738),"x","")</f>
        <v/>
      </c>
      <c r="AF738" s="66" t="str">
        <f>IF(AND(OR(LEFT(TH!N738,2)="15",LEFT(TH!O738,2)="15"),'THE KHO'!$E$7=TH!F738),"x","")</f>
        <v/>
      </c>
      <c r="AG738" s="66" t="str">
        <f>IF(AND(N738="1521",MONTH(C738)='BK NL'!$M$11),"x","")</f>
        <v/>
      </c>
    </row>
    <row r="739" spans="1:33" ht="15.75" hidden="1" customHeight="1">
      <c r="A739" s="397" t="str">
        <f>IF(B739&lt;&gt;"",IF(AND(B739&gt;=_TM1,B739&lt;=_TM2,OR(TH!N739="1111",TH!O739="1111")),TH!D739,""),"")</f>
        <v/>
      </c>
      <c r="B739" s="63" t="str">
        <f t="shared" si="63"/>
        <v/>
      </c>
      <c r="C739" s="362"/>
      <c r="D739" s="362"/>
      <c r="E739" s="362"/>
      <c r="F739" s="363"/>
      <c r="G739" s="389"/>
      <c r="H739" s="364"/>
      <c r="I739" s="514"/>
      <c r="J739" s="514"/>
      <c r="K739" s="506"/>
      <c r="L739" s="514"/>
      <c r="M739" s="65"/>
      <c r="N739" s="365"/>
      <c r="O739" s="365"/>
      <c r="P739" s="66" t="str">
        <f>IF(AND('331-CT'!$E$7=TH!H739,OR(N739="331",O739="331")),"x","")</f>
        <v/>
      </c>
      <c r="Q739" s="66" t="str">
        <f>IF(AND($B739&gt;='111'!$N$11,$B739&lt;='111'!$O$11,OR($N739=$Q$7,$O739=$Q$7)),"x","")</f>
        <v/>
      </c>
      <c r="R739" s="66" t="str">
        <f>IF(AND($N739=$Q$7,$B739&lt;'111'!$N$11),"x","")</f>
        <v/>
      </c>
      <c r="S739" s="66" t="str">
        <f>IF(AND($O739=$Q$7,$B739&lt;'111'!$N$11),"x","")</f>
        <v/>
      </c>
      <c r="T739" s="66" t="str">
        <f>IF(AND($B739&gt;='112'!$M$9,$B739&lt;='112'!$N$9,OR($N739='112'!$I$6,$O739='112'!$I$6)),"x","")</f>
        <v/>
      </c>
      <c r="U739" s="66" t="str">
        <f>IF(AND($N739='112'!$I$6,$B739&lt;'112'!$M$9),"x","")</f>
        <v/>
      </c>
      <c r="V739" s="66" t="str">
        <f>IF(AND($O739='112'!$I$6,$B739&lt;'112'!$M$9),"x","")</f>
        <v/>
      </c>
      <c r="W739" s="66" t="str">
        <f>IF(AND('131-CT'!$H$9=TH!H739,OR(N739="131",O739="131")),"x","")</f>
        <v/>
      </c>
      <c r="X739" s="66" t="str">
        <f>IF(AND($B739&gt;='1331'!$I$9,$B739&lt;='1331'!$J$9,OR($N739=$X$7,$O739=$X$7)),"x","")</f>
        <v/>
      </c>
      <c r="Y739" s="66" t="str">
        <f>IF(AND($N739=$X$7,$B739&lt;'1331'!$I$9),"x","")</f>
        <v/>
      </c>
      <c r="Z739" s="66" t="str">
        <f>IF(AND($O739=$X$7,$B739&lt;'1331'!$I$9),"x","")</f>
        <v/>
      </c>
      <c r="AA739" s="66" t="str">
        <f>IF(AND('341-CT'!$H$9=H739,OR(LEFT(N739,3)=$AA$7,LEFT(O739,3)=$AA$7)),"x","")</f>
        <v/>
      </c>
      <c r="AB739" s="66" t="str">
        <f>IF(OR(TH!N739=TH!$AB$7,O739=TH!$AB$7),"x","")</f>
        <v/>
      </c>
      <c r="AC739" s="66" t="str">
        <f t="shared" si="64"/>
        <v/>
      </c>
      <c r="AD739" s="66" t="str">
        <f>IF(AND(MONTH(E739)='IN-NX'!$J$5,'IN-NX'!$D$7=D739,OR(LEFT(TH!N739,2)="15",LEFT(TH!O739,2)="15")),"x","")</f>
        <v/>
      </c>
      <c r="AE739" s="66" t="str">
        <f>IF(AND(OR(LEFT(TH!N739,2)="15",LEFT(TH!O739,2)="15"),'152-CT'!$J$8=TH!F739),"x","")</f>
        <v/>
      </c>
      <c r="AF739" s="66" t="str">
        <f>IF(AND(OR(LEFT(TH!N739,2)="15",LEFT(TH!O739,2)="15"),'THE KHO'!$E$7=TH!F739),"x","")</f>
        <v/>
      </c>
      <c r="AG739" s="66" t="str">
        <f>IF(AND(N739="1521",MONTH(C739)='BK NL'!$M$11),"x","")</f>
        <v/>
      </c>
    </row>
    <row r="740" spans="1:33" ht="15.75" hidden="1" customHeight="1">
      <c r="A740" s="397" t="str">
        <f>IF(B740&lt;&gt;"",IF(AND(B740&gt;=_TM1,B740&lt;=_TM2,OR(TH!N740="1111",TH!O740="1111")),TH!D740,""),"")</f>
        <v/>
      </c>
      <c r="B740" s="63" t="str">
        <f t="shared" si="63"/>
        <v/>
      </c>
      <c r="C740" s="362"/>
      <c r="D740" s="362"/>
      <c r="E740" s="362"/>
      <c r="F740" s="363"/>
      <c r="G740" s="389"/>
      <c r="H740" s="364"/>
      <c r="I740" s="514"/>
      <c r="J740" s="514"/>
      <c r="K740" s="506"/>
      <c r="L740" s="514"/>
      <c r="M740" s="65"/>
      <c r="N740" s="365"/>
      <c r="O740" s="365"/>
      <c r="P740" s="66" t="str">
        <f>IF(AND('331-CT'!$E$7=TH!H740,OR(N740="331",O740="331")),"x","")</f>
        <v/>
      </c>
      <c r="Q740" s="66" t="str">
        <f>IF(AND($B740&gt;='111'!$N$11,$B740&lt;='111'!$O$11,OR($N740=$Q$7,$O740=$Q$7)),"x","")</f>
        <v/>
      </c>
      <c r="R740" s="66" t="str">
        <f>IF(AND($N740=$Q$7,$B740&lt;'111'!$N$11),"x","")</f>
        <v/>
      </c>
      <c r="S740" s="66" t="str">
        <f>IF(AND($O740=$Q$7,$B740&lt;'111'!$N$11),"x","")</f>
        <v/>
      </c>
      <c r="T740" s="66" t="str">
        <f>IF(AND($B740&gt;='112'!$M$9,$B740&lt;='112'!$N$9,OR($N740='112'!$I$6,$O740='112'!$I$6)),"x","")</f>
        <v/>
      </c>
      <c r="U740" s="66" t="str">
        <f>IF(AND($N740='112'!$I$6,$B740&lt;'112'!$M$9),"x","")</f>
        <v/>
      </c>
      <c r="V740" s="66" t="str">
        <f>IF(AND($O740='112'!$I$6,$B740&lt;'112'!$M$9),"x","")</f>
        <v/>
      </c>
      <c r="W740" s="66" t="str">
        <f>IF(AND('131-CT'!$H$9=TH!H740,OR(N740="131",O740="131")),"x","")</f>
        <v/>
      </c>
      <c r="X740" s="66" t="str">
        <f>IF(AND($B740&gt;='1331'!$I$9,$B740&lt;='1331'!$J$9,OR($N740=$X$7,$O740=$X$7)),"x","")</f>
        <v/>
      </c>
      <c r="Y740" s="66" t="str">
        <f>IF(AND($N740=$X$7,$B740&lt;'1331'!$I$9),"x","")</f>
        <v/>
      </c>
      <c r="Z740" s="66" t="str">
        <f>IF(AND($O740=$X$7,$B740&lt;'1331'!$I$9),"x","")</f>
        <v/>
      </c>
      <c r="AA740" s="66" t="str">
        <f>IF(AND('341-CT'!$H$9=H740,OR(LEFT(N740,3)=$AA$7,LEFT(O740,3)=$AA$7)),"x","")</f>
        <v/>
      </c>
      <c r="AB740" s="66" t="str">
        <f>IF(OR(TH!N740=TH!$AB$7,O740=TH!$AB$7),"x","")</f>
        <v/>
      </c>
      <c r="AC740" s="66" t="str">
        <f t="shared" si="64"/>
        <v/>
      </c>
      <c r="AD740" s="66" t="str">
        <f>IF(AND(MONTH(E740)='IN-NX'!$J$5,'IN-NX'!$D$7=D740,OR(LEFT(TH!N740,2)="15",LEFT(TH!O740,2)="15")),"x","")</f>
        <v/>
      </c>
      <c r="AE740" s="66" t="str">
        <f>IF(AND(OR(LEFT(TH!N740,2)="15",LEFT(TH!O740,2)="15"),'152-CT'!$J$8=TH!F740),"x","")</f>
        <v/>
      </c>
      <c r="AF740" s="66" t="str">
        <f>IF(AND(OR(LEFT(TH!N740,2)="15",LEFT(TH!O740,2)="15"),'THE KHO'!$E$7=TH!F740),"x","")</f>
        <v/>
      </c>
      <c r="AG740" s="66" t="str">
        <f>IF(AND(N740="1521",MONTH(C740)='BK NL'!$M$11),"x","")</f>
        <v/>
      </c>
    </row>
    <row r="741" spans="1:33" ht="15.75" hidden="1" customHeight="1">
      <c r="A741" s="397" t="str">
        <f>IF(B741&lt;&gt;"",IF(AND(B741&gt;=_TM1,B741&lt;=_TM2,OR(TH!N741="1111",TH!O741="1111")),TH!D741,""),"")</f>
        <v/>
      </c>
      <c r="B741" s="63" t="str">
        <f t="shared" si="63"/>
        <v/>
      </c>
      <c r="C741" s="362"/>
      <c r="D741" s="362"/>
      <c r="E741" s="362"/>
      <c r="F741" s="363"/>
      <c r="G741" s="389"/>
      <c r="H741" s="364"/>
      <c r="I741" s="514"/>
      <c r="J741" s="514"/>
      <c r="K741" s="506"/>
      <c r="L741" s="514"/>
      <c r="M741" s="65"/>
      <c r="N741" s="365"/>
      <c r="O741" s="365"/>
      <c r="P741" s="66" t="str">
        <f>IF(AND('331-CT'!$E$7=TH!H741,OR(N741="331",O741="331")),"x","")</f>
        <v/>
      </c>
      <c r="Q741" s="66" t="str">
        <f>IF(AND($B741&gt;='111'!$N$11,$B741&lt;='111'!$O$11,OR($N741=$Q$7,$O741=$Q$7)),"x","")</f>
        <v/>
      </c>
      <c r="R741" s="66" t="str">
        <f>IF(AND($N741=$Q$7,$B741&lt;'111'!$N$11),"x","")</f>
        <v/>
      </c>
      <c r="S741" s="66" t="str">
        <f>IF(AND($O741=$Q$7,$B741&lt;'111'!$N$11),"x","")</f>
        <v/>
      </c>
      <c r="T741" s="66" t="str">
        <f>IF(AND($B741&gt;='112'!$M$9,$B741&lt;='112'!$N$9,OR($N741='112'!$I$6,$O741='112'!$I$6)),"x","")</f>
        <v/>
      </c>
      <c r="U741" s="66" t="str">
        <f>IF(AND($N741='112'!$I$6,$B741&lt;'112'!$M$9),"x","")</f>
        <v/>
      </c>
      <c r="V741" s="66" t="str">
        <f>IF(AND($O741='112'!$I$6,$B741&lt;'112'!$M$9),"x","")</f>
        <v/>
      </c>
      <c r="W741" s="66" t="str">
        <f>IF(AND('131-CT'!$H$9=TH!H741,OR(N741="131",O741="131")),"x","")</f>
        <v/>
      </c>
      <c r="X741" s="66" t="str">
        <f>IF(AND($B741&gt;='1331'!$I$9,$B741&lt;='1331'!$J$9,OR($N741=$X$7,$O741=$X$7)),"x","")</f>
        <v/>
      </c>
      <c r="Y741" s="66" t="str">
        <f>IF(AND($N741=$X$7,$B741&lt;'1331'!$I$9),"x","")</f>
        <v/>
      </c>
      <c r="Z741" s="66" t="str">
        <f>IF(AND($O741=$X$7,$B741&lt;'1331'!$I$9),"x","")</f>
        <v/>
      </c>
      <c r="AA741" s="66" t="str">
        <f>IF(AND('341-CT'!$H$9=H741,OR(LEFT(N741,3)=$AA$7,LEFT(O741,3)=$AA$7)),"x","")</f>
        <v/>
      </c>
      <c r="AB741" s="66" t="str">
        <f>IF(OR(TH!N741=TH!$AB$7,O741=TH!$AB$7),"x","")</f>
        <v/>
      </c>
      <c r="AC741" s="66" t="str">
        <f t="shared" si="64"/>
        <v/>
      </c>
      <c r="AD741" s="66" t="str">
        <f>IF(AND(MONTH(E741)='IN-NX'!$J$5,'IN-NX'!$D$7=D741,OR(LEFT(TH!N741,2)="15",LEFT(TH!O741,2)="15")),"x","")</f>
        <v/>
      </c>
      <c r="AE741" s="66" t="str">
        <f>IF(AND(OR(LEFT(TH!N741,2)="15",LEFT(TH!O741,2)="15"),'152-CT'!$J$8=TH!F741),"x","")</f>
        <v/>
      </c>
      <c r="AF741" s="66" t="str">
        <f>IF(AND(OR(LEFT(TH!N741,2)="15",LEFT(TH!O741,2)="15"),'THE KHO'!$E$7=TH!F741),"x","")</f>
        <v/>
      </c>
      <c r="AG741" s="66" t="str">
        <f>IF(AND(N741="1521",MONTH(C741)='BK NL'!$M$11),"x","")</f>
        <v/>
      </c>
    </row>
    <row r="742" spans="1:33" ht="15.75" hidden="1" customHeight="1">
      <c r="A742" s="397" t="str">
        <f>IF(B742&lt;&gt;"",IF(AND(B742&gt;=_TM1,B742&lt;=_TM2,OR(TH!N742="1111",TH!O742="1111")),TH!D742,""),"")</f>
        <v/>
      </c>
      <c r="B742" s="63" t="str">
        <f t="shared" si="63"/>
        <v/>
      </c>
      <c r="C742" s="362"/>
      <c r="D742" s="362"/>
      <c r="E742" s="362"/>
      <c r="F742" s="363"/>
      <c r="G742" s="389"/>
      <c r="H742" s="364"/>
      <c r="I742" s="514"/>
      <c r="J742" s="514"/>
      <c r="K742" s="506"/>
      <c r="L742" s="514"/>
      <c r="M742" s="65"/>
      <c r="N742" s="365"/>
      <c r="O742" s="365"/>
      <c r="P742" s="66" t="str">
        <f>IF(AND('331-CT'!$E$7=TH!H742,OR(N742="331",O742="331")),"x","")</f>
        <v/>
      </c>
      <c r="Q742" s="66" t="str">
        <f>IF(AND($B742&gt;='111'!$N$11,$B742&lt;='111'!$O$11,OR($N742=$Q$7,$O742=$Q$7)),"x","")</f>
        <v/>
      </c>
      <c r="R742" s="66" t="str">
        <f>IF(AND($N742=$Q$7,$B742&lt;'111'!$N$11),"x","")</f>
        <v/>
      </c>
      <c r="S742" s="66" t="str">
        <f>IF(AND($O742=$Q$7,$B742&lt;'111'!$N$11),"x","")</f>
        <v/>
      </c>
      <c r="T742" s="66" t="str">
        <f>IF(AND($B742&gt;='112'!$M$9,$B742&lt;='112'!$N$9,OR($N742='112'!$I$6,$O742='112'!$I$6)),"x","")</f>
        <v/>
      </c>
      <c r="U742" s="66" t="str">
        <f>IF(AND($N742='112'!$I$6,$B742&lt;'112'!$M$9),"x","")</f>
        <v/>
      </c>
      <c r="V742" s="66" t="str">
        <f>IF(AND($O742='112'!$I$6,$B742&lt;'112'!$M$9),"x","")</f>
        <v/>
      </c>
      <c r="W742" s="66" t="str">
        <f>IF(AND('131-CT'!$H$9=TH!H742,OR(N742="131",O742="131")),"x","")</f>
        <v/>
      </c>
      <c r="X742" s="66" t="str">
        <f>IF(AND($B742&gt;='1331'!$I$9,$B742&lt;='1331'!$J$9,OR($N742=$X$7,$O742=$X$7)),"x","")</f>
        <v/>
      </c>
      <c r="Y742" s="66" t="str">
        <f>IF(AND($N742=$X$7,$B742&lt;'1331'!$I$9),"x","")</f>
        <v/>
      </c>
      <c r="Z742" s="66" t="str">
        <f>IF(AND($O742=$X$7,$B742&lt;'1331'!$I$9),"x","")</f>
        <v/>
      </c>
      <c r="AA742" s="66" t="str">
        <f>IF(AND('341-CT'!$H$9=H742,OR(LEFT(N742,3)=$AA$7,LEFT(O742,3)=$AA$7)),"x","")</f>
        <v/>
      </c>
      <c r="AB742" s="66" t="str">
        <f>IF(OR(TH!N742=TH!$AB$7,O742=TH!$AB$7),"x","")</f>
        <v/>
      </c>
      <c r="AC742" s="66" t="str">
        <f t="shared" si="64"/>
        <v/>
      </c>
      <c r="AD742" s="66" t="str">
        <f>IF(AND(MONTH(E742)='IN-NX'!$J$5,'IN-NX'!$D$7=D742,OR(LEFT(TH!N742,2)="15",LEFT(TH!O742,2)="15")),"x","")</f>
        <v/>
      </c>
      <c r="AE742" s="66" t="str">
        <f>IF(AND(OR(LEFT(TH!N742,2)="15",LEFT(TH!O742,2)="15"),'152-CT'!$J$8=TH!F742),"x","")</f>
        <v/>
      </c>
      <c r="AF742" s="66" t="str">
        <f>IF(AND(OR(LEFT(TH!N742,2)="15",LEFT(TH!O742,2)="15"),'THE KHO'!$E$7=TH!F742),"x","")</f>
        <v/>
      </c>
      <c r="AG742" s="66" t="str">
        <f>IF(AND(N742="1521",MONTH(C742)='BK NL'!$M$11),"x","")</f>
        <v/>
      </c>
    </row>
    <row r="743" spans="1:33" ht="15.75" hidden="1" customHeight="1">
      <c r="A743" s="397" t="str">
        <f>IF(B743&lt;&gt;"",IF(AND(B743&gt;=_TM1,B743&lt;=_TM2,OR(TH!N743="1111",TH!O743="1111")),TH!D743,""),"")</f>
        <v/>
      </c>
      <c r="B743" s="63" t="str">
        <f t="shared" si="63"/>
        <v/>
      </c>
      <c r="C743" s="362"/>
      <c r="D743" s="362"/>
      <c r="E743" s="362"/>
      <c r="F743" s="363"/>
      <c r="G743" s="389"/>
      <c r="H743" s="364"/>
      <c r="I743" s="514"/>
      <c r="J743" s="514"/>
      <c r="K743" s="506"/>
      <c r="L743" s="514"/>
      <c r="M743" s="65"/>
      <c r="N743" s="365"/>
      <c r="O743" s="365"/>
      <c r="P743" s="66" t="str">
        <f>IF(AND('331-CT'!$E$7=TH!H743,OR(N743="331",O743="331")),"x","")</f>
        <v/>
      </c>
      <c r="Q743" s="66" t="str">
        <f>IF(AND($B743&gt;='111'!$N$11,$B743&lt;='111'!$O$11,OR($N743=$Q$7,$O743=$Q$7)),"x","")</f>
        <v/>
      </c>
      <c r="R743" s="66" t="str">
        <f>IF(AND($N743=$Q$7,$B743&lt;'111'!$N$11),"x","")</f>
        <v/>
      </c>
      <c r="S743" s="66" t="str">
        <f>IF(AND($O743=$Q$7,$B743&lt;'111'!$N$11),"x","")</f>
        <v/>
      </c>
      <c r="T743" s="66" t="str">
        <f>IF(AND($B743&gt;='112'!$M$9,$B743&lt;='112'!$N$9,OR($N743='112'!$I$6,$O743='112'!$I$6)),"x","")</f>
        <v/>
      </c>
      <c r="U743" s="66" t="str">
        <f>IF(AND($N743='112'!$I$6,$B743&lt;'112'!$M$9),"x","")</f>
        <v/>
      </c>
      <c r="V743" s="66" t="str">
        <f>IF(AND($O743='112'!$I$6,$B743&lt;'112'!$M$9),"x","")</f>
        <v/>
      </c>
      <c r="W743" s="66" t="str">
        <f>IF(AND('131-CT'!$H$9=TH!H743,OR(N743="131",O743="131")),"x","")</f>
        <v/>
      </c>
      <c r="X743" s="66" t="str">
        <f>IF(AND($B743&gt;='1331'!$I$9,$B743&lt;='1331'!$J$9,OR($N743=$X$7,$O743=$X$7)),"x","")</f>
        <v/>
      </c>
      <c r="Y743" s="66" t="str">
        <f>IF(AND($N743=$X$7,$B743&lt;'1331'!$I$9),"x","")</f>
        <v/>
      </c>
      <c r="Z743" s="66" t="str">
        <f>IF(AND($O743=$X$7,$B743&lt;'1331'!$I$9),"x","")</f>
        <v/>
      </c>
      <c r="AA743" s="66" t="str">
        <f>IF(AND('341-CT'!$H$9=H743,OR(LEFT(N743,3)=$AA$7,LEFT(O743,3)=$AA$7)),"x","")</f>
        <v/>
      </c>
      <c r="AB743" s="66" t="str">
        <f>IF(OR(TH!N743=TH!$AB$7,O743=TH!$AB$7),"x","")</f>
        <v/>
      </c>
      <c r="AC743" s="66" t="str">
        <f t="shared" si="64"/>
        <v/>
      </c>
      <c r="AD743" s="66" t="str">
        <f>IF(AND(MONTH(E743)='IN-NX'!$J$5,'IN-NX'!$D$7=D743,OR(LEFT(TH!N743,2)="15",LEFT(TH!O743,2)="15")),"x","")</f>
        <v/>
      </c>
      <c r="AE743" s="66" t="str">
        <f>IF(AND(OR(LEFT(TH!N743,2)="15",LEFT(TH!O743,2)="15"),'152-CT'!$J$8=TH!F743),"x","")</f>
        <v/>
      </c>
      <c r="AF743" s="66" t="str">
        <f>IF(AND(OR(LEFT(TH!N743,2)="15",LEFT(TH!O743,2)="15"),'THE KHO'!$E$7=TH!F743),"x","")</f>
        <v/>
      </c>
      <c r="AG743" s="66" t="str">
        <f>IF(AND(N743="1521",MONTH(C743)='BK NL'!$M$11),"x","")</f>
        <v/>
      </c>
    </row>
    <row r="744" spans="1:33" ht="15.75" hidden="1" customHeight="1">
      <c r="A744" s="397" t="str">
        <f>IF(B744&lt;&gt;"",IF(AND(B744&gt;=_TM1,B744&lt;=_TM2,OR(TH!N744="1111",TH!O744="1111")),TH!D744,""),"")</f>
        <v/>
      </c>
      <c r="B744" s="63" t="str">
        <f t="shared" si="63"/>
        <v/>
      </c>
      <c r="C744" s="362"/>
      <c r="D744" s="362"/>
      <c r="E744" s="362"/>
      <c r="F744" s="363"/>
      <c r="G744" s="389"/>
      <c r="H744" s="364"/>
      <c r="I744" s="514"/>
      <c r="J744" s="514"/>
      <c r="K744" s="506"/>
      <c r="L744" s="514"/>
      <c r="M744" s="65"/>
      <c r="N744" s="365"/>
      <c r="O744" s="365"/>
      <c r="P744" s="66" t="str">
        <f>IF(AND('331-CT'!$E$7=TH!H744,OR(N744="331",O744="331")),"x","")</f>
        <v/>
      </c>
      <c r="Q744" s="66" t="str">
        <f>IF(AND($B744&gt;='111'!$N$11,$B744&lt;='111'!$O$11,OR($N744=$Q$7,$O744=$Q$7)),"x","")</f>
        <v/>
      </c>
      <c r="R744" s="66" t="str">
        <f>IF(AND($N744=$Q$7,$B744&lt;'111'!$N$11),"x","")</f>
        <v/>
      </c>
      <c r="S744" s="66" t="str">
        <f>IF(AND($O744=$Q$7,$B744&lt;'111'!$N$11),"x","")</f>
        <v/>
      </c>
      <c r="T744" s="66" t="str">
        <f>IF(AND($B744&gt;='112'!$M$9,$B744&lt;='112'!$N$9,OR($N744='112'!$I$6,$O744='112'!$I$6)),"x","")</f>
        <v/>
      </c>
      <c r="U744" s="66" t="str">
        <f>IF(AND($N744='112'!$I$6,$B744&lt;'112'!$M$9),"x","")</f>
        <v/>
      </c>
      <c r="V744" s="66" t="str">
        <f>IF(AND($O744='112'!$I$6,$B744&lt;'112'!$M$9),"x","")</f>
        <v/>
      </c>
      <c r="W744" s="66" t="str">
        <f>IF(AND('131-CT'!$H$9=TH!H744,OR(N744="131",O744="131")),"x","")</f>
        <v/>
      </c>
      <c r="X744" s="66" t="str">
        <f>IF(AND($B744&gt;='1331'!$I$9,$B744&lt;='1331'!$J$9,OR($N744=$X$7,$O744=$X$7)),"x","")</f>
        <v/>
      </c>
      <c r="Y744" s="66" t="str">
        <f>IF(AND($N744=$X$7,$B744&lt;'1331'!$I$9),"x","")</f>
        <v/>
      </c>
      <c r="Z744" s="66" t="str">
        <f>IF(AND($O744=$X$7,$B744&lt;'1331'!$I$9),"x","")</f>
        <v/>
      </c>
      <c r="AA744" s="66" t="str">
        <f>IF(AND('341-CT'!$H$9=H744,OR(LEFT(N744,3)=$AA$7,LEFT(O744,3)=$AA$7)),"x","")</f>
        <v/>
      </c>
      <c r="AB744" s="66" t="str">
        <f>IF(OR(TH!N744=TH!$AB$7,O744=TH!$AB$7),"x","")</f>
        <v/>
      </c>
      <c r="AC744" s="66" t="str">
        <f t="shared" si="64"/>
        <v/>
      </c>
      <c r="AD744" s="66" t="str">
        <f>IF(AND(MONTH(E744)='IN-NX'!$J$5,'IN-NX'!$D$7=D744,OR(LEFT(TH!N744,2)="15",LEFT(TH!O744,2)="15")),"x","")</f>
        <v/>
      </c>
      <c r="AE744" s="66" t="str">
        <f>IF(AND(OR(LEFT(TH!N744,2)="15",LEFT(TH!O744,2)="15"),'152-CT'!$J$8=TH!F744),"x","")</f>
        <v/>
      </c>
      <c r="AF744" s="66" t="str">
        <f>IF(AND(OR(LEFT(TH!N744,2)="15",LEFT(TH!O744,2)="15"),'THE KHO'!$E$7=TH!F744),"x","")</f>
        <v/>
      </c>
      <c r="AG744" s="66" t="str">
        <f>IF(AND(N744="1521",MONTH(C744)='BK NL'!$M$11),"x","")</f>
        <v/>
      </c>
    </row>
    <row r="745" spans="1:33" ht="15.75" hidden="1" customHeight="1">
      <c r="A745" s="397" t="str">
        <f>IF(B745&lt;&gt;"",IF(AND(B745&gt;=_TM1,B745&lt;=_TM2,OR(TH!N745="1111",TH!O745="1111")),TH!D745,""),"")</f>
        <v/>
      </c>
      <c r="B745" s="63" t="str">
        <f t="shared" si="63"/>
        <v/>
      </c>
      <c r="C745" s="362"/>
      <c r="D745" s="362"/>
      <c r="E745" s="362"/>
      <c r="F745" s="363"/>
      <c r="G745" s="389"/>
      <c r="H745" s="364"/>
      <c r="I745" s="514"/>
      <c r="J745" s="514"/>
      <c r="K745" s="506"/>
      <c r="L745" s="514"/>
      <c r="M745" s="65"/>
      <c r="N745" s="365"/>
      <c r="O745" s="365"/>
      <c r="P745" s="66" t="str">
        <f>IF(AND('331-CT'!$E$7=TH!H745,OR(N745="331",O745="331")),"x","")</f>
        <v/>
      </c>
      <c r="Q745" s="66" t="str">
        <f>IF(AND($B745&gt;='111'!$N$11,$B745&lt;='111'!$O$11,OR($N745=$Q$7,$O745=$Q$7)),"x","")</f>
        <v/>
      </c>
      <c r="R745" s="66" t="str">
        <f>IF(AND($N745=$Q$7,$B745&lt;'111'!$N$11),"x","")</f>
        <v/>
      </c>
      <c r="S745" s="66" t="str">
        <f>IF(AND($O745=$Q$7,$B745&lt;'111'!$N$11),"x","")</f>
        <v/>
      </c>
      <c r="T745" s="66" t="str">
        <f>IF(AND($B745&gt;='112'!$M$9,$B745&lt;='112'!$N$9,OR($N745='112'!$I$6,$O745='112'!$I$6)),"x","")</f>
        <v/>
      </c>
      <c r="U745" s="66" t="str">
        <f>IF(AND($N745='112'!$I$6,$B745&lt;'112'!$M$9),"x","")</f>
        <v/>
      </c>
      <c r="V745" s="66" t="str">
        <f>IF(AND($O745='112'!$I$6,$B745&lt;'112'!$M$9),"x","")</f>
        <v/>
      </c>
      <c r="W745" s="66" t="str">
        <f>IF(AND('131-CT'!$H$9=TH!H745,OR(N745="131",O745="131")),"x","")</f>
        <v/>
      </c>
      <c r="X745" s="66" t="str">
        <f>IF(AND($B745&gt;='1331'!$I$9,$B745&lt;='1331'!$J$9,OR($N745=$X$7,$O745=$X$7)),"x","")</f>
        <v/>
      </c>
      <c r="Y745" s="66" t="str">
        <f>IF(AND($N745=$X$7,$B745&lt;'1331'!$I$9),"x","")</f>
        <v/>
      </c>
      <c r="Z745" s="66" t="str">
        <f>IF(AND($O745=$X$7,$B745&lt;'1331'!$I$9),"x","")</f>
        <v/>
      </c>
      <c r="AA745" s="66" t="str">
        <f>IF(AND('341-CT'!$H$9=H745,OR(LEFT(N745,3)=$AA$7,LEFT(O745,3)=$AA$7)),"x","")</f>
        <v/>
      </c>
      <c r="AB745" s="66" t="str">
        <f>IF(OR(TH!N745=TH!$AB$7,O745=TH!$AB$7),"x","")</f>
        <v/>
      </c>
      <c r="AC745" s="66" t="str">
        <f t="shared" si="64"/>
        <v/>
      </c>
      <c r="AD745" s="66" t="str">
        <f>IF(AND(MONTH(E745)='IN-NX'!$J$5,'IN-NX'!$D$7=D745,OR(LEFT(TH!N745,2)="15",LEFT(TH!O745,2)="15")),"x","")</f>
        <v/>
      </c>
      <c r="AE745" s="66" t="str">
        <f>IF(AND(OR(LEFT(TH!N745,2)="15",LEFT(TH!O745,2)="15"),'152-CT'!$J$8=TH!F745),"x","")</f>
        <v/>
      </c>
      <c r="AF745" s="66" t="str">
        <f>IF(AND(OR(LEFT(TH!N745,2)="15",LEFT(TH!O745,2)="15"),'THE KHO'!$E$7=TH!F745),"x","")</f>
        <v/>
      </c>
      <c r="AG745" s="66" t="str">
        <f>IF(AND(N745="1521",MONTH(C745)='BK NL'!$M$11),"x","")</f>
        <v/>
      </c>
    </row>
    <row r="746" spans="1:33" ht="15.75" hidden="1" customHeight="1">
      <c r="A746" s="397" t="str">
        <f>IF(B746&lt;&gt;"",IF(AND(B746&gt;=_TM1,B746&lt;=_TM2,OR(TH!N746="1111",TH!O746="1111")),TH!D746,""),"")</f>
        <v/>
      </c>
      <c r="B746" s="63" t="str">
        <f t="shared" si="63"/>
        <v/>
      </c>
      <c r="C746" s="362"/>
      <c r="D746" s="362"/>
      <c r="E746" s="362"/>
      <c r="F746" s="363"/>
      <c r="G746" s="389"/>
      <c r="H746" s="364"/>
      <c r="I746" s="514"/>
      <c r="J746" s="514"/>
      <c r="K746" s="506"/>
      <c r="L746" s="514"/>
      <c r="M746" s="65"/>
      <c r="N746" s="365"/>
      <c r="O746" s="365"/>
      <c r="P746" s="66" t="str">
        <f>IF(AND('331-CT'!$E$7=TH!H746,OR(N746="331",O746="331")),"x","")</f>
        <v/>
      </c>
      <c r="Q746" s="66" t="str">
        <f>IF(AND($B746&gt;='111'!$N$11,$B746&lt;='111'!$O$11,OR($N746=$Q$7,$O746=$Q$7)),"x","")</f>
        <v/>
      </c>
      <c r="R746" s="66" t="str">
        <f>IF(AND($N746=$Q$7,$B746&lt;'111'!$N$11),"x","")</f>
        <v/>
      </c>
      <c r="S746" s="66" t="str">
        <f>IF(AND($O746=$Q$7,$B746&lt;'111'!$N$11),"x","")</f>
        <v/>
      </c>
      <c r="T746" s="66" t="str">
        <f>IF(AND($B746&gt;='112'!$M$9,$B746&lt;='112'!$N$9,OR($N746='112'!$I$6,$O746='112'!$I$6)),"x","")</f>
        <v/>
      </c>
      <c r="U746" s="66" t="str">
        <f>IF(AND($N746='112'!$I$6,$B746&lt;'112'!$M$9),"x","")</f>
        <v/>
      </c>
      <c r="V746" s="66" t="str">
        <f>IF(AND($O746='112'!$I$6,$B746&lt;'112'!$M$9),"x","")</f>
        <v/>
      </c>
      <c r="W746" s="66" t="str">
        <f>IF(AND('131-CT'!$H$9=TH!H746,OR(N746="131",O746="131")),"x","")</f>
        <v/>
      </c>
      <c r="X746" s="66" t="str">
        <f>IF(AND($B746&gt;='1331'!$I$9,$B746&lt;='1331'!$J$9,OR($N746=$X$7,$O746=$X$7)),"x","")</f>
        <v/>
      </c>
      <c r="Y746" s="66" t="str">
        <f>IF(AND($N746=$X$7,$B746&lt;'1331'!$I$9),"x","")</f>
        <v/>
      </c>
      <c r="Z746" s="66" t="str">
        <f>IF(AND($O746=$X$7,$B746&lt;'1331'!$I$9),"x","")</f>
        <v/>
      </c>
      <c r="AA746" s="66" t="str">
        <f>IF(AND('341-CT'!$H$9=H746,OR(LEFT(N746,3)=$AA$7,LEFT(O746,3)=$AA$7)),"x","")</f>
        <v/>
      </c>
      <c r="AB746" s="66" t="str">
        <f>IF(OR(TH!N746=TH!$AB$7,O746=TH!$AB$7),"x","")</f>
        <v/>
      </c>
      <c r="AC746" s="66" t="str">
        <f t="shared" si="64"/>
        <v/>
      </c>
      <c r="AD746" s="66" t="str">
        <f>IF(AND(MONTH(E746)='IN-NX'!$J$5,'IN-NX'!$D$7=D746,OR(LEFT(TH!N746,2)="15",LEFT(TH!O746,2)="15")),"x","")</f>
        <v/>
      </c>
      <c r="AE746" s="66" t="str">
        <f>IF(AND(OR(LEFT(TH!N746,2)="15",LEFT(TH!O746,2)="15"),'152-CT'!$J$8=TH!F746),"x","")</f>
        <v/>
      </c>
      <c r="AF746" s="66" t="str">
        <f>IF(AND(OR(LEFT(TH!N746,2)="15",LEFT(TH!O746,2)="15"),'THE KHO'!$E$7=TH!F746),"x","")</f>
        <v/>
      </c>
      <c r="AG746" s="66" t="str">
        <f>IF(AND(N746="1521",MONTH(C746)='BK NL'!$M$11),"x","")</f>
        <v/>
      </c>
    </row>
    <row r="747" spans="1:33" ht="15.75" hidden="1" customHeight="1">
      <c r="A747" s="397" t="str">
        <f>IF(B747&lt;&gt;"",IF(AND(B747&gt;=_TM1,B747&lt;=_TM2,OR(TH!N747="1111",TH!O747="1111")),TH!D747,""),"")</f>
        <v/>
      </c>
      <c r="B747" s="63" t="str">
        <f t="shared" si="63"/>
        <v/>
      </c>
      <c r="C747" s="362"/>
      <c r="D747" s="362"/>
      <c r="E747" s="362"/>
      <c r="F747" s="363"/>
      <c r="G747" s="389"/>
      <c r="H747" s="364"/>
      <c r="I747" s="514"/>
      <c r="J747" s="514"/>
      <c r="K747" s="506"/>
      <c r="L747" s="514"/>
      <c r="M747" s="65"/>
      <c r="N747" s="365"/>
      <c r="O747" s="365"/>
      <c r="P747" s="66" t="str">
        <f>IF(AND('331-CT'!$E$7=TH!H747,OR(N747="331",O747="331")),"x","")</f>
        <v/>
      </c>
      <c r="Q747" s="66" t="str">
        <f>IF(AND($B747&gt;='111'!$N$11,$B747&lt;='111'!$O$11,OR($N747=$Q$7,$O747=$Q$7)),"x","")</f>
        <v/>
      </c>
      <c r="R747" s="66" t="str">
        <f>IF(AND($N747=$Q$7,$B747&lt;'111'!$N$11),"x","")</f>
        <v/>
      </c>
      <c r="S747" s="66" t="str">
        <f>IF(AND($O747=$Q$7,$B747&lt;'111'!$N$11),"x","")</f>
        <v/>
      </c>
      <c r="T747" s="66" t="str">
        <f>IF(AND($B747&gt;='112'!$M$9,$B747&lt;='112'!$N$9,OR($N747='112'!$I$6,$O747='112'!$I$6)),"x","")</f>
        <v/>
      </c>
      <c r="U747" s="66" t="str">
        <f>IF(AND($N747='112'!$I$6,$B747&lt;'112'!$M$9),"x","")</f>
        <v/>
      </c>
      <c r="V747" s="66" t="str">
        <f>IF(AND($O747='112'!$I$6,$B747&lt;'112'!$M$9),"x","")</f>
        <v/>
      </c>
      <c r="W747" s="66" t="str">
        <f>IF(AND('131-CT'!$H$9=TH!H747,OR(N747="131",O747="131")),"x","")</f>
        <v/>
      </c>
      <c r="X747" s="66" t="str">
        <f>IF(AND($B747&gt;='1331'!$I$9,$B747&lt;='1331'!$J$9,OR($N747=$X$7,$O747=$X$7)),"x","")</f>
        <v/>
      </c>
      <c r="Y747" s="66" t="str">
        <f>IF(AND($N747=$X$7,$B747&lt;'1331'!$I$9),"x","")</f>
        <v/>
      </c>
      <c r="Z747" s="66" t="str">
        <f>IF(AND($O747=$X$7,$B747&lt;'1331'!$I$9),"x","")</f>
        <v/>
      </c>
      <c r="AA747" s="66" t="str">
        <f>IF(AND('341-CT'!$H$9=H747,OR(LEFT(N747,3)=$AA$7,LEFT(O747,3)=$AA$7)),"x","")</f>
        <v/>
      </c>
      <c r="AB747" s="66" t="str">
        <f>IF(OR(TH!N747=TH!$AB$7,O747=TH!$AB$7),"x","")</f>
        <v/>
      </c>
      <c r="AC747" s="66" t="str">
        <f t="shared" si="64"/>
        <v/>
      </c>
      <c r="AD747" s="66" t="str">
        <f>IF(AND(MONTH(E747)='IN-NX'!$J$5,'IN-NX'!$D$7=D747,OR(LEFT(TH!N747,2)="15",LEFT(TH!O747,2)="15")),"x","")</f>
        <v/>
      </c>
      <c r="AE747" s="66" t="str">
        <f>IF(AND(OR(LEFT(TH!N747,2)="15",LEFT(TH!O747,2)="15"),'152-CT'!$J$8=TH!F747),"x","")</f>
        <v/>
      </c>
      <c r="AF747" s="66" t="str">
        <f>IF(AND(OR(LEFT(TH!N747,2)="15",LEFT(TH!O747,2)="15"),'THE KHO'!$E$7=TH!F747),"x","")</f>
        <v/>
      </c>
      <c r="AG747" s="66" t="str">
        <f>IF(AND(N747="1521",MONTH(C747)='BK NL'!$M$11),"x","")</f>
        <v/>
      </c>
    </row>
    <row r="748" spans="1:33" ht="15.75" hidden="1" customHeight="1">
      <c r="A748" s="397" t="str">
        <f>IF(B748&lt;&gt;"",IF(AND(B748&gt;=_TM1,B748&lt;=_TM2,OR(TH!N748="1111",TH!O748="1111")),TH!D748,""),"")</f>
        <v/>
      </c>
      <c r="B748" s="63" t="str">
        <f t="shared" si="63"/>
        <v/>
      </c>
      <c r="C748" s="362"/>
      <c r="D748" s="362"/>
      <c r="E748" s="362"/>
      <c r="F748" s="363"/>
      <c r="G748" s="389"/>
      <c r="H748" s="364"/>
      <c r="I748" s="514"/>
      <c r="J748" s="514"/>
      <c r="K748" s="506"/>
      <c r="L748" s="514"/>
      <c r="M748" s="65"/>
      <c r="N748" s="365"/>
      <c r="O748" s="365"/>
      <c r="P748" s="66" t="str">
        <f>IF(AND('331-CT'!$E$7=TH!H748,OR(N748="331",O748="331")),"x","")</f>
        <v/>
      </c>
      <c r="Q748" s="66" t="str">
        <f>IF(AND($B748&gt;='111'!$N$11,$B748&lt;='111'!$O$11,OR($N748=$Q$7,$O748=$Q$7)),"x","")</f>
        <v/>
      </c>
      <c r="R748" s="66" t="str">
        <f>IF(AND($N748=$Q$7,$B748&lt;'111'!$N$11),"x","")</f>
        <v/>
      </c>
      <c r="S748" s="66" t="str">
        <f>IF(AND($O748=$Q$7,$B748&lt;'111'!$N$11),"x","")</f>
        <v/>
      </c>
      <c r="T748" s="66" t="str">
        <f>IF(AND($B748&gt;='112'!$M$9,$B748&lt;='112'!$N$9,OR($N748='112'!$I$6,$O748='112'!$I$6)),"x","")</f>
        <v/>
      </c>
      <c r="U748" s="66" t="str">
        <f>IF(AND($N748='112'!$I$6,$B748&lt;'112'!$M$9),"x","")</f>
        <v/>
      </c>
      <c r="V748" s="66" t="str">
        <f>IF(AND($O748='112'!$I$6,$B748&lt;'112'!$M$9),"x","")</f>
        <v/>
      </c>
      <c r="W748" s="66" t="str">
        <f>IF(AND('131-CT'!$H$9=TH!H748,OR(N748="131",O748="131")),"x","")</f>
        <v/>
      </c>
      <c r="X748" s="66" t="str">
        <f>IF(AND($B748&gt;='1331'!$I$9,$B748&lt;='1331'!$J$9,OR($N748=$X$7,$O748=$X$7)),"x","")</f>
        <v/>
      </c>
      <c r="Y748" s="66" t="str">
        <f>IF(AND($N748=$X$7,$B748&lt;'1331'!$I$9),"x","")</f>
        <v/>
      </c>
      <c r="Z748" s="66" t="str">
        <f>IF(AND($O748=$X$7,$B748&lt;'1331'!$I$9),"x","")</f>
        <v/>
      </c>
      <c r="AA748" s="66" t="str">
        <f>IF(AND('341-CT'!$H$9=H748,OR(LEFT(N748,3)=$AA$7,LEFT(O748,3)=$AA$7)),"x","")</f>
        <v/>
      </c>
      <c r="AB748" s="66" t="str">
        <f>IF(OR(TH!N748=TH!$AB$7,O748=TH!$AB$7),"x","")</f>
        <v/>
      </c>
      <c r="AC748" s="66" t="str">
        <f t="shared" si="64"/>
        <v/>
      </c>
      <c r="AD748" s="66" t="str">
        <f>IF(AND(MONTH(E748)='IN-NX'!$J$5,'IN-NX'!$D$7=D748,OR(LEFT(TH!N748,2)="15",LEFT(TH!O748,2)="15")),"x","")</f>
        <v/>
      </c>
      <c r="AE748" s="66" t="str">
        <f>IF(AND(OR(LEFT(TH!N748,2)="15",LEFT(TH!O748,2)="15"),'152-CT'!$J$8=TH!F748),"x","")</f>
        <v/>
      </c>
      <c r="AF748" s="66" t="str">
        <f>IF(AND(OR(LEFT(TH!N748,2)="15",LEFT(TH!O748,2)="15"),'THE KHO'!$E$7=TH!F748),"x","")</f>
        <v/>
      </c>
      <c r="AG748" s="66" t="str">
        <f>IF(AND(N748="1521",MONTH(C748)='BK NL'!$M$11),"x","")</f>
        <v/>
      </c>
    </row>
    <row r="749" spans="1:33" ht="15.75" hidden="1" customHeight="1">
      <c r="A749" s="397" t="str">
        <f>IF(B749&lt;&gt;"",IF(AND(B749&gt;=_TM1,B749&lt;=_TM2,OR(TH!N749="1111",TH!O749="1111")),TH!D749,""),"")</f>
        <v/>
      </c>
      <c r="B749" s="63" t="str">
        <f t="shared" si="63"/>
        <v/>
      </c>
      <c r="C749" s="362"/>
      <c r="D749" s="362"/>
      <c r="E749" s="362"/>
      <c r="F749" s="363"/>
      <c r="G749" s="389"/>
      <c r="H749" s="364"/>
      <c r="I749" s="514"/>
      <c r="J749" s="514"/>
      <c r="K749" s="506"/>
      <c r="L749" s="514"/>
      <c r="M749" s="65"/>
      <c r="N749" s="365"/>
      <c r="O749" s="365"/>
      <c r="P749" s="66" t="str">
        <f>IF(AND('331-CT'!$E$7=TH!H749,OR(N749="331",O749="331")),"x","")</f>
        <v/>
      </c>
      <c r="Q749" s="66" t="str">
        <f>IF(AND($B749&gt;='111'!$N$11,$B749&lt;='111'!$O$11,OR($N749=$Q$7,$O749=$Q$7)),"x","")</f>
        <v/>
      </c>
      <c r="R749" s="66" t="str">
        <f>IF(AND($N749=$Q$7,$B749&lt;'111'!$N$11),"x","")</f>
        <v/>
      </c>
      <c r="S749" s="66" t="str">
        <f>IF(AND($O749=$Q$7,$B749&lt;'111'!$N$11),"x","")</f>
        <v/>
      </c>
      <c r="T749" s="66" t="str">
        <f>IF(AND($B749&gt;='112'!$M$9,$B749&lt;='112'!$N$9,OR($N749='112'!$I$6,$O749='112'!$I$6)),"x","")</f>
        <v/>
      </c>
      <c r="U749" s="66" t="str">
        <f>IF(AND($N749='112'!$I$6,$B749&lt;'112'!$M$9),"x","")</f>
        <v/>
      </c>
      <c r="V749" s="66" t="str">
        <f>IF(AND($O749='112'!$I$6,$B749&lt;'112'!$M$9),"x","")</f>
        <v/>
      </c>
      <c r="W749" s="66" t="str">
        <f>IF(AND('131-CT'!$H$9=TH!H749,OR(N749="131",O749="131")),"x","")</f>
        <v/>
      </c>
      <c r="X749" s="66" t="str">
        <f>IF(AND($B749&gt;='1331'!$I$9,$B749&lt;='1331'!$J$9,OR($N749=$X$7,$O749=$X$7)),"x","")</f>
        <v/>
      </c>
      <c r="Y749" s="66" t="str">
        <f>IF(AND($N749=$X$7,$B749&lt;'1331'!$I$9),"x","")</f>
        <v/>
      </c>
      <c r="Z749" s="66" t="str">
        <f>IF(AND($O749=$X$7,$B749&lt;'1331'!$I$9),"x","")</f>
        <v/>
      </c>
      <c r="AA749" s="66" t="str">
        <f>IF(AND('341-CT'!$H$9=H749,OR(LEFT(N749,3)=$AA$7,LEFT(O749,3)=$AA$7)),"x","")</f>
        <v/>
      </c>
      <c r="AB749" s="66" t="str">
        <f>IF(OR(TH!N749=TH!$AB$7,O749=TH!$AB$7),"x","")</f>
        <v/>
      </c>
      <c r="AC749" s="66" t="str">
        <f t="shared" si="64"/>
        <v/>
      </c>
      <c r="AD749" s="66" t="str">
        <f>IF(AND(MONTH(E749)='IN-NX'!$J$5,'IN-NX'!$D$7=D749,OR(LEFT(TH!N749,2)="15",LEFT(TH!O749,2)="15")),"x","")</f>
        <v/>
      </c>
      <c r="AE749" s="66" t="str">
        <f>IF(AND(OR(LEFT(TH!N749,2)="15",LEFT(TH!O749,2)="15"),'152-CT'!$J$8=TH!F749),"x","")</f>
        <v/>
      </c>
      <c r="AF749" s="66" t="str">
        <f>IF(AND(OR(LEFT(TH!N749,2)="15",LEFT(TH!O749,2)="15"),'THE KHO'!$E$7=TH!F749),"x","")</f>
        <v/>
      </c>
      <c r="AG749" s="66" t="str">
        <f>IF(AND(N749="1521",MONTH(C749)='BK NL'!$M$11),"x","")</f>
        <v/>
      </c>
    </row>
    <row r="750" spans="1:33" ht="15.75" hidden="1" customHeight="1">
      <c r="A750" s="397" t="str">
        <f>IF(B750&lt;&gt;"",IF(AND(B750&gt;=_TM1,B750&lt;=_TM2,OR(TH!N750="1111",TH!O750="1111")),TH!D750,""),"")</f>
        <v/>
      </c>
      <c r="B750" s="63" t="str">
        <f t="shared" si="63"/>
        <v/>
      </c>
      <c r="C750" s="362"/>
      <c r="D750" s="362"/>
      <c r="E750" s="362"/>
      <c r="F750" s="363"/>
      <c r="G750" s="389"/>
      <c r="H750" s="364"/>
      <c r="I750" s="514"/>
      <c r="J750" s="514"/>
      <c r="K750" s="506"/>
      <c r="L750" s="514"/>
      <c r="M750" s="65"/>
      <c r="N750" s="365"/>
      <c r="O750" s="365"/>
      <c r="P750" s="66" t="str">
        <f>IF(AND('331-CT'!$E$7=TH!H750,OR(N750="331",O750="331")),"x","")</f>
        <v/>
      </c>
      <c r="Q750" s="66" t="str">
        <f>IF(AND($B750&gt;='111'!$N$11,$B750&lt;='111'!$O$11,OR($N750=$Q$7,$O750=$Q$7)),"x","")</f>
        <v/>
      </c>
      <c r="R750" s="66" t="str">
        <f>IF(AND($N750=$Q$7,$B750&lt;'111'!$N$11),"x","")</f>
        <v/>
      </c>
      <c r="S750" s="66" t="str">
        <f>IF(AND($O750=$Q$7,$B750&lt;'111'!$N$11),"x","")</f>
        <v/>
      </c>
      <c r="T750" s="66" t="str">
        <f>IF(AND($B750&gt;='112'!$M$9,$B750&lt;='112'!$N$9,OR($N750='112'!$I$6,$O750='112'!$I$6)),"x","")</f>
        <v/>
      </c>
      <c r="U750" s="66" t="str">
        <f>IF(AND($N750='112'!$I$6,$B750&lt;'112'!$M$9),"x","")</f>
        <v/>
      </c>
      <c r="V750" s="66" t="str">
        <f>IF(AND($O750='112'!$I$6,$B750&lt;'112'!$M$9),"x","")</f>
        <v/>
      </c>
      <c r="W750" s="66" t="str">
        <f>IF(AND('131-CT'!$H$9=TH!H750,OR(N750="131",O750="131")),"x","")</f>
        <v/>
      </c>
      <c r="X750" s="66" t="str">
        <f>IF(AND($B750&gt;='1331'!$I$9,$B750&lt;='1331'!$J$9,OR($N750=$X$7,$O750=$X$7)),"x","")</f>
        <v/>
      </c>
      <c r="Y750" s="66" t="str">
        <f>IF(AND($N750=$X$7,$B750&lt;'1331'!$I$9),"x","")</f>
        <v/>
      </c>
      <c r="Z750" s="66" t="str">
        <f>IF(AND($O750=$X$7,$B750&lt;'1331'!$I$9),"x","")</f>
        <v/>
      </c>
      <c r="AA750" s="66" t="str">
        <f>IF(AND('341-CT'!$H$9=H750,OR(LEFT(N750,3)=$AA$7,LEFT(O750,3)=$AA$7)),"x","")</f>
        <v/>
      </c>
      <c r="AB750" s="66" t="str">
        <f>IF(OR(TH!N750=TH!$AB$7,O750=TH!$AB$7),"x","")</f>
        <v/>
      </c>
      <c r="AC750" s="66" t="str">
        <f t="shared" si="64"/>
        <v/>
      </c>
      <c r="AD750" s="66" t="str">
        <f>IF(AND(MONTH(E750)='IN-NX'!$J$5,'IN-NX'!$D$7=D750,OR(LEFT(TH!N750,2)="15",LEFT(TH!O750,2)="15")),"x","")</f>
        <v/>
      </c>
      <c r="AE750" s="66" t="str">
        <f>IF(AND(OR(LEFT(TH!N750,2)="15",LEFT(TH!O750,2)="15"),'152-CT'!$J$8=TH!F750),"x","")</f>
        <v/>
      </c>
      <c r="AF750" s="66" t="str">
        <f>IF(AND(OR(LEFT(TH!N750,2)="15",LEFT(TH!O750,2)="15"),'THE KHO'!$E$7=TH!F750),"x","")</f>
        <v/>
      </c>
      <c r="AG750" s="66" t="str">
        <f>IF(AND(N750="1521",MONTH(C750)='BK NL'!$M$11),"x","")</f>
        <v/>
      </c>
    </row>
    <row r="751" spans="1:33" ht="15.75" hidden="1" customHeight="1">
      <c r="A751" s="397" t="str">
        <f>IF(B751&lt;&gt;"",IF(AND(B751&gt;=_TM1,B751&lt;=_TM2,OR(TH!N751="1111",TH!O751="1111")),TH!D751,""),"")</f>
        <v/>
      </c>
      <c r="B751" s="63" t="str">
        <f t="shared" si="63"/>
        <v/>
      </c>
      <c r="C751" s="362"/>
      <c r="D751" s="362"/>
      <c r="E751" s="362"/>
      <c r="F751" s="363"/>
      <c r="G751" s="389"/>
      <c r="H751" s="364"/>
      <c r="I751" s="514"/>
      <c r="J751" s="514"/>
      <c r="K751" s="506"/>
      <c r="L751" s="514"/>
      <c r="M751" s="65"/>
      <c r="N751" s="365"/>
      <c r="O751" s="365"/>
      <c r="P751" s="66" t="str">
        <f>IF(AND('331-CT'!$E$7=TH!H751,OR(N751="331",O751="331")),"x","")</f>
        <v/>
      </c>
      <c r="Q751" s="66" t="str">
        <f>IF(AND($B751&gt;='111'!$N$11,$B751&lt;='111'!$O$11,OR($N751=$Q$7,$O751=$Q$7)),"x","")</f>
        <v/>
      </c>
      <c r="R751" s="66" t="str">
        <f>IF(AND($N751=$Q$7,$B751&lt;'111'!$N$11),"x","")</f>
        <v/>
      </c>
      <c r="S751" s="66" t="str">
        <f>IF(AND($O751=$Q$7,$B751&lt;'111'!$N$11),"x","")</f>
        <v/>
      </c>
      <c r="T751" s="66" t="str">
        <f>IF(AND($B751&gt;='112'!$M$9,$B751&lt;='112'!$N$9,OR($N751='112'!$I$6,$O751='112'!$I$6)),"x","")</f>
        <v/>
      </c>
      <c r="U751" s="66" t="str">
        <f>IF(AND($N751='112'!$I$6,$B751&lt;'112'!$M$9),"x","")</f>
        <v/>
      </c>
      <c r="V751" s="66" t="str">
        <f>IF(AND($O751='112'!$I$6,$B751&lt;'112'!$M$9),"x","")</f>
        <v/>
      </c>
      <c r="W751" s="66" t="str">
        <f>IF(AND('131-CT'!$H$9=TH!H751,OR(N751="131",O751="131")),"x","")</f>
        <v/>
      </c>
      <c r="X751" s="66" t="str">
        <f>IF(AND($B751&gt;='1331'!$I$9,$B751&lt;='1331'!$J$9,OR($N751=$X$7,$O751=$X$7)),"x","")</f>
        <v/>
      </c>
      <c r="Y751" s="66" t="str">
        <f>IF(AND($N751=$X$7,$B751&lt;'1331'!$I$9),"x","")</f>
        <v/>
      </c>
      <c r="Z751" s="66" t="str">
        <f>IF(AND($O751=$X$7,$B751&lt;'1331'!$I$9),"x","")</f>
        <v/>
      </c>
      <c r="AA751" s="66" t="str">
        <f>IF(AND('341-CT'!$H$9=H751,OR(LEFT(N751,3)=$AA$7,LEFT(O751,3)=$AA$7)),"x","")</f>
        <v/>
      </c>
      <c r="AB751" s="66" t="str">
        <f>IF(OR(TH!N751=TH!$AB$7,O751=TH!$AB$7),"x","")</f>
        <v/>
      </c>
      <c r="AC751" s="66" t="str">
        <f t="shared" si="64"/>
        <v/>
      </c>
      <c r="AD751" s="66" t="str">
        <f>IF(AND(MONTH(E751)='IN-NX'!$J$5,'IN-NX'!$D$7=D751,OR(LEFT(TH!N751,2)="15",LEFT(TH!O751,2)="15")),"x","")</f>
        <v/>
      </c>
      <c r="AE751" s="66" t="str">
        <f>IF(AND(OR(LEFT(TH!N751,2)="15",LEFT(TH!O751,2)="15"),'152-CT'!$J$8=TH!F751),"x","")</f>
        <v/>
      </c>
      <c r="AF751" s="66" t="str">
        <f>IF(AND(OR(LEFT(TH!N751,2)="15",LEFT(TH!O751,2)="15"),'THE KHO'!$E$7=TH!F751),"x","")</f>
        <v/>
      </c>
      <c r="AG751" s="66" t="str">
        <f>IF(AND(N751="1521",MONTH(C751)='BK NL'!$M$11),"x","")</f>
        <v/>
      </c>
    </row>
    <row r="752" spans="1:33" ht="15.75" hidden="1" customHeight="1">
      <c r="A752" s="397" t="str">
        <f>IF(B752&lt;&gt;"",IF(AND(B752&gt;=_TM1,B752&lt;=_TM2,OR(TH!N752="1111",TH!O752="1111")),TH!D752,""),"")</f>
        <v/>
      </c>
      <c r="B752" s="63" t="str">
        <f t="shared" si="63"/>
        <v/>
      </c>
      <c r="C752" s="362"/>
      <c r="D752" s="362"/>
      <c r="E752" s="362"/>
      <c r="F752" s="363"/>
      <c r="G752" s="389"/>
      <c r="H752" s="364"/>
      <c r="I752" s="514"/>
      <c r="J752" s="514"/>
      <c r="K752" s="506"/>
      <c r="L752" s="514"/>
      <c r="M752" s="65"/>
      <c r="N752" s="365"/>
      <c r="O752" s="365"/>
      <c r="P752" s="66" t="str">
        <f>IF(AND('331-CT'!$E$7=TH!H752,OR(N752="331",O752="331")),"x","")</f>
        <v/>
      </c>
      <c r="Q752" s="66" t="str">
        <f>IF(AND($B752&gt;='111'!$N$11,$B752&lt;='111'!$O$11,OR($N752=$Q$7,$O752=$Q$7)),"x","")</f>
        <v/>
      </c>
      <c r="R752" s="66" t="str">
        <f>IF(AND($N752=$Q$7,$B752&lt;'111'!$N$11),"x","")</f>
        <v/>
      </c>
      <c r="S752" s="66" t="str">
        <f>IF(AND($O752=$Q$7,$B752&lt;'111'!$N$11),"x","")</f>
        <v/>
      </c>
      <c r="T752" s="66" t="str">
        <f>IF(AND($B752&gt;='112'!$M$9,$B752&lt;='112'!$N$9,OR($N752='112'!$I$6,$O752='112'!$I$6)),"x","")</f>
        <v/>
      </c>
      <c r="U752" s="66" t="str">
        <f>IF(AND($N752='112'!$I$6,$B752&lt;'112'!$M$9),"x","")</f>
        <v/>
      </c>
      <c r="V752" s="66" t="str">
        <f>IF(AND($O752='112'!$I$6,$B752&lt;'112'!$M$9),"x","")</f>
        <v/>
      </c>
      <c r="W752" s="66" t="str">
        <f>IF(AND('131-CT'!$H$9=TH!H752,OR(N752="131",O752="131")),"x","")</f>
        <v/>
      </c>
      <c r="X752" s="66" t="str">
        <f>IF(AND($B752&gt;='1331'!$I$9,$B752&lt;='1331'!$J$9,OR($N752=$X$7,$O752=$X$7)),"x","")</f>
        <v/>
      </c>
      <c r="Y752" s="66" t="str">
        <f>IF(AND($N752=$X$7,$B752&lt;'1331'!$I$9),"x","")</f>
        <v/>
      </c>
      <c r="Z752" s="66" t="str">
        <f>IF(AND($O752=$X$7,$B752&lt;'1331'!$I$9),"x","")</f>
        <v/>
      </c>
      <c r="AA752" s="66" t="str">
        <f>IF(AND('341-CT'!$H$9=H752,OR(LEFT(N752,3)=$AA$7,LEFT(O752,3)=$AA$7)),"x","")</f>
        <v/>
      </c>
      <c r="AB752" s="66" t="str">
        <f>IF(OR(TH!N752=TH!$AB$7,O752=TH!$AB$7),"x","")</f>
        <v/>
      </c>
      <c r="AC752" s="66" t="str">
        <f t="shared" si="64"/>
        <v/>
      </c>
      <c r="AD752" s="66" t="str">
        <f>IF(AND(MONTH(E752)='IN-NX'!$J$5,'IN-NX'!$D$7=D752,OR(LEFT(TH!N752,2)="15",LEFT(TH!O752,2)="15")),"x","")</f>
        <v/>
      </c>
      <c r="AE752" s="66" t="str">
        <f>IF(AND(OR(LEFT(TH!N752,2)="15",LEFT(TH!O752,2)="15"),'152-CT'!$J$8=TH!F752),"x","")</f>
        <v/>
      </c>
      <c r="AF752" s="66" t="str">
        <f>IF(AND(OR(LEFT(TH!N752,2)="15",LEFT(TH!O752,2)="15"),'THE KHO'!$E$7=TH!F752),"x","")</f>
        <v/>
      </c>
      <c r="AG752" s="66" t="str">
        <f>IF(AND(N752="1521",MONTH(C752)='BK NL'!$M$11),"x","")</f>
        <v/>
      </c>
    </row>
    <row r="753" spans="1:33" ht="15.75" hidden="1" customHeight="1">
      <c r="A753" s="397" t="str">
        <f>IF(B753&lt;&gt;"",IF(AND(B753&gt;=_TM1,B753&lt;=_TM2,OR(TH!N753="1111",TH!O753="1111")),TH!D753,""),"")</f>
        <v/>
      </c>
      <c r="B753" s="63" t="str">
        <f t="shared" si="63"/>
        <v/>
      </c>
      <c r="C753" s="362"/>
      <c r="D753" s="362"/>
      <c r="E753" s="362"/>
      <c r="F753" s="363"/>
      <c r="G753" s="389"/>
      <c r="H753" s="364"/>
      <c r="I753" s="514"/>
      <c r="J753" s="514"/>
      <c r="K753" s="506"/>
      <c r="L753" s="514"/>
      <c r="M753" s="65"/>
      <c r="N753" s="365"/>
      <c r="O753" s="365"/>
      <c r="P753" s="66" t="str">
        <f>IF(AND('331-CT'!$E$7=TH!H753,OR(N753="331",O753="331")),"x","")</f>
        <v/>
      </c>
      <c r="Q753" s="66" t="str">
        <f>IF(AND($B753&gt;='111'!$N$11,$B753&lt;='111'!$O$11,OR($N753=$Q$7,$O753=$Q$7)),"x","")</f>
        <v/>
      </c>
      <c r="R753" s="66" t="str">
        <f>IF(AND($N753=$Q$7,$B753&lt;'111'!$N$11),"x","")</f>
        <v/>
      </c>
      <c r="S753" s="66" t="str">
        <f>IF(AND($O753=$Q$7,$B753&lt;'111'!$N$11),"x","")</f>
        <v/>
      </c>
      <c r="T753" s="66" t="str">
        <f>IF(AND($B753&gt;='112'!$M$9,$B753&lt;='112'!$N$9,OR($N753='112'!$I$6,$O753='112'!$I$6)),"x","")</f>
        <v/>
      </c>
      <c r="U753" s="66" t="str">
        <f>IF(AND($N753='112'!$I$6,$B753&lt;'112'!$M$9),"x","")</f>
        <v/>
      </c>
      <c r="V753" s="66" t="str">
        <f>IF(AND($O753='112'!$I$6,$B753&lt;'112'!$M$9),"x","")</f>
        <v/>
      </c>
      <c r="W753" s="66" t="str">
        <f>IF(AND('131-CT'!$H$9=TH!H753,OR(N753="131",O753="131")),"x","")</f>
        <v/>
      </c>
      <c r="X753" s="66" t="str">
        <f>IF(AND($B753&gt;='1331'!$I$9,$B753&lt;='1331'!$J$9,OR($N753=$X$7,$O753=$X$7)),"x","")</f>
        <v/>
      </c>
      <c r="Y753" s="66" t="str">
        <f>IF(AND($N753=$X$7,$B753&lt;'1331'!$I$9),"x","")</f>
        <v/>
      </c>
      <c r="Z753" s="66" t="str">
        <f>IF(AND($O753=$X$7,$B753&lt;'1331'!$I$9),"x","")</f>
        <v/>
      </c>
      <c r="AA753" s="66" t="str">
        <f>IF(AND('341-CT'!$H$9=H753,OR(LEFT(N753,3)=$AA$7,LEFT(O753,3)=$AA$7)),"x","")</f>
        <v/>
      </c>
      <c r="AB753" s="66" t="str">
        <f>IF(OR(TH!N753=TH!$AB$7,O753=TH!$AB$7),"x","")</f>
        <v/>
      </c>
      <c r="AC753" s="66" t="str">
        <f t="shared" si="64"/>
        <v/>
      </c>
      <c r="AD753" s="66" t="str">
        <f>IF(AND(MONTH(E753)='IN-NX'!$J$5,'IN-NX'!$D$7=D753,OR(LEFT(TH!N753,2)="15",LEFT(TH!O753,2)="15")),"x","")</f>
        <v/>
      </c>
      <c r="AE753" s="66" t="str">
        <f>IF(AND(OR(LEFT(TH!N753,2)="15",LEFT(TH!O753,2)="15"),'152-CT'!$J$8=TH!F753),"x","")</f>
        <v/>
      </c>
      <c r="AF753" s="66" t="str">
        <f>IF(AND(OR(LEFT(TH!N753,2)="15",LEFT(TH!O753,2)="15"),'THE KHO'!$E$7=TH!F753),"x","")</f>
        <v/>
      </c>
      <c r="AG753" s="66" t="str">
        <f>IF(AND(N753="1521",MONTH(C753)='BK NL'!$M$11),"x","")</f>
        <v/>
      </c>
    </row>
    <row r="754" spans="1:33" ht="15.75" hidden="1" customHeight="1">
      <c r="A754" s="397" t="str">
        <f>IF(B754&lt;&gt;"",IF(AND(B754&gt;=_TM1,B754&lt;=_TM2,OR(TH!N754="1111",TH!O754="1111")),TH!D754,""),"")</f>
        <v/>
      </c>
      <c r="B754" s="63" t="str">
        <f t="shared" si="63"/>
        <v/>
      </c>
      <c r="C754" s="362"/>
      <c r="D754" s="362"/>
      <c r="E754" s="362"/>
      <c r="F754" s="363"/>
      <c r="G754" s="389"/>
      <c r="H754" s="364"/>
      <c r="I754" s="514"/>
      <c r="J754" s="514"/>
      <c r="K754" s="506"/>
      <c r="L754" s="514"/>
      <c r="M754" s="65"/>
      <c r="N754" s="365"/>
      <c r="O754" s="365"/>
      <c r="P754" s="66" t="str">
        <f>IF(AND('331-CT'!$E$7=TH!H754,OR(N754="331",O754="331")),"x","")</f>
        <v/>
      </c>
      <c r="Q754" s="66" t="str">
        <f>IF(AND($B754&gt;='111'!$N$11,$B754&lt;='111'!$O$11,OR($N754=$Q$7,$O754=$Q$7)),"x","")</f>
        <v/>
      </c>
      <c r="R754" s="66" t="str">
        <f>IF(AND($N754=$Q$7,$B754&lt;'111'!$N$11),"x","")</f>
        <v/>
      </c>
      <c r="S754" s="66" t="str">
        <f>IF(AND($O754=$Q$7,$B754&lt;'111'!$N$11),"x","")</f>
        <v/>
      </c>
      <c r="T754" s="66" t="str">
        <f>IF(AND($B754&gt;='112'!$M$9,$B754&lt;='112'!$N$9,OR($N754='112'!$I$6,$O754='112'!$I$6)),"x","")</f>
        <v/>
      </c>
      <c r="U754" s="66" t="str">
        <f>IF(AND($N754='112'!$I$6,$B754&lt;'112'!$M$9),"x","")</f>
        <v/>
      </c>
      <c r="V754" s="66" t="str">
        <f>IF(AND($O754='112'!$I$6,$B754&lt;'112'!$M$9),"x","")</f>
        <v/>
      </c>
      <c r="W754" s="66" t="str">
        <f>IF(AND('131-CT'!$H$9=TH!H754,OR(N754="131",O754="131")),"x","")</f>
        <v/>
      </c>
      <c r="X754" s="66" t="str">
        <f>IF(AND($B754&gt;='1331'!$I$9,$B754&lt;='1331'!$J$9,OR($N754=$X$7,$O754=$X$7)),"x","")</f>
        <v/>
      </c>
      <c r="Y754" s="66" t="str">
        <f>IF(AND($N754=$X$7,$B754&lt;'1331'!$I$9),"x","")</f>
        <v/>
      </c>
      <c r="Z754" s="66" t="str">
        <f>IF(AND($O754=$X$7,$B754&lt;'1331'!$I$9),"x","")</f>
        <v/>
      </c>
      <c r="AA754" s="66" t="str">
        <f>IF(AND('341-CT'!$H$9=H754,OR(LEFT(N754,3)=$AA$7,LEFT(O754,3)=$AA$7)),"x","")</f>
        <v/>
      </c>
      <c r="AB754" s="66" t="str">
        <f>IF(OR(TH!N754=TH!$AB$7,O754=TH!$AB$7),"x","")</f>
        <v/>
      </c>
      <c r="AC754" s="66" t="str">
        <f t="shared" si="64"/>
        <v/>
      </c>
      <c r="AD754" s="66" t="str">
        <f>IF(AND(MONTH(E754)='IN-NX'!$J$5,'IN-NX'!$D$7=D754,OR(LEFT(TH!N754,2)="15",LEFT(TH!O754,2)="15")),"x","")</f>
        <v/>
      </c>
      <c r="AE754" s="66" t="str">
        <f>IF(AND(OR(LEFT(TH!N754,2)="15",LEFT(TH!O754,2)="15"),'152-CT'!$J$8=TH!F754),"x","")</f>
        <v/>
      </c>
      <c r="AF754" s="66" t="str">
        <f>IF(AND(OR(LEFT(TH!N754,2)="15",LEFT(TH!O754,2)="15"),'THE KHO'!$E$7=TH!F754),"x","")</f>
        <v/>
      </c>
      <c r="AG754" s="66" t="str">
        <f>IF(AND(N754="1521",MONTH(C754)='BK NL'!$M$11),"x","")</f>
        <v/>
      </c>
    </row>
    <row r="755" spans="1:33" ht="15.75" hidden="1" customHeight="1">
      <c r="A755" s="397" t="str">
        <f>IF(B755&lt;&gt;"",IF(AND(B755&gt;=_TM1,B755&lt;=_TM2,OR(TH!N755="1111",TH!O755="1111")),TH!D755,""),"")</f>
        <v/>
      </c>
      <c r="B755" s="63" t="str">
        <f t="shared" si="63"/>
        <v/>
      </c>
      <c r="C755" s="64"/>
      <c r="D755" s="64"/>
      <c r="E755" s="64"/>
      <c r="F755" s="67"/>
      <c r="G755" s="375"/>
      <c r="H755" s="404"/>
      <c r="I755" s="515"/>
      <c r="J755" s="515"/>
      <c r="K755" s="507"/>
      <c r="L755" s="515"/>
      <c r="M755" s="65"/>
      <c r="N755" s="365"/>
      <c r="O755" s="66"/>
      <c r="P755" s="66" t="str">
        <f>IF(AND('331-CT'!$E$7=TH!H755,OR(N755="331",O755="331")),"x","")</f>
        <v/>
      </c>
      <c r="Q755" s="66" t="str">
        <f>IF(AND($B755&gt;='111'!$N$11,$B755&lt;='111'!$O$11,OR($N755=$Q$7,$O755=$Q$7)),"x","")</f>
        <v/>
      </c>
      <c r="R755" s="66" t="str">
        <f>IF(AND($N755=$Q$7,$B755&lt;'111'!$N$11),"x","")</f>
        <v/>
      </c>
      <c r="S755" s="66" t="str">
        <f>IF(AND($O755=$Q$7,$B755&lt;'111'!$N$11),"x","")</f>
        <v/>
      </c>
      <c r="T755" s="66" t="str">
        <f>IF(AND($B755&gt;='112'!$M$9,$B755&lt;='112'!$N$9,OR($N755='112'!$I$6,$O755='112'!$I$6)),"x","")</f>
        <v/>
      </c>
      <c r="U755" s="66" t="str">
        <f>IF(AND($N755='112'!$I$6,$B755&lt;'112'!$M$9),"x","")</f>
        <v/>
      </c>
      <c r="V755" s="66" t="str">
        <f>IF(AND($O755='112'!$I$6,$B755&lt;'112'!$M$9),"x","")</f>
        <v/>
      </c>
      <c r="W755" s="66" t="str">
        <f>IF(AND('131-CT'!$H$9=TH!H755,OR(N755="131",O755="131")),"x","")</f>
        <v/>
      </c>
      <c r="X755" s="66" t="str">
        <f>IF(AND($B755&gt;='1331'!$I$9,$B755&lt;='1331'!$J$9,OR($N755=$X$7,$O755=$X$7)),"x","")</f>
        <v/>
      </c>
      <c r="Y755" s="66" t="str">
        <f>IF(AND($N755=$X$7,$B755&lt;'1331'!$I$9),"x","")</f>
        <v/>
      </c>
      <c r="Z755" s="66" t="str">
        <f>IF(AND($O755=$X$7,$B755&lt;'1331'!$I$9),"x","")</f>
        <v/>
      </c>
      <c r="AA755" s="66" t="str">
        <f>IF(AND('341-CT'!$H$9=H755,OR(LEFT(N755,3)=$AA$7,LEFT(O755,3)=$AA$7)),"x","")</f>
        <v/>
      </c>
      <c r="AB755" s="66" t="str">
        <f>IF(OR(TH!N755=TH!$AB$7,O755=TH!$AB$7),"x","")</f>
        <v/>
      </c>
      <c r="AC755" s="66" t="str">
        <f t="shared" si="64"/>
        <v/>
      </c>
      <c r="AD755" s="66" t="str">
        <f>IF(AND(MONTH(E755)='IN-NX'!$J$5,'IN-NX'!$D$7=D755,OR(LEFT(TH!N755,2)="15",LEFT(TH!O755,2)="15")),"x","")</f>
        <v/>
      </c>
      <c r="AE755" s="66" t="str">
        <f>IF(AND(OR(LEFT(TH!N755,2)="15",LEFT(TH!O755,2)="15"),'152-CT'!$J$8=TH!F755),"x","")</f>
        <v/>
      </c>
      <c r="AF755" s="66" t="str">
        <f>IF(AND(OR(LEFT(TH!N755,2)="15",LEFT(TH!O755,2)="15"),'THE KHO'!$E$7=TH!F755),"x","")</f>
        <v/>
      </c>
      <c r="AG755" s="66" t="str">
        <f>IF(AND(N755="1521",MONTH(C755)='BK NL'!$M$11),"x","")</f>
        <v/>
      </c>
    </row>
    <row r="756" spans="1:33" ht="15.75" hidden="1" customHeight="1">
      <c r="A756" s="397" t="str">
        <f>IF(B756&lt;&gt;"",IF(AND(B756&gt;=_TM1,B756&lt;=_TM2,OR(TH!N756="1111",TH!O756="1111")),TH!D756,""),"")</f>
        <v/>
      </c>
      <c r="B756" s="63" t="str">
        <f t="shared" si="63"/>
        <v/>
      </c>
      <c r="C756" s="64"/>
      <c r="D756" s="64"/>
      <c r="E756" s="64"/>
      <c r="F756" s="67"/>
      <c r="G756" s="375"/>
      <c r="H756" s="404"/>
      <c r="I756" s="515"/>
      <c r="J756" s="515"/>
      <c r="K756" s="507"/>
      <c r="L756" s="515"/>
      <c r="M756" s="65"/>
      <c r="N756" s="365"/>
      <c r="O756" s="66"/>
      <c r="P756" s="66" t="str">
        <f>IF(AND('331-CT'!$E$7=TH!H756,OR(N756="331",O756="331")),"x","")</f>
        <v/>
      </c>
      <c r="Q756" s="66" t="str">
        <f>IF(AND($B756&gt;='111'!$N$11,$B756&lt;='111'!$O$11,OR($N756=$Q$7,$O756=$Q$7)),"x","")</f>
        <v/>
      </c>
      <c r="R756" s="66" t="str">
        <f>IF(AND($N756=$Q$7,$B756&lt;'111'!$N$11),"x","")</f>
        <v/>
      </c>
      <c r="S756" s="66" t="str">
        <f>IF(AND($O756=$Q$7,$B756&lt;'111'!$N$11),"x","")</f>
        <v/>
      </c>
      <c r="T756" s="66" t="str">
        <f>IF(AND($B756&gt;='112'!$M$9,$B756&lt;='112'!$N$9,OR($N756='112'!$I$6,$O756='112'!$I$6)),"x","")</f>
        <v/>
      </c>
      <c r="U756" s="66" t="str">
        <f>IF(AND($N756='112'!$I$6,$B756&lt;'112'!$M$9),"x","")</f>
        <v/>
      </c>
      <c r="V756" s="66" t="str">
        <f>IF(AND($O756='112'!$I$6,$B756&lt;'112'!$M$9),"x","")</f>
        <v/>
      </c>
      <c r="W756" s="66" t="str">
        <f>IF(AND('131-CT'!$H$9=TH!H756,OR(N756="131",O756="131")),"x","")</f>
        <v/>
      </c>
      <c r="X756" s="66" t="str">
        <f>IF(AND($B756&gt;='1331'!$I$9,$B756&lt;='1331'!$J$9,OR($N756=$X$7,$O756=$X$7)),"x","")</f>
        <v/>
      </c>
      <c r="Y756" s="66" t="str">
        <f>IF(AND($N756=$X$7,$B756&lt;'1331'!$I$9),"x","")</f>
        <v/>
      </c>
      <c r="Z756" s="66" t="str">
        <f>IF(AND($O756=$X$7,$B756&lt;'1331'!$I$9),"x","")</f>
        <v/>
      </c>
      <c r="AA756" s="66" t="str">
        <f>IF(AND('341-CT'!$H$9=H756,OR(LEFT(N756,3)=$AA$7,LEFT(O756,3)=$AA$7)),"x","")</f>
        <v/>
      </c>
      <c r="AB756" s="66" t="str">
        <f>IF(OR(TH!N756=TH!$AB$7,O756=TH!$AB$7),"x","")</f>
        <v/>
      </c>
      <c r="AC756" s="66" t="str">
        <f t="shared" si="64"/>
        <v/>
      </c>
      <c r="AD756" s="66" t="str">
        <f>IF(AND(MONTH(E756)='IN-NX'!$J$5,'IN-NX'!$D$7=D756,OR(LEFT(TH!N756,2)="15",LEFT(TH!O756,2)="15")),"x","")</f>
        <v/>
      </c>
      <c r="AE756" s="66" t="str">
        <f>IF(AND(OR(LEFT(TH!N756,2)="15",LEFT(TH!O756,2)="15"),'152-CT'!$J$8=TH!F756),"x","")</f>
        <v/>
      </c>
      <c r="AF756" s="66" t="str">
        <f>IF(AND(OR(LEFT(TH!N756,2)="15",LEFT(TH!O756,2)="15"),'THE KHO'!$E$7=TH!F756),"x","")</f>
        <v/>
      </c>
      <c r="AG756" s="66" t="str">
        <f>IF(AND(N756="1521",MONTH(C756)='BK NL'!$M$11),"x","")</f>
        <v/>
      </c>
    </row>
    <row r="757" spans="1:33" ht="15.75" hidden="1" customHeight="1">
      <c r="A757" s="397" t="str">
        <f>IF(B757&lt;&gt;"",IF(AND(B757&gt;=_TM1,B757&lt;=_TM2,OR(TH!N757="1111",TH!O757="1111")),TH!D757,""),"")</f>
        <v/>
      </c>
      <c r="B757" s="63" t="str">
        <f t="shared" si="63"/>
        <v/>
      </c>
      <c r="C757" s="362"/>
      <c r="D757" s="362"/>
      <c r="E757" s="362"/>
      <c r="F757" s="363"/>
      <c r="G757" s="389"/>
      <c r="H757" s="364"/>
      <c r="I757" s="514"/>
      <c r="J757" s="514"/>
      <c r="K757" s="506"/>
      <c r="L757" s="514"/>
      <c r="M757" s="65"/>
      <c r="N757" s="365"/>
      <c r="O757" s="365"/>
      <c r="P757" s="66" t="str">
        <f>IF(AND('331-CT'!$E$7=TH!H757,OR(N757="331",O757="331")),"x","")</f>
        <v/>
      </c>
      <c r="Q757" s="66" t="str">
        <f>IF(AND($B757&gt;='111'!$N$11,$B757&lt;='111'!$O$11,OR($N757=$Q$7,$O757=$Q$7)),"x","")</f>
        <v/>
      </c>
      <c r="R757" s="66" t="str">
        <f>IF(AND($N757=$Q$7,$B757&lt;'111'!$N$11),"x","")</f>
        <v/>
      </c>
      <c r="S757" s="66" t="str">
        <f>IF(AND($O757=$Q$7,$B757&lt;'111'!$N$11),"x","")</f>
        <v/>
      </c>
      <c r="T757" s="66" t="str">
        <f>IF(AND($B757&gt;='112'!$M$9,$B757&lt;='112'!$N$9,OR($N757='112'!$I$6,$O757='112'!$I$6)),"x","")</f>
        <v/>
      </c>
      <c r="U757" s="66" t="str">
        <f>IF(AND($N757='112'!$I$6,$B757&lt;'112'!$M$9),"x","")</f>
        <v/>
      </c>
      <c r="V757" s="66" t="str">
        <f>IF(AND($O757='112'!$I$6,$B757&lt;'112'!$M$9),"x","")</f>
        <v/>
      </c>
      <c r="W757" s="66" t="str">
        <f>IF(AND('131-CT'!$H$9=TH!H757,OR(N757="131",O757="131")),"x","")</f>
        <v/>
      </c>
      <c r="X757" s="66" t="str">
        <f>IF(AND($B757&gt;='1331'!$I$9,$B757&lt;='1331'!$J$9,OR($N757=$X$7,$O757=$X$7)),"x","")</f>
        <v/>
      </c>
      <c r="Y757" s="66" t="str">
        <f>IF(AND($N757=$X$7,$B757&lt;'1331'!$I$9),"x","")</f>
        <v/>
      </c>
      <c r="Z757" s="66" t="str">
        <f>IF(AND($O757=$X$7,$B757&lt;'1331'!$I$9),"x","")</f>
        <v/>
      </c>
      <c r="AA757" s="66" t="str">
        <f>IF(AND('341-CT'!$H$9=H757,OR(LEFT(N757,3)=$AA$7,LEFT(O757,3)=$AA$7)),"x","")</f>
        <v/>
      </c>
      <c r="AB757" s="66" t="str">
        <f>IF(OR(TH!N757=TH!$AB$7,O757=TH!$AB$7),"x","")</f>
        <v/>
      </c>
      <c r="AC757" s="66" t="str">
        <f t="shared" si="64"/>
        <v/>
      </c>
      <c r="AD757" s="66" t="str">
        <f>IF(AND(MONTH(E757)='IN-NX'!$J$5,'IN-NX'!$D$7=D757,OR(LEFT(TH!N757,2)="15",LEFT(TH!O757,2)="15")),"x","")</f>
        <v/>
      </c>
      <c r="AE757" s="66" t="str">
        <f>IF(AND(OR(LEFT(TH!N757,2)="15",LEFT(TH!O757,2)="15"),'152-CT'!$J$8=TH!F757),"x","")</f>
        <v/>
      </c>
      <c r="AF757" s="66" t="str">
        <f>IF(AND(OR(LEFT(TH!N757,2)="15",LEFT(TH!O757,2)="15"),'THE KHO'!$E$7=TH!F757),"x","")</f>
        <v/>
      </c>
      <c r="AG757" s="66" t="str">
        <f>IF(AND(N757="1521",MONTH(C757)='BK NL'!$M$11),"x","")</f>
        <v/>
      </c>
    </row>
    <row r="758" spans="1:33" ht="15.75" hidden="1" customHeight="1">
      <c r="A758" s="397" t="str">
        <f>IF(B758&lt;&gt;"",IF(AND(B758&gt;=_TM1,B758&lt;=_TM2,OR(TH!N758="1111",TH!O758="1111")),TH!D758,""),"")</f>
        <v/>
      </c>
      <c r="B758" s="63" t="str">
        <f t="shared" si="63"/>
        <v/>
      </c>
      <c r="C758" s="362"/>
      <c r="D758" s="362"/>
      <c r="E758" s="362"/>
      <c r="F758" s="363"/>
      <c r="G758" s="389"/>
      <c r="H758" s="364"/>
      <c r="I758" s="514"/>
      <c r="J758" s="514"/>
      <c r="K758" s="506"/>
      <c r="L758" s="514"/>
      <c r="M758" s="65"/>
      <c r="N758" s="365"/>
      <c r="O758" s="365"/>
      <c r="P758" s="66" t="str">
        <f>IF(AND('331-CT'!$E$7=TH!H758,OR(N758="331",O758="331")),"x","")</f>
        <v/>
      </c>
      <c r="Q758" s="66" t="str">
        <f>IF(AND($B758&gt;='111'!$N$11,$B758&lt;='111'!$O$11,OR($N758=$Q$7,$O758=$Q$7)),"x","")</f>
        <v/>
      </c>
      <c r="R758" s="66" t="str">
        <f>IF(AND($N758=$Q$7,$B758&lt;'111'!$N$11),"x","")</f>
        <v/>
      </c>
      <c r="S758" s="66" t="str">
        <f>IF(AND($O758=$Q$7,$B758&lt;'111'!$N$11),"x","")</f>
        <v/>
      </c>
      <c r="T758" s="66" t="str">
        <f>IF(AND($B758&gt;='112'!$M$9,$B758&lt;='112'!$N$9,OR($N758='112'!$I$6,$O758='112'!$I$6)),"x","")</f>
        <v/>
      </c>
      <c r="U758" s="66" t="str">
        <f>IF(AND($N758='112'!$I$6,$B758&lt;'112'!$M$9),"x","")</f>
        <v/>
      </c>
      <c r="V758" s="66" t="str">
        <f>IF(AND($O758='112'!$I$6,$B758&lt;'112'!$M$9),"x","")</f>
        <v/>
      </c>
      <c r="W758" s="66" t="str">
        <f>IF(AND('131-CT'!$H$9=TH!H758,OR(N758="131",O758="131")),"x","")</f>
        <v/>
      </c>
      <c r="X758" s="66" t="str">
        <f>IF(AND($B758&gt;='1331'!$I$9,$B758&lt;='1331'!$J$9,OR($N758=$X$7,$O758=$X$7)),"x","")</f>
        <v/>
      </c>
      <c r="Y758" s="66" t="str">
        <f>IF(AND($N758=$X$7,$B758&lt;'1331'!$I$9),"x","")</f>
        <v/>
      </c>
      <c r="Z758" s="66" t="str">
        <f>IF(AND($O758=$X$7,$B758&lt;'1331'!$I$9),"x","")</f>
        <v/>
      </c>
      <c r="AA758" s="66" t="str">
        <f>IF(AND('341-CT'!$H$9=H758,OR(LEFT(N758,3)=$AA$7,LEFT(O758,3)=$AA$7)),"x","")</f>
        <v/>
      </c>
      <c r="AB758" s="66" t="str">
        <f>IF(OR(TH!N758=TH!$AB$7,O758=TH!$AB$7),"x","")</f>
        <v/>
      </c>
      <c r="AC758" s="66" t="str">
        <f t="shared" si="64"/>
        <v/>
      </c>
      <c r="AD758" s="66" t="str">
        <f>IF(AND(MONTH(E758)='IN-NX'!$J$5,'IN-NX'!$D$7=D758,OR(LEFT(TH!N758,2)="15",LEFT(TH!O758,2)="15")),"x","")</f>
        <v/>
      </c>
      <c r="AE758" s="66" t="str">
        <f>IF(AND(OR(LEFT(TH!N758,2)="15",LEFT(TH!O758,2)="15"),'152-CT'!$J$8=TH!F758),"x","")</f>
        <v/>
      </c>
      <c r="AF758" s="66" t="str">
        <f>IF(AND(OR(LEFT(TH!N758,2)="15",LEFT(TH!O758,2)="15"),'THE KHO'!$E$7=TH!F758),"x","")</f>
        <v/>
      </c>
      <c r="AG758" s="66" t="str">
        <f>IF(AND(N758="1521",MONTH(C758)='BK NL'!$M$11),"x","")</f>
        <v/>
      </c>
    </row>
    <row r="759" spans="1:33" ht="15.75" hidden="1" customHeight="1">
      <c r="A759" s="397" t="str">
        <f>IF(B759&lt;&gt;"",IF(AND(B759&gt;=_TM1,B759&lt;=_TM2,OR(TH!N759="1111",TH!O759="1111")),TH!D759,""),"")</f>
        <v/>
      </c>
      <c r="B759" s="63" t="str">
        <f t="shared" si="63"/>
        <v/>
      </c>
      <c r="C759" s="362"/>
      <c r="D759" s="362"/>
      <c r="E759" s="362"/>
      <c r="F759" s="363"/>
      <c r="G759" s="389"/>
      <c r="H759" s="364"/>
      <c r="I759" s="514"/>
      <c r="J759" s="514"/>
      <c r="K759" s="506"/>
      <c r="L759" s="514"/>
      <c r="M759" s="65"/>
      <c r="N759" s="365"/>
      <c r="O759" s="365"/>
      <c r="P759" s="66" t="str">
        <f>IF(AND('331-CT'!$E$7=TH!H759,OR(N759="331",O759="331")),"x","")</f>
        <v/>
      </c>
      <c r="Q759" s="66" t="str">
        <f>IF(AND($B759&gt;='111'!$N$11,$B759&lt;='111'!$O$11,OR($N759=$Q$7,$O759=$Q$7)),"x","")</f>
        <v/>
      </c>
      <c r="R759" s="66" t="str">
        <f>IF(AND($N759=$Q$7,$B759&lt;'111'!$N$11),"x","")</f>
        <v/>
      </c>
      <c r="S759" s="66" t="str">
        <f>IF(AND($O759=$Q$7,$B759&lt;'111'!$N$11),"x","")</f>
        <v/>
      </c>
      <c r="T759" s="66" t="str">
        <f>IF(AND($B759&gt;='112'!$M$9,$B759&lt;='112'!$N$9,OR($N759='112'!$I$6,$O759='112'!$I$6)),"x","")</f>
        <v/>
      </c>
      <c r="U759" s="66" t="str">
        <f>IF(AND($N759='112'!$I$6,$B759&lt;'112'!$M$9),"x","")</f>
        <v/>
      </c>
      <c r="V759" s="66" t="str">
        <f>IF(AND($O759='112'!$I$6,$B759&lt;'112'!$M$9),"x","")</f>
        <v/>
      </c>
      <c r="W759" s="66" t="str">
        <f>IF(AND('131-CT'!$H$9=TH!H759,OR(N759="131",O759="131")),"x","")</f>
        <v/>
      </c>
      <c r="X759" s="66" t="str">
        <f>IF(AND($B759&gt;='1331'!$I$9,$B759&lt;='1331'!$J$9,OR($N759=$X$7,$O759=$X$7)),"x","")</f>
        <v/>
      </c>
      <c r="Y759" s="66" t="str">
        <f>IF(AND($N759=$X$7,$B759&lt;'1331'!$I$9),"x","")</f>
        <v/>
      </c>
      <c r="Z759" s="66" t="str">
        <f>IF(AND($O759=$X$7,$B759&lt;'1331'!$I$9),"x","")</f>
        <v/>
      </c>
      <c r="AA759" s="66" t="str">
        <f>IF(AND('341-CT'!$H$9=H759,OR(LEFT(N759,3)=$AA$7,LEFT(O759,3)=$AA$7)),"x","")</f>
        <v/>
      </c>
      <c r="AB759" s="66" t="str">
        <f>IF(OR(TH!N759=TH!$AB$7,O759=TH!$AB$7),"x","")</f>
        <v/>
      </c>
      <c r="AC759" s="66" t="str">
        <f t="shared" si="64"/>
        <v/>
      </c>
      <c r="AD759" s="66" t="str">
        <f>IF(AND(MONTH(E759)='IN-NX'!$J$5,'IN-NX'!$D$7=D759,OR(LEFT(TH!N759,2)="15",LEFT(TH!O759,2)="15")),"x","")</f>
        <v/>
      </c>
      <c r="AE759" s="66" t="str">
        <f>IF(AND(OR(LEFT(TH!N759,2)="15",LEFT(TH!O759,2)="15"),'152-CT'!$J$8=TH!F759),"x","")</f>
        <v/>
      </c>
      <c r="AF759" s="66" t="str">
        <f>IF(AND(OR(LEFT(TH!N759,2)="15",LEFT(TH!O759,2)="15"),'THE KHO'!$E$7=TH!F759),"x","")</f>
        <v/>
      </c>
      <c r="AG759" s="66" t="str">
        <f>IF(AND(N759="1521",MONTH(C759)='BK NL'!$M$11),"x","")</f>
        <v/>
      </c>
    </row>
    <row r="760" spans="1:33" ht="15.75" hidden="1" customHeight="1">
      <c r="A760" s="397" t="str">
        <f>IF(B760&lt;&gt;"",IF(AND(B760&gt;=_TM1,B760&lt;=_TM2,OR(TH!N760="1111",TH!O760="1111")),TH!D760,""),"")</f>
        <v/>
      </c>
      <c r="B760" s="63" t="str">
        <f t="shared" si="63"/>
        <v/>
      </c>
      <c r="C760" s="362"/>
      <c r="D760" s="362"/>
      <c r="E760" s="362"/>
      <c r="F760" s="363"/>
      <c r="G760" s="389"/>
      <c r="H760" s="364"/>
      <c r="I760" s="514"/>
      <c r="J760" s="514"/>
      <c r="K760" s="506"/>
      <c r="L760" s="514"/>
      <c r="M760" s="65"/>
      <c r="N760" s="365"/>
      <c r="O760" s="365"/>
      <c r="P760" s="66" t="str">
        <f>IF(AND('331-CT'!$E$7=TH!H760,OR(N760="331",O760="331")),"x","")</f>
        <v/>
      </c>
      <c r="Q760" s="66" t="str">
        <f>IF(AND($B760&gt;='111'!$N$11,$B760&lt;='111'!$O$11,OR($N760=$Q$7,$O760=$Q$7)),"x","")</f>
        <v/>
      </c>
      <c r="R760" s="66" t="str">
        <f>IF(AND($N760=$Q$7,$B760&lt;'111'!$N$11),"x","")</f>
        <v/>
      </c>
      <c r="S760" s="66" t="str">
        <f>IF(AND($O760=$Q$7,$B760&lt;'111'!$N$11),"x","")</f>
        <v/>
      </c>
      <c r="T760" s="66" t="str">
        <f>IF(AND($B760&gt;='112'!$M$9,$B760&lt;='112'!$N$9,OR($N760='112'!$I$6,$O760='112'!$I$6)),"x","")</f>
        <v/>
      </c>
      <c r="U760" s="66" t="str">
        <f>IF(AND($N760='112'!$I$6,$B760&lt;'112'!$M$9),"x","")</f>
        <v/>
      </c>
      <c r="V760" s="66" t="str">
        <f>IF(AND($O760='112'!$I$6,$B760&lt;'112'!$M$9),"x","")</f>
        <v/>
      </c>
      <c r="W760" s="66" t="str">
        <f>IF(AND('131-CT'!$H$9=TH!H760,OR(N760="131",O760="131")),"x","")</f>
        <v/>
      </c>
      <c r="X760" s="66" t="str">
        <f>IF(AND($B760&gt;='1331'!$I$9,$B760&lt;='1331'!$J$9,OR($N760=$X$7,$O760=$X$7)),"x","")</f>
        <v/>
      </c>
      <c r="Y760" s="66" t="str">
        <f>IF(AND($N760=$X$7,$B760&lt;'1331'!$I$9),"x","")</f>
        <v/>
      </c>
      <c r="Z760" s="66" t="str">
        <f>IF(AND($O760=$X$7,$B760&lt;'1331'!$I$9),"x","")</f>
        <v/>
      </c>
      <c r="AA760" s="66" t="str">
        <f>IF(AND('341-CT'!$H$9=H760,OR(LEFT(N760,3)=$AA$7,LEFT(O760,3)=$AA$7)),"x","")</f>
        <v/>
      </c>
      <c r="AB760" s="66" t="str">
        <f>IF(OR(TH!N760=TH!$AB$7,O760=TH!$AB$7),"x","")</f>
        <v/>
      </c>
      <c r="AC760" s="66" t="str">
        <f t="shared" si="64"/>
        <v/>
      </c>
      <c r="AD760" s="66" t="str">
        <f>IF(AND(MONTH(E760)='IN-NX'!$J$5,'IN-NX'!$D$7=D760,OR(LEFT(TH!N760,2)="15",LEFT(TH!O760,2)="15")),"x","")</f>
        <v/>
      </c>
      <c r="AE760" s="66" t="str">
        <f>IF(AND(OR(LEFT(TH!N760,2)="15",LEFT(TH!O760,2)="15"),'152-CT'!$J$8=TH!F760),"x","")</f>
        <v/>
      </c>
      <c r="AF760" s="66" t="str">
        <f>IF(AND(OR(LEFT(TH!N760,2)="15",LEFT(TH!O760,2)="15"),'THE KHO'!$E$7=TH!F760),"x","")</f>
        <v/>
      </c>
      <c r="AG760" s="66" t="str">
        <f>IF(AND(N760="1521",MONTH(C760)='BK NL'!$M$11),"x","")</f>
        <v/>
      </c>
    </row>
    <row r="761" spans="1:33" ht="15.75" hidden="1" customHeight="1">
      <c r="A761" s="397" t="str">
        <f>IF(B761&lt;&gt;"",IF(AND(B761&gt;=_TM1,B761&lt;=_TM2,OR(TH!N761="1111",TH!O761="1111")),TH!D761,""),"")</f>
        <v/>
      </c>
      <c r="B761" s="63" t="str">
        <f t="shared" si="63"/>
        <v/>
      </c>
      <c r="C761" s="362"/>
      <c r="D761" s="362"/>
      <c r="E761" s="362"/>
      <c r="F761" s="363"/>
      <c r="G761" s="389"/>
      <c r="H761" s="364"/>
      <c r="I761" s="514"/>
      <c r="J761" s="514"/>
      <c r="K761" s="506"/>
      <c r="L761" s="514"/>
      <c r="M761" s="65"/>
      <c r="N761" s="365"/>
      <c r="O761" s="365"/>
      <c r="P761" s="66" t="str">
        <f>IF(AND('331-CT'!$E$7=TH!H761,OR(N761="331",O761="331")),"x","")</f>
        <v/>
      </c>
      <c r="Q761" s="66" t="str">
        <f>IF(AND($B761&gt;='111'!$N$11,$B761&lt;='111'!$O$11,OR($N761=$Q$7,$O761=$Q$7)),"x","")</f>
        <v/>
      </c>
      <c r="R761" s="66" t="str">
        <f>IF(AND($N761=$Q$7,$B761&lt;'111'!$N$11),"x","")</f>
        <v/>
      </c>
      <c r="S761" s="66" t="str">
        <f>IF(AND($O761=$Q$7,$B761&lt;'111'!$N$11),"x","")</f>
        <v/>
      </c>
      <c r="T761" s="66" t="str">
        <f>IF(AND($B761&gt;='112'!$M$9,$B761&lt;='112'!$N$9,OR($N761='112'!$I$6,$O761='112'!$I$6)),"x","")</f>
        <v/>
      </c>
      <c r="U761" s="66" t="str">
        <f>IF(AND($N761='112'!$I$6,$B761&lt;'112'!$M$9),"x","")</f>
        <v/>
      </c>
      <c r="V761" s="66" t="str">
        <f>IF(AND($O761='112'!$I$6,$B761&lt;'112'!$M$9),"x","")</f>
        <v/>
      </c>
      <c r="W761" s="66" t="str">
        <f>IF(AND('131-CT'!$H$9=TH!H761,OR(N761="131",O761="131")),"x","")</f>
        <v/>
      </c>
      <c r="X761" s="66" t="str">
        <f>IF(AND($B761&gt;='1331'!$I$9,$B761&lt;='1331'!$J$9,OR($N761=$X$7,$O761=$X$7)),"x","")</f>
        <v/>
      </c>
      <c r="Y761" s="66" t="str">
        <f>IF(AND($N761=$X$7,$B761&lt;'1331'!$I$9),"x","")</f>
        <v/>
      </c>
      <c r="Z761" s="66" t="str">
        <f>IF(AND($O761=$X$7,$B761&lt;'1331'!$I$9),"x","")</f>
        <v/>
      </c>
      <c r="AA761" s="66" t="str">
        <f>IF(AND('341-CT'!$H$9=H761,OR(LEFT(N761,3)=$AA$7,LEFT(O761,3)=$AA$7)),"x","")</f>
        <v/>
      </c>
      <c r="AB761" s="66" t="str">
        <f>IF(OR(TH!N761=TH!$AB$7,O761=TH!$AB$7),"x","")</f>
        <v/>
      </c>
      <c r="AC761" s="66" t="str">
        <f t="shared" si="64"/>
        <v/>
      </c>
      <c r="AD761" s="66" t="str">
        <f>IF(AND(MONTH(E761)='IN-NX'!$J$5,'IN-NX'!$D$7=D761,OR(LEFT(TH!N761,2)="15",LEFT(TH!O761,2)="15")),"x","")</f>
        <v/>
      </c>
      <c r="AE761" s="66" t="str">
        <f>IF(AND(OR(LEFT(TH!N761,2)="15",LEFT(TH!O761,2)="15"),'152-CT'!$J$8=TH!F761),"x","")</f>
        <v/>
      </c>
      <c r="AF761" s="66" t="str">
        <f>IF(AND(OR(LEFT(TH!N761,2)="15",LEFT(TH!O761,2)="15"),'THE KHO'!$E$7=TH!F761),"x","")</f>
        <v/>
      </c>
      <c r="AG761" s="66" t="str">
        <f>IF(AND(N761="1521",MONTH(C761)='BK NL'!$M$11),"x","")</f>
        <v/>
      </c>
    </row>
    <row r="762" spans="1:33" ht="15.75" hidden="1" customHeight="1">
      <c r="A762" s="397" t="str">
        <f>IF(B762&lt;&gt;"",IF(AND(B762&gt;=_TM1,B762&lt;=_TM2,OR(TH!N762="1111",TH!O762="1111")),TH!D762,""),"")</f>
        <v/>
      </c>
      <c r="B762" s="63" t="str">
        <f t="shared" si="63"/>
        <v/>
      </c>
      <c r="C762" s="362"/>
      <c r="D762" s="362"/>
      <c r="E762" s="362"/>
      <c r="F762" s="363"/>
      <c r="G762" s="389"/>
      <c r="H762" s="364"/>
      <c r="I762" s="514"/>
      <c r="J762" s="514"/>
      <c r="K762" s="506"/>
      <c r="L762" s="514"/>
      <c r="M762" s="65"/>
      <c r="N762" s="365"/>
      <c r="O762" s="365"/>
      <c r="P762" s="66" t="str">
        <f>IF(AND('331-CT'!$E$7=TH!H762,OR(N762="331",O762="331")),"x","")</f>
        <v/>
      </c>
      <c r="Q762" s="66" t="str">
        <f>IF(AND($B762&gt;='111'!$N$11,$B762&lt;='111'!$O$11,OR($N762=$Q$7,$O762=$Q$7)),"x","")</f>
        <v/>
      </c>
      <c r="R762" s="66" t="str">
        <f>IF(AND($N762=$Q$7,$B762&lt;'111'!$N$11),"x","")</f>
        <v/>
      </c>
      <c r="S762" s="66" t="str">
        <f>IF(AND($O762=$Q$7,$B762&lt;'111'!$N$11),"x","")</f>
        <v/>
      </c>
      <c r="T762" s="66" t="str">
        <f>IF(AND($B762&gt;='112'!$M$9,$B762&lt;='112'!$N$9,OR($N762='112'!$I$6,$O762='112'!$I$6)),"x","")</f>
        <v/>
      </c>
      <c r="U762" s="66" t="str">
        <f>IF(AND($N762='112'!$I$6,$B762&lt;'112'!$M$9),"x","")</f>
        <v/>
      </c>
      <c r="V762" s="66" t="str">
        <f>IF(AND($O762='112'!$I$6,$B762&lt;'112'!$M$9),"x","")</f>
        <v/>
      </c>
      <c r="W762" s="66" t="str">
        <f>IF(AND('131-CT'!$H$9=TH!H762,OR(N762="131",O762="131")),"x","")</f>
        <v/>
      </c>
      <c r="X762" s="66" t="str">
        <f>IF(AND($B762&gt;='1331'!$I$9,$B762&lt;='1331'!$J$9,OR($N762=$X$7,$O762=$X$7)),"x","")</f>
        <v/>
      </c>
      <c r="Y762" s="66" t="str">
        <f>IF(AND($N762=$X$7,$B762&lt;'1331'!$I$9),"x","")</f>
        <v/>
      </c>
      <c r="Z762" s="66" t="str">
        <f>IF(AND($O762=$X$7,$B762&lt;'1331'!$I$9),"x","")</f>
        <v/>
      </c>
      <c r="AA762" s="66" t="str">
        <f>IF(AND('341-CT'!$H$9=H762,OR(LEFT(N762,3)=$AA$7,LEFT(O762,3)=$AA$7)),"x","")</f>
        <v/>
      </c>
      <c r="AB762" s="66" t="str">
        <f>IF(OR(TH!N762=TH!$AB$7,O762=TH!$AB$7),"x","")</f>
        <v/>
      </c>
      <c r="AC762" s="66" t="str">
        <f t="shared" si="64"/>
        <v/>
      </c>
      <c r="AD762" s="66" t="str">
        <f>IF(AND(MONTH(E762)='IN-NX'!$J$5,'IN-NX'!$D$7=D762,OR(LEFT(TH!N762,2)="15",LEFT(TH!O762,2)="15")),"x","")</f>
        <v/>
      </c>
      <c r="AE762" s="66" t="str">
        <f>IF(AND(OR(LEFT(TH!N762,2)="15",LEFT(TH!O762,2)="15"),'152-CT'!$J$8=TH!F762),"x","")</f>
        <v/>
      </c>
      <c r="AF762" s="66" t="str">
        <f>IF(AND(OR(LEFT(TH!N762,2)="15",LEFT(TH!O762,2)="15"),'THE KHO'!$E$7=TH!F762),"x","")</f>
        <v/>
      </c>
      <c r="AG762" s="66" t="str">
        <f>IF(AND(N762="1521",MONTH(C762)='BK NL'!$M$11),"x","")</f>
        <v/>
      </c>
    </row>
    <row r="763" spans="1:33" ht="15.75" hidden="1" customHeight="1">
      <c r="A763" s="397" t="str">
        <f>IF(B763&lt;&gt;"",IF(AND(B763&gt;=_TM1,B763&lt;=_TM2,OR(TH!N763="1111",TH!O763="1111")),TH!D763,""),"")</f>
        <v/>
      </c>
      <c r="B763" s="63" t="str">
        <f t="shared" si="63"/>
        <v/>
      </c>
      <c r="C763" s="362"/>
      <c r="D763" s="362"/>
      <c r="E763" s="362"/>
      <c r="F763" s="363"/>
      <c r="G763" s="389"/>
      <c r="H763" s="364"/>
      <c r="I763" s="514"/>
      <c r="J763" s="514"/>
      <c r="K763" s="506"/>
      <c r="L763" s="514"/>
      <c r="M763" s="65"/>
      <c r="N763" s="365"/>
      <c r="O763" s="365"/>
      <c r="P763" s="66" t="str">
        <f>IF(AND('331-CT'!$E$7=TH!H763,OR(N763="331",O763="331")),"x","")</f>
        <v/>
      </c>
      <c r="Q763" s="66" t="str">
        <f>IF(AND($B763&gt;='111'!$N$11,$B763&lt;='111'!$O$11,OR($N763=$Q$7,$O763=$Q$7)),"x","")</f>
        <v/>
      </c>
      <c r="R763" s="66" t="str">
        <f>IF(AND($N763=$Q$7,$B763&lt;'111'!$N$11),"x","")</f>
        <v/>
      </c>
      <c r="S763" s="66" t="str">
        <f>IF(AND($O763=$Q$7,$B763&lt;'111'!$N$11),"x","")</f>
        <v/>
      </c>
      <c r="T763" s="66" t="str">
        <f>IF(AND($B763&gt;='112'!$M$9,$B763&lt;='112'!$N$9,OR($N763='112'!$I$6,$O763='112'!$I$6)),"x","")</f>
        <v/>
      </c>
      <c r="U763" s="66" t="str">
        <f>IF(AND($N763='112'!$I$6,$B763&lt;'112'!$M$9),"x","")</f>
        <v/>
      </c>
      <c r="V763" s="66" t="str">
        <f>IF(AND($O763='112'!$I$6,$B763&lt;'112'!$M$9),"x","")</f>
        <v/>
      </c>
      <c r="W763" s="66" t="str">
        <f>IF(AND('131-CT'!$H$9=TH!H763,OR(N763="131",O763="131")),"x","")</f>
        <v/>
      </c>
      <c r="X763" s="66" t="str">
        <f>IF(AND($B763&gt;='1331'!$I$9,$B763&lt;='1331'!$J$9,OR($N763=$X$7,$O763=$X$7)),"x","")</f>
        <v/>
      </c>
      <c r="Y763" s="66" t="str">
        <f>IF(AND($N763=$X$7,$B763&lt;'1331'!$I$9),"x","")</f>
        <v/>
      </c>
      <c r="Z763" s="66" t="str">
        <f>IF(AND($O763=$X$7,$B763&lt;'1331'!$I$9),"x","")</f>
        <v/>
      </c>
      <c r="AA763" s="66" t="str">
        <f>IF(AND('341-CT'!$H$9=H763,OR(LEFT(N763,3)=$AA$7,LEFT(O763,3)=$AA$7)),"x","")</f>
        <v/>
      </c>
      <c r="AB763" s="66" t="str">
        <f>IF(OR(TH!N763=TH!$AB$7,O763=TH!$AB$7),"x","")</f>
        <v/>
      </c>
      <c r="AC763" s="66" t="str">
        <f t="shared" si="64"/>
        <v/>
      </c>
      <c r="AD763" s="66" t="str">
        <f>IF(AND(MONTH(E763)='IN-NX'!$J$5,'IN-NX'!$D$7=D763,OR(LEFT(TH!N763,2)="15",LEFT(TH!O763,2)="15")),"x","")</f>
        <v/>
      </c>
      <c r="AE763" s="66" t="str">
        <f>IF(AND(OR(LEFT(TH!N763,2)="15",LEFT(TH!O763,2)="15"),'152-CT'!$J$8=TH!F763),"x","")</f>
        <v/>
      </c>
      <c r="AF763" s="66" t="str">
        <f>IF(AND(OR(LEFT(TH!N763,2)="15",LEFT(TH!O763,2)="15"),'THE KHO'!$E$7=TH!F763),"x","")</f>
        <v/>
      </c>
      <c r="AG763" s="66" t="str">
        <f>IF(AND(N763="1521",MONTH(C763)='BK NL'!$M$11),"x","")</f>
        <v/>
      </c>
    </row>
    <row r="764" spans="1:33" ht="15.75" hidden="1" customHeight="1">
      <c r="A764" s="397" t="str">
        <f>IF(B764&lt;&gt;"",IF(AND(B764&gt;=_TM1,B764&lt;=_TM2,OR(TH!N764="1111",TH!O764="1111")),TH!D764,""),"")</f>
        <v/>
      </c>
      <c r="B764" s="63" t="str">
        <f t="shared" si="63"/>
        <v/>
      </c>
      <c r="C764" s="362"/>
      <c r="D764" s="362"/>
      <c r="E764" s="362"/>
      <c r="F764" s="363"/>
      <c r="G764" s="389"/>
      <c r="H764" s="364"/>
      <c r="I764" s="514"/>
      <c r="J764" s="514"/>
      <c r="K764" s="506"/>
      <c r="L764" s="514"/>
      <c r="M764" s="65"/>
      <c r="N764" s="365"/>
      <c r="O764" s="365"/>
      <c r="P764" s="66" t="str">
        <f>IF(AND('331-CT'!$E$7=TH!H764,OR(N764="331",O764="331")),"x","")</f>
        <v/>
      </c>
      <c r="Q764" s="66" t="str">
        <f>IF(AND($B764&gt;='111'!$N$11,$B764&lt;='111'!$O$11,OR($N764=$Q$7,$O764=$Q$7)),"x","")</f>
        <v/>
      </c>
      <c r="R764" s="66" t="str">
        <f>IF(AND($N764=$Q$7,$B764&lt;'111'!$N$11),"x","")</f>
        <v/>
      </c>
      <c r="S764" s="66" t="str">
        <f>IF(AND($O764=$Q$7,$B764&lt;'111'!$N$11),"x","")</f>
        <v/>
      </c>
      <c r="T764" s="66" t="str">
        <f>IF(AND($B764&gt;='112'!$M$9,$B764&lt;='112'!$N$9,OR($N764='112'!$I$6,$O764='112'!$I$6)),"x","")</f>
        <v/>
      </c>
      <c r="U764" s="66" t="str">
        <f>IF(AND($N764='112'!$I$6,$B764&lt;'112'!$M$9),"x","")</f>
        <v/>
      </c>
      <c r="V764" s="66" t="str">
        <f>IF(AND($O764='112'!$I$6,$B764&lt;'112'!$M$9),"x","")</f>
        <v/>
      </c>
      <c r="W764" s="66" t="str">
        <f>IF(AND('131-CT'!$H$9=TH!H764,OR(N764="131",O764="131")),"x","")</f>
        <v/>
      </c>
      <c r="X764" s="66" t="str">
        <f>IF(AND($B764&gt;='1331'!$I$9,$B764&lt;='1331'!$J$9,OR($N764=$X$7,$O764=$X$7)),"x","")</f>
        <v/>
      </c>
      <c r="Y764" s="66" t="str">
        <f>IF(AND($N764=$X$7,$B764&lt;'1331'!$I$9),"x","")</f>
        <v/>
      </c>
      <c r="Z764" s="66" t="str">
        <f>IF(AND($O764=$X$7,$B764&lt;'1331'!$I$9),"x","")</f>
        <v/>
      </c>
      <c r="AA764" s="66" t="str">
        <f>IF(AND('341-CT'!$H$9=H764,OR(LEFT(N764,3)=$AA$7,LEFT(O764,3)=$AA$7)),"x","")</f>
        <v/>
      </c>
      <c r="AB764" s="66" t="str">
        <f>IF(OR(TH!N764=TH!$AB$7,O764=TH!$AB$7),"x","")</f>
        <v/>
      </c>
      <c r="AC764" s="66" t="str">
        <f t="shared" si="64"/>
        <v/>
      </c>
      <c r="AD764" s="66" t="str">
        <f>IF(AND(MONTH(E764)='IN-NX'!$J$5,'IN-NX'!$D$7=D764,OR(LEFT(TH!N764,2)="15",LEFT(TH!O764,2)="15")),"x","")</f>
        <v/>
      </c>
      <c r="AE764" s="66" t="str">
        <f>IF(AND(OR(LEFT(TH!N764,2)="15",LEFT(TH!O764,2)="15"),'152-CT'!$J$8=TH!F764),"x","")</f>
        <v/>
      </c>
      <c r="AF764" s="66" t="str">
        <f>IF(AND(OR(LEFT(TH!N764,2)="15",LEFT(TH!O764,2)="15"),'THE KHO'!$E$7=TH!F764),"x","")</f>
        <v/>
      </c>
      <c r="AG764" s="66" t="str">
        <f>IF(AND(N764="1521",MONTH(C764)='BK NL'!$M$11),"x","")</f>
        <v/>
      </c>
    </row>
    <row r="765" spans="1:33" ht="15.75" hidden="1" customHeight="1">
      <c r="A765" s="397" t="str">
        <f>IF(B765&lt;&gt;"",IF(AND(B765&gt;=_TM1,B765&lt;=_TM2,OR(TH!N765="1111",TH!O765="1111")),TH!D765,""),"")</f>
        <v/>
      </c>
      <c r="B765" s="63" t="str">
        <f t="shared" si="63"/>
        <v/>
      </c>
      <c r="C765" s="362"/>
      <c r="D765" s="362"/>
      <c r="E765" s="362"/>
      <c r="F765" s="363"/>
      <c r="G765" s="389"/>
      <c r="H765" s="364"/>
      <c r="I765" s="514"/>
      <c r="J765" s="514"/>
      <c r="K765" s="506"/>
      <c r="L765" s="514"/>
      <c r="M765" s="65"/>
      <c r="N765" s="365"/>
      <c r="O765" s="365"/>
      <c r="P765" s="66" t="str">
        <f>IF(AND('331-CT'!$E$7=TH!H765,OR(N765="331",O765="331")),"x","")</f>
        <v/>
      </c>
      <c r="Q765" s="66" t="str">
        <f>IF(AND($B765&gt;='111'!$N$11,$B765&lt;='111'!$O$11,OR($N765=$Q$7,$O765=$Q$7)),"x","")</f>
        <v/>
      </c>
      <c r="R765" s="66" t="str">
        <f>IF(AND($N765=$Q$7,$B765&lt;'111'!$N$11),"x","")</f>
        <v/>
      </c>
      <c r="S765" s="66" t="str">
        <f>IF(AND($O765=$Q$7,$B765&lt;'111'!$N$11),"x","")</f>
        <v/>
      </c>
      <c r="T765" s="66" t="str">
        <f>IF(AND($B765&gt;='112'!$M$9,$B765&lt;='112'!$N$9,OR($N765='112'!$I$6,$O765='112'!$I$6)),"x","")</f>
        <v/>
      </c>
      <c r="U765" s="66" t="str">
        <f>IF(AND($N765='112'!$I$6,$B765&lt;'112'!$M$9),"x","")</f>
        <v/>
      </c>
      <c r="V765" s="66" t="str">
        <f>IF(AND($O765='112'!$I$6,$B765&lt;'112'!$M$9),"x","")</f>
        <v/>
      </c>
      <c r="W765" s="66" t="str">
        <f>IF(AND('131-CT'!$H$9=TH!H765,OR(N765="131",O765="131")),"x","")</f>
        <v/>
      </c>
      <c r="X765" s="66" t="str">
        <f>IF(AND($B765&gt;='1331'!$I$9,$B765&lt;='1331'!$J$9,OR($N765=$X$7,$O765=$X$7)),"x","")</f>
        <v/>
      </c>
      <c r="Y765" s="66" t="str">
        <f>IF(AND($N765=$X$7,$B765&lt;'1331'!$I$9),"x","")</f>
        <v/>
      </c>
      <c r="Z765" s="66" t="str">
        <f>IF(AND($O765=$X$7,$B765&lt;'1331'!$I$9),"x","")</f>
        <v/>
      </c>
      <c r="AA765" s="66" t="str">
        <f>IF(AND('341-CT'!$H$9=H765,OR(LEFT(N765,3)=$AA$7,LEFT(O765,3)=$AA$7)),"x","")</f>
        <v/>
      </c>
      <c r="AB765" s="66" t="str">
        <f>IF(OR(TH!N765=TH!$AB$7,O765=TH!$AB$7),"x","")</f>
        <v/>
      </c>
      <c r="AC765" s="66" t="str">
        <f t="shared" si="64"/>
        <v/>
      </c>
      <c r="AD765" s="66" t="str">
        <f>IF(AND(MONTH(E765)='IN-NX'!$J$5,'IN-NX'!$D$7=D765,OR(LEFT(TH!N765,2)="15",LEFT(TH!O765,2)="15")),"x","")</f>
        <v/>
      </c>
      <c r="AE765" s="66" t="str">
        <f>IF(AND(OR(LEFT(TH!N765,2)="15",LEFT(TH!O765,2)="15"),'152-CT'!$J$8=TH!F765),"x","")</f>
        <v/>
      </c>
      <c r="AF765" s="66" t="str">
        <f>IF(AND(OR(LEFT(TH!N765,2)="15",LEFT(TH!O765,2)="15"),'THE KHO'!$E$7=TH!F765),"x","")</f>
        <v/>
      </c>
      <c r="AG765" s="66" t="str">
        <f>IF(AND(N765="1521",MONTH(C765)='BK NL'!$M$11),"x","")</f>
        <v/>
      </c>
    </row>
    <row r="766" spans="1:33" ht="15.75" hidden="1" customHeight="1">
      <c r="A766" s="397" t="str">
        <f>IF(B766&lt;&gt;"",IF(AND(B766&gt;=_TM1,B766&lt;=_TM2,OR(TH!N766="1111",TH!O766="1111")),TH!D766,""),"")</f>
        <v/>
      </c>
      <c r="B766" s="63" t="str">
        <f t="shared" si="63"/>
        <v/>
      </c>
      <c r="C766" s="64"/>
      <c r="D766" s="64"/>
      <c r="E766" s="64"/>
      <c r="F766" s="67"/>
      <c r="G766" s="375"/>
      <c r="H766" s="366"/>
      <c r="I766" s="512"/>
      <c r="J766" s="512"/>
      <c r="K766" s="504"/>
      <c r="L766" s="512"/>
      <c r="M766" s="65"/>
      <c r="N766" s="365"/>
      <c r="O766" s="66"/>
      <c r="P766" s="66" t="str">
        <f>IF(AND('331-CT'!$E$7=TH!H766,OR(N766="331",O766="331")),"x","")</f>
        <v/>
      </c>
      <c r="Q766" s="66" t="str">
        <f>IF(AND($B766&gt;='111'!$N$11,$B766&lt;='111'!$O$11,OR($N766=$Q$7,$O766=$Q$7)),"x","")</f>
        <v/>
      </c>
      <c r="R766" s="66" t="str">
        <f>IF(AND($N766=$Q$7,$B766&lt;'111'!$N$11),"x","")</f>
        <v/>
      </c>
      <c r="S766" s="66" t="str">
        <f>IF(AND($O766=$Q$7,$B766&lt;'111'!$N$11),"x","")</f>
        <v/>
      </c>
      <c r="T766" s="66" t="str">
        <f>IF(AND($B766&gt;='112'!$M$9,$B766&lt;='112'!$N$9,OR($N766='112'!$I$6,$O766='112'!$I$6)),"x","")</f>
        <v/>
      </c>
      <c r="U766" s="66" t="str">
        <f>IF(AND($N766='112'!$I$6,$B766&lt;'112'!$M$9),"x","")</f>
        <v/>
      </c>
      <c r="V766" s="66" t="str">
        <f>IF(AND($O766='112'!$I$6,$B766&lt;'112'!$M$9),"x","")</f>
        <v/>
      </c>
      <c r="W766" s="66" t="str">
        <f>IF(AND('131-CT'!$H$9=TH!H766,OR(N766="131",O766="131")),"x","")</f>
        <v/>
      </c>
      <c r="X766" s="66" t="str">
        <f>IF(AND($B766&gt;='1331'!$I$9,$B766&lt;='1331'!$J$9,OR($N766=$X$7,$O766=$X$7)),"x","")</f>
        <v/>
      </c>
      <c r="Y766" s="66" t="str">
        <f>IF(AND($N766=$X$7,$B766&lt;'1331'!$I$9),"x","")</f>
        <v/>
      </c>
      <c r="Z766" s="66" t="str">
        <f>IF(AND($O766=$X$7,$B766&lt;'1331'!$I$9),"x","")</f>
        <v/>
      </c>
      <c r="AA766" s="66" t="str">
        <f>IF(AND('341-CT'!$H$9=H766,OR(LEFT(N766,3)=$AA$7,LEFT(O766,3)=$AA$7)),"x","")</f>
        <v/>
      </c>
      <c r="AB766" s="66" t="str">
        <f>IF(OR(TH!N766=TH!$AB$7,O766=TH!$AB$7),"x","")</f>
        <v/>
      </c>
      <c r="AC766" s="66" t="str">
        <f t="shared" si="64"/>
        <v/>
      </c>
      <c r="AD766" s="66" t="str">
        <f>IF(AND(MONTH(E766)='IN-NX'!$J$5,'IN-NX'!$D$7=D766,OR(LEFT(TH!N766,2)="15",LEFT(TH!O766,2)="15")),"x","")</f>
        <v/>
      </c>
      <c r="AE766" s="66" t="str">
        <f>IF(AND(OR(LEFT(TH!N766,2)="15",LEFT(TH!O766,2)="15"),'152-CT'!$J$8=TH!F766),"x","")</f>
        <v/>
      </c>
      <c r="AF766" s="66" t="str">
        <f>IF(AND(OR(LEFT(TH!N766,2)="15",LEFT(TH!O766,2)="15"),'THE KHO'!$E$7=TH!F766),"x","")</f>
        <v/>
      </c>
      <c r="AG766" s="66" t="str">
        <f>IF(AND(N766="1521",MONTH(C766)='BK NL'!$M$11),"x","")</f>
        <v/>
      </c>
    </row>
    <row r="767" spans="1:33" ht="15.75" hidden="1" customHeight="1">
      <c r="A767" s="397" t="str">
        <f>IF(B767&lt;&gt;"",IF(AND(B767&gt;=_TM1,B767&lt;=_TM2,OR(TH!N767="1111",TH!O767="1111")),TH!D767,""),"")</f>
        <v/>
      </c>
      <c r="B767" s="63" t="str">
        <f t="shared" si="63"/>
        <v/>
      </c>
      <c r="C767" s="64"/>
      <c r="D767" s="64"/>
      <c r="E767" s="64"/>
      <c r="F767" s="67"/>
      <c r="G767" s="375"/>
      <c r="H767" s="366"/>
      <c r="I767" s="512"/>
      <c r="J767" s="512"/>
      <c r="K767" s="504"/>
      <c r="L767" s="512"/>
      <c r="M767" s="65"/>
      <c r="N767" s="365"/>
      <c r="O767" s="66"/>
      <c r="P767" s="66" t="str">
        <f>IF(AND('331-CT'!$E$7=TH!H767,OR(N767="331",O767="331")),"x","")</f>
        <v/>
      </c>
      <c r="Q767" s="66" t="str">
        <f>IF(AND($B767&gt;='111'!$N$11,$B767&lt;='111'!$O$11,OR($N767=$Q$7,$O767=$Q$7)),"x","")</f>
        <v/>
      </c>
      <c r="R767" s="66" t="str">
        <f>IF(AND($N767=$Q$7,$B767&lt;'111'!$N$11),"x","")</f>
        <v/>
      </c>
      <c r="S767" s="66" t="str">
        <f>IF(AND($O767=$Q$7,$B767&lt;'111'!$N$11),"x","")</f>
        <v/>
      </c>
      <c r="T767" s="66" t="str">
        <f>IF(AND($B767&gt;='112'!$M$9,$B767&lt;='112'!$N$9,OR($N767='112'!$I$6,$O767='112'!$I$6)),"x","")</f>
        <v/>
      </c>
      <c r="U767" s="66" t="str">
        <f>IF(AND($N767='112'!$I$6,$B767&lt;'112'!$M$9),"x","")</f>
        <v/>
      </c>
      <c r="V767" s="66" t="str">
        <f>IF(AND($O767='112'!$I$6,$B767&lt;'112'!$M$9),"x","")</f>
        <v/>
      </c>
      <c r="W767" s="66" t="str">
        <f>IF(AND('131-CT'!$H$9=TH!H767,OR(N767="131",O767="131")),"x","")</f>
        <v/>
      </c>
      <c r="X767" s="66" t="str">
        <f>IF(AND($B767&gt;='1331'!$I$9,$B767&lt;='1331'!$J$9,OR($N767=$X$7,$O767=$X$7)),"x","")</f>
        <v/>
      </c>
      <c r="Y767" s="66" t="str">
        <f>IF(AND($N767=$X$7,$B767&lt;'1331'!$I$9),"x","")</f>
        <v/>
      </c>
      <c r="Z767" s="66" t="str">
        <f>IF(AND($O767=$X$7,$B767&lt;'1331'!$I$9),"x","")</f>
        <v/>
      </c>
      <c r="AA767" s="66" t="str">
        <f>IF(AND('341-CT'!$H$9=H767,OR(LEFT(N767,3)=$AA$7,LEFT(O767,3)=$AA$7)),"x","")</f>
        <v/>
      </c>
      <c r="AB767" s="66" t="str">
        <f>IF(OR(TH!N767=TH!$AB$7,O767=TH!$AB$7),"x","")</f>
        <v/>
      </c>
      <c r="AC767" s="66" t="str">
        <f t="shared" si="64"/>
        <v/>
      </c>
      <c r="AD767" s="66" t="str">
        <f>IF(AND(MONTH(E767)='IN-NX'!$J$5,'IN-NX'!$D$7=D767,OR(LEFT(TH!N767,2)="15",LEFT(TH!O767,2)="15")),"x","")</f>
        <v/>
      </c>
      <c r="AE767" s="66" t="str">
        <f>IF(AND(OR(LEFT(TH!N767,2)="15",LEFT(TH!O767,2)="15"),'152-CT'!$J$8=TH!F767),"x","")</f>
        <v/>
      </c>
      <c r="AF767" s="66" t="str">
        <f>IF(AND(OR(LEFT(TH!N767,2)="15",LEFT(TH!O767,2)="15"),'THE KHO'!$E$7=TH!F767),"x","")</f>
        <v/>
      </c>
      <c r="AG767" s="66" t="str">
        <f>IF(AND(N767="1521",MONTH(C767)='BK NL'!$M$11),"x","")</f>
        <v/>
      </c>
    </row>
    <row r="768" spans="1:33" ht="15.75" hidden="1" customHeight="1">
      <c r="A768" s="397" t="str">
        <f>IF(B768&lt;&gt;"",IF(AND(B768&gt;=_TM1,B768&lt;=_TM2,OR(TH!N768="1111",TH!O768="1111")),TH!D768,""),"")</f>
        <v/>
      </c>
      <c r="B768" s="63" t="str">
        <f t="shared" si="63"/>
        <v/>
      </c>
      <c r="C768" s="64"/>
      <c r="D768" s="64"/>
      <c r="E768" s="64"/>
      <c r="F768" s="67"/>
      <c r="G768" s="375"/>
      <c r="H768" s="364"/>
      <c r="I768" s="514"/>
      <c r="J768" s="514"/>
      <c r="K768" s="506"/>
      <c r="L768" s="514"/>
      <c r="M768" s="65"/>
      <c r="N768" s="66"/>
      <c r="O768" s="66"/>
      <c r="P768" s="66" t="str">
        <f>IF(AND('331-CT'!$E$7=TH!H768,OR(N768="331",O768="331")),"x","")</f>
        <v/>
      </c>
      <c r="Q768" s="66" t="str">
        <f>IF(AND($B768&gt;='111'!$N$11,$B768&lt;='111'!$O$11,OR($N768=$Q$7,$O768=$Q$7)),"x","")</f>
        <v/>
      </c>
      <c r="R768" s="66" t="str">
        <f>IF(AND($N768=$Q$7,$B768&lt;'111'!$N$11),"x","")</f>
        <v/>
      </c>
      <c r="S768" s="66" t="str">
        <f>IF(AND($O768=$Q$7,$B768&lt;'111'!$N$11),"x","")</f>
        <v/>
      </c>
      <c r="T768" s="66" t="str">
        <f>IF(AND($B768&gt;='112'!$M$9,$B768&lt;='112'!$N$9,OR($N768='112'!$I$6,$O768='112'!$I$6)),"x","")</f>
        <v/>
      </c>
      <c r="U768" s="66" t="str">
        <f>IF(AND($N768='112'!$I$6,$B768&lt;'112'!$M$9),"x","")</f>
        <v/>
      </c>
      <c r="V768" s="66" t="str">
        <f>IF(AND($O768='112'!$I$6,$B768&lt;'112'!$M$9),"x","")</f>
        <v/>
      </c>
      <c r="W768" s="66" t="str">
        <f>IF(AND('131-CT'!$H$9=TH!H768,OR(N768="131",O768="131")),"x","")</f>
        <v/>
      </c>
      <c r="X768" s="66" t="str">
        <f>IF(AND($B768&gt;='1331'!$I$9,$B768&lt;='1331'!$J$9,OR($N768=$X$7,$O768=$X$7)),"x","")</f>
        <v/>
      </c>
      <c r="Y768" s="66" t="str">
        <f>IF(AND($N768=$X$7,$B768&lt;'1331'!$I$9),"x","")</f>
        <v/>
      </c>
      <c r="Z768" s="66" t="str">
        <f>IF(AND($O768=$X$7,$B768&lt;'1331'!$I$9),"x","")</f>
        <v/>
      </c>
      <c r="AA768" s="66" t="str">
        <f>IF(AND('341-CT'!$H$9=H768,OR(LEFT(N768,3)=$AA$7,LEFT(O768,3)=$AA$7)),"x","")</f>
        <v/>
      </c>
      <c r="AB768" s="66" t="str">
        <f>IF(OR(TH!N768=TH!$AB$7,O768=TH!$AB$7),"x","")</f>
        <v/>
      </c>
      <c r="AC768" s="66" t="str">
        <f t="shared" si="64"/>
        <v/>
      </c>
      <c r="AD768" s="66" t="str">
        <f>IF(AND(MONTH(E768)='IN-NX'!$J$5,'IN-NX'!$D$7=D768,OR(LEFT(TH!N768,2)="15",LEFT(TH!O768,2)="15")),"x","")</f>
        <v/>
      </c>
      <c r="AE768" s="66" t="str">
        <f>IF(AND(OR(LEFT(TH!N768,2)="15",LEFT(TH!O768,2)="15"),'152-CT'!$J$8=TH!F768),"x","")</f>
        <v/>
      </c>
      <c r="AF768" s="66" t="str">
        <f>IF(AND(OR(LEFT(TH!N768,2)="15",LEFT(TH!O768,2)="15"),'THE KHO'!$E$7=TH!F768),"x","")</f>
        <v/>
      </c>
      <c r="AG768" s="66" t="str">
        <f>IF(AND(N768="1521",MONTH(C768)='BK NL'!$M$11),"x","")</f>
        <v/>
      </c>
    </row>
    <row r="769" spans="1:33" ht="15.75" hidden="1" customHeight="1">
      <c r="A769" s="397" t="str">
        <f>IF(B769&lt;&gt;"",IF(AND(B769&gt;=_TM1,B769&lt;=_TM2,OR(TH!N769="1111",TH!O769="1111")),TH!D769,""),"")</f>
        <v/>
      </c>
      <c r="B769" s="63" t="str">
        <f t="shared" si="63"/>
        <v/>
      </c>
      <c r="C769" s="64"/>
      <c r="D769" s="64"/>
      <c r="E769" s="64"/>
      <c r="F769" s="67"/>
      <c r="G769" s="375"/>
      <c r="H769" s="364"/>
      <c r="I769" s="514"/>
      <c r="J769" s="514"/>
      <c r="K769" s="506"/>
      <c r="L769" s="514"/>
      <c r="M769" s="65"/>
      <c r="N769" s="66"/>
      <c r="O769" s="66"/>
      <c r="P769" s="66" t="str">
        <f>IF(AND('331-CT'!$E$7=TH!H769,OR(N769="331",O769="331")),"x","")</f>
        <v/>
      </c>
      <c r="Q769" s="66" t="str">
        <f>IF(AND($B769&gt;='111'!$N$11,$B769&lt;='111'!$O$11,OR($N769=$Q$7,$O769=$Q$7)),"x","")</f>
        <v/>
      </c>
      <c r="R769" s="66" t="str">
        <f>IF(AND($N769=$Q$7,$B769&lt;'111'!$N$11),"x","")</f>
        <v/>
      </c>
      <c r="S769" s="66" t="str">
        <f>IF(AND($O769=$Q$7,$B769&lt;'111'!$N$11),"x","")</f>
        <v/>
      </c>
      <c r="T769" s="66" t="str">
        <f>IF(AND($B769&gt;='112'!$M$9,$B769&lt;='112'!$N$9,OR($N769='112'!$I$6,$O769='112'!$I$6)),"x","")</f>
        <v/>
      </c>
      <c r="U769" s="66" t="str">
        <f>IF(AND($N769='112'!$I$6,$B769&lt;'112'!$M$9),"x","")</f>
        <v/>
      </c>
      <c r="V769" s="66" t="str">
        <f>IF(AND($O769='112'!$I$6,$B769&lt;'112'!$M$9),"x","")</f>
        <v/>
      </c>
      <c r="W769" s="66" t="str">
        <f>IF(AND('131-CT'!$H$9=TH!H769,OR(N769="131",O769="131")),"x","")</f>
        <v/>
      </c>
      <c r="X769" s="66" t="str">
        <f>IF(AND($B769&gt;='1331'!$I$9,$B769&lt;='1331'!$J$9,OR($N769=$X$7,$O769=$X$7)),"x","")</f>
        <v/>
      </c>
      <c r="Y769" s="66" t="str">
        <f>IF(AND($N769=$X$7,$B769&lt;'1331'!$I$9),"x","")</f>
        <v/>
      </c>
      <c r="Z769" s="66" t="str">
        <f>IF(AND($O769=$X$7,$B769&lt;'1331'!$I$9),"x","")</f>
        <v/>
      </c>
      <c r="AA769" s="66" t="str">
        <f>IF(AND('341-CT'!$H$9=H769,OR(LEFT(N769,3)=$AA$7,LEFT(O769,3)=$AA$7)),"x","")</f>
        <v/>
      </c>
      <c r="AB769" s="66" t="str">
        <f>IF(OR(TH!N769=TH!$AB$7,O769=TH!$AB$7),"x","")</f>
        <v/>
      </c>
      <c r="AC769" s="66" t="str">
        <f t="shared" si="64"/>
        <v/>
      </c>
      <c r="AD769" s="66" t="str">
        <f>IF(AND(MONTH(E769)='IN-NX'!$J$5,'IN-NX'!$D$7=D769,OR(LEFT(TH!N769,2)="15",LEFT(TH!O769,2)="15")),"x","")</f>
        <v/>
      </c>
      <c r="AE769" s="66" t="str">
        <f>IF(AND(OR(LEFT(TH!N769,2)="15",LEFT(TH!O769,2)="15"),'152-CT'!$J$8=TH!F769),"x","")</f>
        <v/>
      </c>
      <c r="AF769" s="66" t="str">
        <f>IF(AND(OR(LEFT(TH!N769,2)="15",LEFT(TH!O769,2)="15"),'THE KHO'!$E$7=TH!F769),"x","")</f>
        <v/>
      </c>
      <c r="AG769" s="66" t="str">
        <f>IF(AND(N769="1521",MONTH(C769)='BK NL'!$M$11),"x","")</f>
        <v/>
      </c>
    </row>
    <row r="770" spans="1:33" ht="15.75" hidden="1" customHeight="1">
      <c r="A770" s="397" t="str">
        <f>IF(B770&lt;&gt;"",IF(AND(B770&gt;=_TM1,B770&lt;=_TM2,OR(TH!N770="1111",TH!O770="1111")),TH!D770,""),"")</f>
        <v/>
      </c>
      <c r="B770" s="63" t="str">
        <f t="shared" si="63"/>
        <v/>
      </c>
      <c r="C770" s="64"/>
      <c r="D770" s="64"/>
      <c r="E770" s="64"/>
      <c r="F770" s="67"/>
      <c r="G770" s="375"/>
      <c r="H770" s="74"/>
      <c r="I770" s="514"/>
      <c r="J770" s="514"/>
      <c r="K770" s="506"/>
      <c r="L770" s="514"/>
      <c r="M770" s="65"/>
      <c r="N770" s="66"/>
      <c r="O770" s="66"/>
      <c r="P770" s="66" t="str">
        <f>IF(AND('331-CT'!$E$7=TH!H770,OR(N770="331",O770="331")),"x","")</f>
        <v/>
      </c>
      <c r="Q770" s="66" t="str">
        <f>IF(AND($B770&gt;='111'!$N$11,$B770&lt;='111'!$O$11,OR($N770=$Q$7,$O770=$Q$7)),"x","")</f>
        <v/>
      </c>
      <c r="R770" s="66" t="str">
        <f>IF(AND($N770=$Q$7,$B770&lt;'111'!$N$11),"x","")</f>
        <v/>
      </c>
      <c r="S770" s="66" t="str">
        <f>IF(AND($O770=$Q$7,$B770&lt;'111'!$N$11),"x","")</f>
        <v/>
      </c>
      <c r="T770" s="66" t="str">
        <f>IF(AND($B770&gt;='112'!$M$9,$B770&lt;='112'!$N$9,OR($N770='112'!$I$6,$O770='112'!$I$6)),"x","")</f>
        <v/>
      </c>
      <c r="U770" s="66" t="str">
        <f>IF(AND($N770='112'!$I$6,$B770&lt;'112'!$M$9),"x","")</f>
        <v/>
      </c>
      <c r="V770" s="66" t="str">
        <f>IF(AND($O770='112'!$I$6,$B770&lt;'112'!$M$9),"x","")</f>
        <v/>
      </c>
      <c r="W770" s="66" t="str">
        <f>IF(AND('131-CT'!$H$9=TH!H770,OR(N770="131",O770="131")),"x","")</f>
        <v/>
      </c>
      <c r="X770" s="66" t="str">
        <f>IF(AND($B770&gt;='1331'!$I$9,$B770&lt;='1331'!$J$9,OR($N770=$X$7,$O770=$X$7)),"x","")</f>
        <v/>
      </c>
      <c r="Y770" s="66" t="str">
        <f>IF(AND($N770=$X$7,$B770&lt;'1331'!$I$9),"x","")</f>
        <v/>
      </c>
      <c r="Z770" s="66" t="str">
        <f>IF(AND($O770=$X$7,$B770&lt;'1331'!$I$9),"x","")</f>
        <v/>
      </c>
      <c r="AA770" s="66" t="str">
        <f>IF(AND('341-CT'!$H$9=H770,OR(LEFT(N770,3)=$AA$7,LEFT(O770,3)=$AA$7)),"x","")</f>
        <v/>
      </c>
      <c r="AB770" s="66" t="str">
        <f>IF(OR(TH!N770=TH!$AB$7,O770=TH!$AB$7),"x","")</f>
        <v/>
      </c>
      <c r="AC770" s="66" t="str">
        <f t="shared" si="64"/>
        <v/>
      </c>
      <c r="AD770" s="66" t="str">
        <f>IF(AND(MONTH(E770)='IN-NX'!$J$5,'IN-NX'!$D$7=D770,OR(LEFT(TH!N770,2)="15",LEFT(TH!O770,2)="15")),"x","")</f>
        <v/>
      </c>
      <c r="AE770" s="66" t="str">
        <f>IF(AND(OR(LEFT(TH!N770,2)="15",LEFT(TH!O770,2)="15"),'152-CT'!$J$8=TH!F770),"x","")</f>
        <v/>
      </c>
      <c r="AF770" s="66" t="str">
        <f>IF(AND(OR(LEFT(TH!N770,2)="15",LEFT(TH!O770,2)="15"),'THE KHO'!$E$7=TH!F770),"x","")</f>
        <v/>
      </c>
      <c r="AG770" s="66" t="str">
        <f>IF(AND(N770="1521",MONTH(C770)='BK NL'!$M$11),"x","")</f>
        <v/>
      </c>
    </row>
    <row r="771" spans="1:33" ht="15.75" hidden="1" customHeight="1">
      <c r="A771" s="397" t="str">
        <f>IF(B771&lt;&gt;"",IF(AND(B771&gt;=_TM1,B771&lt;=_TM2,OR(TH!N771="1111",TH!O771="1111")),TH!D771,""),"")</f>
        <v/>
      </c>
      <c r="B771" s="63" t="str">
        <f t="shared" si="63"/>
        <v/>
      </c>
      <c r="C771" s="64"/>
      <c r="D771" s="64"/>
      <c r="E771" s="64"/>
      <c r="F771" s="67"/>
      <c r="G771" s="375"/>
      <c r="H771" s="74"/>
      <c r="I771" s="514"/>
      <c r="J771" s="514"/>
      <c r="K771" s="506"/>
      <c r="L771" s="514"/>
      <c r="M771" s="65"/>
      <c r="N771" s="66"/>
      <c r="O771" s="66"/>
      <c r="P771" s="66" t="str">
        <f>IF(AND('331-CT'!$E$7=TH!H771,OR(N771="331",O771="331")),"x","")</f>
        <v/>
      </c>
      <c r="Q771" s="66" t="str">
        <f>IF(AND($B771&gt;='111'!$N$11,$B771&lt;='111'!$O$11,OR($N771=$Q$7,$O771=$Q$7)),"x","")</f>
        <v/>
      </c>
      <c r="R771" s="66" t="str">
        <f>IF(AND($N771=$Q$7,$B771&lt;'111'!$N$11),"x","")</f>
        <v/>
      </c>
      <c r="S771" s="66" t="str">
        <f>IF(AND($O771=$Q$7,$B771&lt;'111'!$N$11),"x","")</f>
        <v/>
      </c>
      <c r="T771" s="66" t="str">
        <f>IF(AND($B771&gt;='112'!$M$9,$B771&lt;='112'!$N$9,OR($N771='112'!$I$6,$O771='112'!$I$6)),"x","")</f>
        <v/>
      </c>
      <c r="U771" s="66" t="str">
        <f>IF(AND($N771='112'!$I$6,$B771&lt;'112'!$M$9),"x","")</f>
        <v/>
      </c>
      <c r="V771" s="66" t="str">
        <f>IF(AND($O771='112'!$I$6,$B771&lt;'112'!$M$9),"x","")</f>
        <v/>
      </c>
      <c r="W771" s="66" t="str">
        <f>IF(AND('131-CT'!$H$9=TH!H771,OR(N771="131",O771="131")),"x","")</f>
        <v/>
      </c>
      <c r="X771" s="66" t="str">
        <f>IF(AND($B771&gt;='1331'!$I$9,$B771&lt;='1331'!$J$9,OR($N771=$X$7,$O771=$X$7)),"x","")</f>
        <v/>
      </c>
      <c r="Y771" s="66" t="str">
        <f>IF(AND($N771=$X$7,$B771&lt;'1331'!$I$9),"x","")</f>
        <v/>
      </c>
      <c r="Z771" s="66" t="str">
        <f>IF(AND($O771=$X$7,$B771&lt;'1331'!$I$9),"x","")</f>
        <v/>
      </c>
      <c r="AA771" s="66" t="str">
        <f>IF(AND('341-CT'!$H$9=H771,OR(LEFT(N771,3)=$AA$7,LEFT(O771,3)=$AA$7)),"x","")</f>
        <v/>
      </c>
      <c r="AB771" s="66" t="str">
        <f>IF(OR(TH!N771=TH!$AB$7,O771=TH!$AB$7),"x","")</f>
        <v/>
      </c>
      <c r="AC771" s="66" t="str">
        <f t="shared" si="64"/>
        <v/>
      </c>
      <c r="AD771" s="66" t="str">
        <f>IF(AND(MONTH(E771)='IN-NX'!$J$5,'IN-NX'!$D$7=D771,OR(LEFT(TH!N771,2)="15",LEFT(TH!O771,2)="15")),"x","")</f>
        <v/>
      </c>
      <c r="AE771" s="66" t="str">
        <f>IF(AND(OR(LEFT(TH!N771,2)="15",LEFT(TH!O771,2)="15"),'152-CT'!$J$8=TH!F771),"x","")</f>
        <v/>
      </c>
      <c r="AF771" s="66" t="str">
        <f>IF(AND(OR(LEFT(TH!N771,2)="15",LEFT(TH!O771,2)="15"),'THE KHO'!$E$7=TH!F771),"x","")</f>
        <v/>
      </c>
      <c r="AG771" s="66" t="str">
        <f>IF(AND(N771="1521",MONTH(C771)='BK NL'!$M$11),"x","")</f>
        <v/>
      </c>
    </row>
    <row r="772" spans="1:33" ht="15.75" hidden="1" customHeight="1">
      <c r="A772" s="397" t="str">
        <f>IF(B772&lt;&gt;"",IF(AND(B772&gt;=_TM1,B772&lt;=_TM2,OR(TH!N772="1111",TH!O772="1111")),TH!D772,""),"")</f>
        <v/>
      </c>
      <c r="B772" s="63" t="str">
        <f t="shared" si="63"/>
        <v/>
      </c>
      <c r="C772" s="64"/>
      <c r="D772" s="64"/>
      <c r="E772" s="64"/>
      <c r="F772" s="67"/>
      <c r="G772" s="375"/>
      <c r="H772" s="74"/>
      <c r="I772" s="514"/>
      <c r="J772" s="514"/>
      <c r="K772" s="506"/>
      <c r="L772" s="514"/>
      <c r="M772" s="65"/>
      <c r="N772" s="66"/>
      <c r="O772" s="66"/>
      <c r="P772" s="66" t="str">
        <f>IF(AND('331-CT'!$E$7=TH!H772,OR(N772="331",O772="331")),"x","")</f>
        <v/>
      </c>
      <c r="Q772" s="66" t="str">
        <f>IF(AND($B772&gt;='111'!$N$11,$B772&lt;='111'!$O$11,OR($N772=$Q$7,$O772=$Q$7)),"x","")</f>
        <v/>
      </c>
      <c r="R772" s="66" t="str">
        <f>IF(AND($N772=$Q$7,$B772&lt;'111'!$N$11),"x","")</f>
        <v/>
      </c>
      <c r="S772" s="66" t="str">
        <f>IF(AND($O772=$Q$7,$B772&lt;'111'!$N$11),"x","")</f>
        <v/>
      </c>
      <c r="T772" s="66" t="str">
        <f>IF(AND($B772&gt;='112'!$M$9,$B772&lt;='112'!$N$9,OR($N772='112'!$I$6,$O772='112'!$I$6)),"x","")</f>
        <v/>
      </c>
      <c r="U772" s="66" t="str">
        <f>IF(AND($N772='112'!$I$6,$B772&lt;'112'!$M$9),"x","")</f>
        <v/>
      </c>
      <c r="V772" s="66" t="str">
        <f>IF(AND($O772='112'!$I$6,$B772&lt;'112'!$M$9),"x","")</f>
        <v/>
      </c>
      <c r="W772" s="66" t="str">
        <f>IF(AND('131-CT'!$H$9=TH!H772,OR(N772="131",O772="131")),"x","")</f>
        <v/>
      </c>
      <c r="X772" s="66" t="str">
        <f>IF(AND($B772&gt;='1331'!$I$9,$B772&lt;='1331'!$J$9,OR($N772=$X$7,$O772=$X$7)),"x","")</f>
        <v/>
      </c>
      <c r="Y772" s="66" t="str">
        <f>IF(AND($N772=$X$7,$B772&lt;'1331'!$I$9),"x","")</f>
        <v/>
      </c>
      <c r="Z772" s="66" t="str">
        <f>IF(AND($O772=$X$7,$B772&lt;'1331'!$I$9),"x","")</f>
        <v/>
      </c>
      <c r="AA772" s="66" t="str">
        <f>IF(AND('341-CT'!$H$9=H772,OR(LEFT(N772,3)=$AA$7,LEFT(O772,3)=$AA$7)),"x","")</f>
        <v/>
      </c>
      <c r="AB772" s="66" t="str">
        <f>IF(OR(TH!N772=TH!$AB$7,O772=TH!$AB$7),"x","")</f>
        <v/>
      </c>
      <c r="AC772" s="66" t="str">
        <f t="shared" si="64"/>
        <v/>
      </c>
      <c r="AD772" s="66" t="str">
        <f>IF(AND(MONTH(E772)='IN-NX'!$J$5,'IN-NX'!$D$7=D772,OR(LEFT(TH!N772,2)="15",LEFT(TH!O772,2)="15")),"x","")</f>
        <v/>
      </c>
      <c r="AE772" s="66" t="str">
        <f>IF(AND(OR(LEFT(TH!N772,2)="15",LEFT(TH!O772,2)="15"),'152-CT'!$J$8=TH!F772),"x","")</f>
        <v/>
      </c>
      <c r="AF772" s="66" t="str">
        <f>IF(AND(OR(LEFT(TH!N772,2)="15",LEFT(TH!O772,2)="15"),'THE KHO'!$E$7=TH!F772),"x","")</f>
        <v/>
      </c>
      <c r="AG772" s="66" t="str">
        <f>IF(AND(N772="1521",MONTH(C772)='BK NL'!$M$11),"x","")</f>
        <v/>
      </c>
    </row>
    <row r="773" spans="1:33" ht="15.75" hidden="1" customHeight="1">
      <c r="A773" s="397" t="str">
        <f>IF(B773&lt;&gt;"",IF(AND(B773&gt;=_TM1,B773&lt;=_TM2,OR(TH!N773="1111",TH!O773="1111")),TH!D773,""),"")</f>
        <v/>
      </c>
      <c r="B773" s="63" t="str">
        <f t="shared" si="63"/>
        <v/>
      </c>
      <c r="C773" s="362"/>
      <c r="D773" s="362"/>
      <c r="E773" s="362"/>
      <c r="F773" s="363"/>
      <c r="G773" s="389"/>
      <c r="H773" s="364"/>
      <c r="I773" s="514"/>
      <c r="J773" s="514"/>
      <c r="K773" s="506"/>
      <c r="L773" s="514"/>
      <c r="M773" s="65"/>
      <c r="N773" s="365"/>
      <c r="O773" s="365"/>
      <c r="P773" s="66" t="str">
        <f>IF(AND('331-CT'!$E$7=TH!H773,OR(N773="331",O773="331")),"x","")</f>
        <v/>
      </c>
      <c r="Q773" s="66" t="str">
        <f>IF(AND($B773&gt;='111'!$N$11,$B773&lt;='111'!$O$11,OR($N773=$Q$7,$O773=$Q$7)),"x","")</f>
        <v/>
      </c>
      <c r="R773" s="66" t="str">
        <f>IF(AND($N773=$Q$7,$B773&lt;'111'!$N$11),"x","")</f>
        <v/>
      </c>
      <c r="S773" s="66" t="str">
        <f>IF(AND($O773=$Q$7,$B773&lt;'111'!$N$11),"x","")</f>
        <v/>
      </c>
      <c r="T773" s="66" t="str">
        <f>IF(AND($B773&gt;='112'!$M$9,$B773&lt;='112'!$N$9,OR($N773='112'!$I$6,$O773='112'!$I$6)),"x","")</f>
        <v/>
      </c>
      <c r="U773" s="66" t="str">
        <f>IF(AND($N773='112'!$I$6,$B773&lt;'112'!$M$9),"x","")</f>
        <v/>
      </c>
      <c r="V773" s="66" t="str">
        <f>IF(AND($O773='112'!$I$6,$B773&lt;'112'!$M$9),"x","")</f>
        <v/>
      </c>
      <c r="W773" s="66" t="str">
        <f>IF(AND('131-CT'!$H$9=TH!H773,OR(N773="131",O773="131")),"x","")</f>
        <v/>
      </c>
      <c r="X773" s="66" t="str">
        <f>IF(AND($B773&gt;='1331'!$I$9,$B773&lt;='1331'!$J$9,OR($N773=$X$7,$O773=$X$7)),"x","")</f>
        <v/>
      </c>
      <c r="Y773" s="66" t="str">
        <f>IF(AND($N773=$X$7,$B773&lt;'1331'!$I$9),"x","")</f>
        <v/>
      </c>
      <c r="Z773" s="66" t="str">
        <f>IF(AND($O773=$X$7,$B773&lt;'1331'!$I$9),"x","")</f>
        <v/>
      </c>
      <c r="AA773" s="66" t="str">
        <f>IF(AND('341-CT'!$H$9=H773,OR(LEFT(N773,3)=$AA$7,LEFT(O773,3)=$AA$7)),"x","")</f>
        <v/>
      </c>
      <c r="AB773" s="66" t="str">
        <f>IF(OR(TH!N773=TH!$AB$7,O773=TH!$AB$7),"x","")</f>
        <v/>
      </c>
      <c r="AC773" s="66" t="str">
        <f t="shared" si="64"/>
        <v/>
      </c>
      <c r="AD773" s="66" t="str">
        <f>IF(AND(MONTH(E773)='IN-NX'!$J$5,'IN-NX'!$D$7=D773,OR(LEFT(TH!N773,2)="15",LEFT(TH!O773,2)="15")),"x","")</f>
        <v/>
      </c>
      <c r="AE773" s="66" t="str">
        <f>IF(AND(OR(LEFT(TH!N773,2)="15",LEFT(TH!O773,2)="15"),'152-CT'!$J$8=TH!F773),"x","")</f>
        <v/>
      </c>
      <c r="AF773" s="66" t="str">
        <f>IF(AND(OR(LEFT(TH!N773,2)="15",LEFT(TH!O773,2)="15"),'THE KHO'!$E$7=TH!F773),"x","")</f>
        <v/>
      </c>
      <c r="AG773" s="66" t="str">
        <f>IF(AND(N773="1521",MONTH(C773)='BK NL'!$M$11),"x","")</f>
        <v/>
      </c>
    </row>
    <row r="774" spans="1:33" ht="15.75" hidden="1" customHeight="1">
      <c r="A774" s="397" t="str">
        <f>IF(B774&lt;&gt;"",IF(AND(B774&gt;=_TM1,B774&lt;=_TM2,OR(TH!N774="1111",TH!O774="1111")),TH!D774,""),"")</f>
        <v/>
      </c>
      <c r="B774" s="63" t="str">
        <f t="shared" si="63"/>
        <v/>
      </c>
      <c r="C774" s="362"/>
      <c r="D774" s="362"/>
      <c r="E774" s="362"/>
      <c r="F774" s="363"/>
      <c r="G774" s="389"/>
      <c r="H774" s="364"/>
      <c r="I774" s="514"/>
      <c r="J774" s="514"/>
      <c r="K774" s="506"/>
      <c r="L774" s="514"/>
      <c r="M774" s="65"/>
      <c r="N774" s="365"/>
      <c r="O774" s="365"/>
      <c r="P774" s="66" t="str">
        <f>IF(AND('331-CT'!$E$7=TH!H774,OR(N774="331",O774="331")),"x","")</f>
        <v/>
      </c>
      <c r="Q774" s="66" t="str">
        <f>IF(AND($B774&gt;='111'!$N$11,$B774&lt;='111'!$O$11,OR($N774=$Q$7,$O774=$Q$7)),"x","")</f>
        <v/>
      </c>
      <c r="R774" s="66" t="str">
        <f>IF(AND($N774=$Q$7,$B774&lt;'111'!$N$11),"x","")</f>
        <v/>
      </c>
      <c r="S774" s="66" t="str">
        <f>IF(AND($O774=$Q$7,$B774&lt;'111'!$N$11),"x","")</f>
        <v/>
      </c>
      <c r="T774" s="66" t="str">
        <f>IF(AND($B774&gt;='112'!$M$9,$B774&lt;='112'!$N$9,OR($N774='112'!$I$6,$O774='112'!$I$6)),"x","")</f>
        <v/>
      </c>
      <c r="U774" s="66" t="str">
        <f>IF(AND($N774='112'!$I$6,$B774&lt;'112'!$M$9),"x","")</f>
        <v/>
      </c>
      <c r="V774" s="66" t="str">
        <f>IF(AND($O774='112'!$I$6,$B774&lt;'112'!$M$9),"x","")</f>
        <v/>
      </c>
      <c r="W774" s="66" t="str">
        <f>IF(AND('131-CT'!$H$9=TH!H774,OR(N774="131",O774="131")),"x","")</f>
        <v/>
      </c>
      <c r="X774" s="66" t="str">
        <f>IF(AND($B774&gt;='1331'!$I$9,$B774&lt;='1331'!$J$9,OR($N774=$X$7,$O774=$X$7)),"x","")</f>
        <v/>
      </c>
      <c r="Y774" s="66" t="str">
        <f>IF(AND($N774=$X$7,$B774&lt;'1331'!$I$9),"x","")</f>
        <v/>
      </c>
      <c r="Z774" s="66" t="str">
        <f>IF(AND($O774=$X$7,$B774&lt;'1331'!$I$9),"x","")</f>
        <v/>
      </c>
      <c r="AA774" s="66" t="str">
        <f>IF(AND('341-CT'!$H$9=H774,OR(LEFT(N774,3)=$AA$7,LEFT(O774,3)=$AA$7)),"x","")</f>
        <v/>
      </c>
      <c r="AB774" s="66" t="str">
        <f>IF(OR(TH!N774=TH!$AB$7,O774=TH!$AB$7),"x","")</f>
        <v/>
      </c>
      <c r="AC774" s="66" t="str">
        <f t="shared" si="64"/>
        <v/>
      </c>
      <c r="AD774" s="66" t="str">
        <f>IF(AND(MONTH(E774)='IN-NX'!$J$5,'IN-NX'!$D$7=D774,OR(LEFT(TH!N774,2)="15",LEFT(TH!O774,2)="15")),"x","")</f>
        <v/>
      </c>
      <c r="AE774" s="66" t="str">
        <f>IF(AND(OR(LEFT(TH!N774,2)="15",LEFT(TH!O774,2)="15"),'152-CT'!$J$8=TH!F774),"x","")</f>
        <v/>
      </c>
      <c r="AF774" s="66" t="str">
        <f>IF(AND(OR(LEFT(TH!N774,2)="15",LEFT(TH!O774,2)="15"),'THE KHO'!$E$7=TH!F774),"x","")</f>
        <v/>
      </c>
      <c r="AG774" s="66" t="str">
        <f>IF(AND(N774="1521",MONTH(C774)='BK NL'!$M$11),"x","")</f>
        <v/>
      </c>
    </row>
    <row r="775" spans="1:33" ht="15.75" hidden="1" customHeight="1">
      <c r="A775" s="397" t="str">
        <f>IF(B775&lt;&gt;"",IF(AND(B775&gt;=_TM1,B775&lt;=_TM2,OR(TH!N775="1111",TH!O775="1111")),TH!D775,""),"")</f>
        <v/>
      </c>
      <c r="B775" s="63" t="str">
        <f t="shared" si="63"/>
        <v/>
      </c>
      <c r="C775" s="362"/>
      <c r="D775" s="362"/>
      <c r="E775" s="362"/>
      <c r="F775" s="363"/>
      <c r="G775" s="389"/>
      <c r="H775" s="364"/>
      <c r="I775" s="514"/>
      <c r="J775" s="514"/>
      <c r="K775" s="506"/>
      <c r="L775" s="514"/>
      <c r="M775" s="65"/>
      <c r="N775" s="365"/>
      <c r="O775" s="365"/>
      <c r="P775" s="66" t="str">
        <f>IF(AND('331-CT'!$E$7=TH!H775,OR(N775="331",O775="331")),"x","")</f>
        <v/>
      </c>
      <c r="Q775" s="66" t="str">
        <f>IF(AND($B775&gt;='111'!$N$11,$B775&lt;='111'!$O$11,OR($N775=$Q$7,$O775=$Q$7)),"x","")</f>
        <v/>
      </c>
      <c r="R775" s="66" t="str">
        <f>IF(AND($N775=$Q$7,$B775&lt;'111'!$N$11),"x","")</f>
        <v/>
      </c>
      <c r="S775" s="66" t="str">
        <f>IF(AND($O775=$Q$7,$B775&lt;'111'!$N$11),"x","")</f>
        <v/>
      </c>
      <c r="T775" s="66" t="str">
        <f>IF(AND($B775&gt;='112'!$M$9,$B775&lt;='112'!$N$9,OR($N775='112'!$I$6,$O775='112'!$I$6)),"x","")</f>
        <v/>
      </c>
      <c r="U775" s="66" t="str">
        <f>IF(AND($N775='112'!$I$6,$B775&lt;'112'!$M$9),"x","")</f>
        <v/>
      </c>
      <c r="V775" s="66" t="str">
        <f>IF(AND($O775='112'!$I$6,$B775&lt;'112'!$M$9),"x","")</f>
        <v/>
      </c>
      <c r="W775" s="66" t="str">
        <f>IF(AND('131-CT'!$H$9=TH!H775,OR(N775="131",O775="131")),"x","")</f>
        <v/>
      </c>
      <c r="X775" s="66" t="str">
        <f>IF(AND($B775&gt;='1331'!$I$9,$B775&lt;='1331'!$J$9,OR($N775=$X$7,$O775=$X$7)),"x","")</f>
        <v/>
      </c>
      <c r="Y775" s="66" t="str">
        <f>IF(AND($N775=$X$7,$B775&lt;'1331'!$I$9),"x","")</f>
        <v/>
      </c>
      <c r="Z775" s="66" t="str">
        <f>IF(AND($O775=$X$7,$B775&lt;'1331'!$I$9),"x","")</f>
        <v/>
      </c>
      <c r="AA775" s="66" t="str">
        <f>IF(AND('341-CT'!$H$9=H775,OR(LEFT(N775,3)=$AA$7,LEFT(O775,3)=$AA$7)),"x","")</f>
        <v/>
      </c>
      <c r="AB775" s="66" t="str">
        <f>IF(OR(TH!N775=TH!$AB$7,O775=TH!$AB$7),"x","")</f>
        <v/>
      </c>
      <c r="AC775" s="66" t="str">
        <f t="shared" si="64"/>
        <v/>
      </c>
      <c r="AD775" s="66" t="str">
        <f>IF(AND(MONTH(E775)='IN-NX'!$J$5,'IN-NX'!$D$7=D775,OR(LEFT(TH!N775,2)="15",LEFT(TH!O775,2)="15")),"x","")</f>
        <v/>
      </c>
      <c r="AE775" s="66" t="str">
        <f>IF(AND(OR(LEFT(TH!N775,2)="15",LEFT(TH!O775,2)="15"),'152-CT'!$J$8=TH!F775),"x","")</f>
        <v/>
      </c>
      <c r="AF775" s="66" t="str">
        <f>IF(AND(OR(LEFT(TH!N775,2)="15",LEFT(TH!O775,2)="15"),'THE KHO'!$E$7=TH!F775),"x","")</f>
        <v/>
      </c>
      <c r="AG775" s="66" t="str">
        <f>IF(AND(N775="1521",MONTH(C775)='BK NL'!$M$11),"x","")</f>
        <v/>
      </c>
    </row>
    <row r="776" spans="1:33" ht="15.75" hidden="1" customHeight="1">
      <c r="A776" s="397" t="str">
        <f>IF(B776&lt;&gt;"",IF(AND(B776&gt;=_TM1,B776&lt;=_TM2,OR(TH!N776="1111",TH!O776="1111")),TH!D776,""),"")</f>
        <v/>
      </c>
      <c r="B776" s="63" t="str">
        <f t="shared" si="63"/>
        <v/>
      </c>
      <c r="C776" s="362"/>
      <c r="D776" s="362"/>
      <c r="E776" s="362"/>
      <c r="F776" s="363"/>
      <c r="G776" s="389"/>
      <c r="H776" s="364"/>
      <c r="I776" s="514"/>
      <c r="J776" s="514"/>
      <c r="K776" s="506"/>
      <c r="L776" s="514"/>
      <c r="M776" s="65"/>
      <c r="N776" s="365"/>
      <c r="O776" s="365"/>
      <c r="P776" s="66" t="str">
        <f>IF(AND('331-CT'!$E$7=TH!H776,OR(N776="331",O776="331")),"x","")</f>
        <v/>
      </c>
      <c r="Q776" s="66" t="str">
        <f>IF(AND($B776&gt;='111'!$N$11,$B776&lt;='111'!$O$11,OR($N776=$Q$7,$O776=$Q$7)),"x","")</f>
        <v/>
      </c>
      <c r="R776" s="66" t="str">
        <f>IF(AND($N776=$Q$7,$B776&lt;'111'!$N$11),"x","")</f>
        <v/>
      </c>
      <c r="S776" s="66" t="str">
        <f>IF(AND($O776=$Q$7,$B776&lt;'111'!$N$11),"x","")</f>
        <v/>
      </c>
      <c r="T776" s="66" t="str">
        <f>IF(AND($B776&gt;='112'!$M$9,$B776&lt;='112'!$N$9,OR($N776='112'!$I$6,$O776='112'!$I$6)),"x","")</f>
        <v/>
      </c>
      <c r="U776" s="66" t="str">
        <f>IF(AND($N776='112'!$I$6,$B776&lt;'112'!$M$9),"x","")</f>
        <v/>
      </c>
      <c r="V776" s="66" t="str">
        <f>IF(AND($O776='112'!$I$6,$B776&lt;'112'!$M$9),"x","")</f>
        <v/>
      </c>
      <c r="W776" s="66" t="str">
        <f>IF(AND('131-CT'!$H$9=TH!H776,OR(N776="131",O776="131")),"x","")</f>
        <v/>
      </c>
      <c r="X776" s="66" t="str">
        <f>IF(AND($B776&gt;='1331'!$I$9,$B776&lt;='1331'!$J$9,OR($N776=$X$7,$O776=$X$7)),"x","")</f>
        <v/>
      </c>
      <c r="Y776" s="66" t="str">
        <f>IF(AND($N776=$X$7,$B776&lt;'1331'!$I$9),"x","")</f>
        <v/>
      </c>
      <c r="Z776" s="66" t="str">
        <f>IF(AND($O776=$X$7,$B776&lt;'1331'!$I$9),"x","")</f>
        <v/>
      </c>
      <c r="AA776" s="66" t="str">
        <f>IF(AND('341-CT'!$H$9=H776,OR(LEFT(N776,3)=$AA$7,LEFT(O776,3)=$AA$7)),"x","")</f>
        <v/>
      </c>
      <c r="AB776" s="66" t="str">
        <f>IF(OR(TH!N776=TH!$AB$7,O776=TH!$AB$7),"x","")</f>
        <v/>
      </c>
      <c r="AC776" s="66" t="str">
        <f t="shared" si="64"/>
        <v/>
      </c>
      <c r="AD776" s="66" t="str">
        <f>IF(AND(MONTH(E776)='IN-NX'!$J$5,'IN-NX'!$D$7=D776,OR(LEFT(TH!N776,2)="15",LEFT(TH!O776,2)="15")),"x","")</f>
        <v/>
      </c>
      <c r="AE776" s="66" t="str">
        <f>IF(AND(OR(LEFT(TH!N776,2)="15",LEFT(TH!O776,2)="15"),'152-CT'!$J$8=TH!F776),"x","")</f>
        <v/>
      </c>
      <c r="AF776" s="66" t="str">
        <f>IF(AND(OR(LEFT(TH!N776,2)="15",LEFT(TH!O776,2)="15"),'THE KHO'!$E$7=TH!F776),"x","")</f>
        <v/>
      </c>
      <c r="AG776" s="66" t="str">
        <f>IF(AND(N776="1521",MONTH(C776)='BK NL'!$M$11),"x","")</f>
        <v/>
      </c>
    </row>
    <row r="777" spans="1:33" ht="15.75" hidden="1" customHeight="1">
      <c r="A777" s="397" t="str">
        <f>IF(B777&lt;&gt;"",IF(AND(B777&gt;=_TM1,B777&lt;=_TM2,OR(TH!N777="1111",TH!O777="1111")),TH!D777,""),"")</f>
        <v/>
      </c>
      <c r="B777" s="63" t="str">
        <f t="shared" si="63"/>
        <v/>
      </c>
      <c r="C777" s="362"/>
      <c r="D777" s="362"/>
      <c r="E777" s="362"/>
      <c r="F777" s="363"/>
      <c r="G777" s="389"/>
      <c r="H777" s="364"/>
      <c r="I777" s="514"/>
      <c r="J777" s="514"/>
      <c r="K777" s="506"/>
      <c r="L777" s="514"/>
      <c r="M777" s="65"/>
      <c r="N777" s="365"/>
      <c r="O777" s="365"/>
      <c r="P777" s="66" t="str">
        <f>IF(AND('331-CT'!$E$7=TH!H777,OR(N777="331",O777="331")),"x","")</f>
        <v/>
      </c>
      <c r="Q777" s="66" t="str">
        <f>IF(AND($B777&gt;='111'!$N$11,$B777&lt;='111'!$O$11,OR($N777=$Q$7,$O777=$Q$7)),"x","")</f>
        <v/>
      </c>
      <c r="R777" s="66" t="str">
        <f>IF(AND($N777=$Q$7,$B777&lt;'111'!$N$11),"x","")</f>
        <v/>
      </c>
      <c r="S777" s="66" t="str">
        <f>IF(AND($O777=$Q$7,$B777&lt;'111'!$N$11),"x","")</f>
        <v/>
      </c>
      <c r="T777" s="66" t="str">
        <f>IF(AND($B777&gt;='112'!$M$9,$B777&lt;='112'!$N$9,OR($N777='112'!$I$6,$O777='112'!$I$6)),"x","")</f>
        <v/>
      </c>
      <c r="U777" s="66" t="str">
        <f>IF(AND($N777='112'!$I$6,$B777&lt;'112'!$M$9),"x","")</f>
        <v/>
      </c>
      <c r="V777" s="66" t="str">
        <f>IF(AND($O777='112'!$I$6,$B777&lt;'112'!$M$9),"x","")</f>
        <v/>
      </c>
      <c r="W777" s="66" t="str">
        <f>IF(AND('131-CT'!$H$9=TH!H777,OR(N777="131",O777="131")),"x","")</f>
        <v/>
      </c>
      <c r="X777" s="66" t="str">
        <f>IF(AND($B777&gt;='1331'!$I$9,$B777&lt;='1331'!$J$9,OR($N777=$X$7,$O777=$X$7)),"x","")</f>
        <v/>
      </c>
      <c r="Y777" s="66" t="str">
        <f>IF(AND($N777=$X$7,$B777&lt;'1331'!$I$9),"x","")</f>
        <v/>
      </c>
      <c r="Z777" s="66" t="str">
        <f>IF(AND($O777=$X$7,$B777&lt;'1331'!$I$9),"x","")</f>
        <v/>
      </c>
      <c r="AA777" s="66" t="str">
        <f>IF(AND('341-CT'!$H$9=H777,OR(LEFT(N777,3)=$AA$7,LEFT(O777,3)=$AA$7)),"x","")</f>
        <v/>
      </c>
      <c r="AB777" s="66" t="str">
        <f>IF(OR(TH!N777=TH!$AB$7,O777=TH!$AB$7),"x","")</f>
        <v/>
      </c>
      <c r="AC777" s="66" t="str">
        <f t="shared" si="64"/>
        <v/>
      </c>
      <c r="AD777" s="66" t="str">
        <f>IF(AND(MONTH(E777)='IN-NX'!$J$5,'IN-NX'!$D$7=D777,OR(LEFT(TH!N777,2)="15",LEFT(TH!O777,2)="15")),"x","")</f>
        <v/>
      </c>
      <c r="AE777" s="66" t="str">
        <f>IF(AND(OR(LEFT(TH!N777,2)="15",LEFT(TH!O777,2)="15"),'152-CT'!$J$8=TH!F777),"x","")</f>
        <v/>
      </c>
      <c r="AF777" s="66" t="str">
        <f>IF(AND(OR(LEFT(TH!N777,2)="15",LEFT(TH!O777,2)="15"),'THE KHO'!$E$7=TH!F777),"x","")</f>
        <v/>
      </c>
      <c r="AG777" s="66" t="str">
        <f>IF(AND(N777="1521",MONTH(C777)='BK NL'!$M$11),"x","")</f>
        <v/>
      </c>
    </row>
    <row r="778" spans="1:33" ht="15.75" hidden="1" customHeight="1">
      <c r="A778" s="397" t="str">
        <f>IF(B778&lt;&gt;"",IF(AND(B778&gt;=_TM1,B778&lt;=_TM2,OR(TH!N778="1111",TH!O778="1111")),TH!D778,""),"")</f>
        <v/>
      </c>
      <c r="B778" s="63" t="str">
        <f t="shared" si="63"/>
        <v/>
      </c>
      <c r="C778" s="362"/>
      <c r="D778" s="362"/>
      <c r="E778" s="362"/>
      <c r="F778" s="363"/>
      <c r="G778" s="389"/>
      <c r="H778" s="364"/>
      <c r="I778" s="514"/>
      <c r="J778" s="514"/>
      <c r="K778" s="506"/>
      <c r="L778" s="514"/>
      <c r="M778" s="65"/>
      <c r="N778" s="365"/>
      <c r="O778" s="365"/>
      <c r="P778" s="66" t="str">
        <f>IF(AND('331-CT'!$E$7=TH!H778,OR(N778="331",O778="331")),"x","")</f>
        <v/>
      </c>
      <c r="Q778" s="66" t="str">
        <f>IF(AND($B778&gt;='111'!$N$11,$B778&lt;='111'!$O$11,OR($N778=$Q$7,$O778=$Q$7)),"x","")</f>
        <v/>
      </c>
      <c r="R778" s="66" t="str">
        <f>IF(AND($N778=$Q$7,$B778&lt;'111'!$N$11),"x","")</f>
        <v/>
      </c>
      <c r="S778" s="66" t="str">
        <f>IF(AND($O778=$Q$7,$B778&lt;'111'!$N$11),"x","")</f>
        <v/>
      </c>
      <c r="T778" s="66" t="str">
        <f>IF(AND($B778&gt;='112'!$M$9,$B778&lt;='112'!$N$9,OR($N778='112'!$I$6,$O778='112'!$I$6)),"x","")</f>
        <v/>
      </c>
      <c r="U778" s="66" t="str">
        <f>IF(AND($N778='112'!$I$6,$B778&lt;'112'!$M$9),"x","")</f>
        <v/>
      </c>
      <c r="V778" s="66" t="str">
        <f>IF(AND($O778='112'!$I$6,$B778&lt;'112'!$M$9),"x","")</f>
        <v/>
      </c>
      <c r="W778" s="66" t="str">
        <f>IF(AND('131-CT'!$H$9=TH!H778,OR(N778="131",O778="131")),"x","")</f>
        <v/>
      </c>
      <c r="X778" s="66" t="str">
        <f>IF(AND($B778&gt;='1331'!$I$9,$B778&lt;='1331'!$J$9,OR($N778=$X$7,$O778=$X$7)),"x","")</f>
        <v/>
      </c>
      <c r="Y778" s="66" t="str">
        <f>IF(AND($N778=$X$7,$B778&lt;'1331'!$I$9),"x","")</f>
        <v/>
      </c>
      <c r="Z778" s="66" t="str">
        <f>IF(AND($O778=$X$7,$B778&lt;'1331'!$I$9),"x","")</f>
        <v/>
      </c>
      <c r="AA778" s="66" t="str">
        <f>IF(AND('341-CT'!$H$9=H778,OR(LEFT(N778,3)=$AA$7,LEFT(O778,3)=$AA$7)),"x","")</f>
        <v/>
      </c>
      <c r="AB778" s="66" t="str">
        <f>IF(OR(TH!N778=TH!$AB$7,O778=TH!$AB$7),"x","")</f>
        <v/>
      </c>
      <c r="AC778" s="66" t="str">
        <f t="shared" si="64"/>
        <v/>
      </c>
      <c r="AD778" s="66" t="str">
        <f>IF(AND(MONTH(E778)='IN-NX'!$J$5,'IN-NX'!$D$7=D778,OR(LEFT(TH!N778,2)="15",LEFT(TH!O778,2)="15")),"x","")</f>
        <v/>
      </c>
      <c r="AE778" s="66" t="str">
        <f>IF(AND(OR(LEFT(TH!N778,2)="15",LEFT(TH!O778,2)="15"),'152-CT'!$J$8=TH!F778),"x","")</f>
        <v/>
      </c>
      <c r="AF778" s="66" t="str">
        <f>IF(AND(OR(LEFT(TH!N778,2)="15",LEFT(TH!O778,2)="15"),'THE KHO'!$E$7=TH!F778),"x","")</f>
        <v/>
      </c>
      <c r="AG778" s="66" t="str">
        <f>IF(AND(N778="1521",MONTH(C778)='BK NL'!$M$11),"x","")</f>
        <v/>
      </c>
    </row>
    <row r="779" spans="1:33" ht="15.75" hidden="1" customHeight="1">
      <c r="A779" s="397" t="str">
        <f>IF(B779&lt;&gt;"",IF(AND(B779&gt;=_TM1,B779&lt;=_TM2,OR(TH!N779="1111",TH!O779="1111")),TH!D779,""),"")</f>
        <v/>
      </c>
      <c r="B779" s="63" t="str">
        <f t="shared" si="63"/>
        <v/>
      </c>
      <c r="C779" s="362"/>
      <c r="D779" s="362"/>
      <c r="E779" s="362"/>
      <c r="F779" s="363"/>
      <c r="G779" s="389"/>
      <c r="H779" s="364"/>
      <c r="I779" s="514"/>
      <c r="J779" s="514"/>
      <c r="K779" s="506"/>
      <c r="L779" s="514"/>
      <c r="M779" s="65"/>
      <c r="N779" s="365"/>
      <c r="O779" s="365"/>
      <c r="P779" s="66" t="str">
        <f>IF(AND('331-CT'!$E$7=TH!H779,OR(N779="331",O779="331")),"x","")</f>
        <v/>
      </c>
      <c r="Q779" s="66" t="str">
        <f>IF(AND($B779&gt;='111'!$N$11,$B779&lt;='111'!$O$11,OR($N779=$Q$7,$O779=$Q$7)),"x","")</f>
        <v/>
      </c>
      <c r="R779" s="66" t="str">
        <f>IF(AND($N779=$Q$7,$B779&lt;'111'!$N$11),"x","")</f>
        <v/>
      </c>
      <c r="S779" s="66" t="str">
        <f>IF(AND($O779=$Q$7,$B779&lt;'111'!$N$11),"x","")</f>
        <v/>
      </c>
      <c r="T779" s="66" t="str">
        <f>IF(AND($B779&gt;='112'!$M$9,$B779&lt;='112'!$N$9,OR($N779='112'!$I$6,$O779='112'!$I$6)),"x","")</f>
        <v/>
      </c>
      <c r="U779" s="66" t="str">
        <f>IF(AND($N779='112'!$I$6,$B779&lt;'112'!$M$9),"x","")</f>
        <v/>
      </c>
      <c r="V779" s="66" t="str">
        <f>IF(AND($O779='112'!$I$6,$B779&lt;'112'!$M$9),"x","")</f>
        <v/>
      </c>
      <c r="W779" s="66" t="str">
        <f>IF(AND('131-CT'!$H$9=TH!H779,OR(N779="131",O779="131")),"x","")</f>
        <v/>
      </c>
      <c r="X779" s="66" t="str">
        <f>IF(AND($B779&gt;='1331'!$I$9,$B779&lt;='1331'!$J$9,OR($N779=$X$7,$O779=$X$7)),"x","")</f>
        <v/>
      </c>
      <c r="Y779" s="66" t="str">
        <f>IF(AND($N779=$X$7,$B779&lt;'1331'!$I$9),"x","")</f>
        <v/>
      </c>
      <c r="Z779" s="66" t="str">
        <f>IF(AND($O779=$X$7,$B779&lt;'1331'!$I$9),"x","")</f>
        <v/>
      </c>
      <c r="AA779" s="66" t="str">
        <f>IF(AND('341-CT'!$H$9=H779,OR(LEFT(N779,3)=$AA$7,LEFT(O779,3)=$AA$7)),"x","")</f>
        <v/>
      </c>
      <c r="AB779" s="66" t="str">
        <f>IF(OR(TH!N779=TH!$AB$7,O779=TH!$AB$7),"x","")</f>
        <v/>
      </c>
      <c r="AC779" s="66" t="str">
        <f t="shared" si="64"/>
        <v/>
      </c>
      <c r="AD779" s="66" t="str">
        <f>IF(AND(MONTH(E779)='IN-NX'!$J$5,'IN-NX'!$D$7=D779,OR(LEFT(TH!N779,2)="15",LEFT(TH!O779,2)="15")),"x","")</f>
        <v/>
      </c>
      <c r="AE779" s="66" t="str">
        <f>IF(AND(OR(LEFT(TH!N779,2)="15",LEFT(TH!O779,2)="15"),'152-CT'!$J$8=TH!F779),"x","")</f>
        <v/>
      </c>
      <c r="AF779" s="66" t="str">
        <f>IF(AND(OR(LEFT(TH!N779,2)="15",LEFT(TH!O779,2)="15"),'THE KHO'!$E$7=TH!F779),"x","")</f>
        <v/>
      </c>
      <c r="AG779" s="66" t="str">
        <f>IF(AND(N779="1521",MONTH(C779)='BK NL'!$M$11),"x","")</f>
        <v/>
      </c>
    </row>
    <row r="780" spans="1:33" ht="15.75" hidden="1" customHeight="1">
      <c r="A780" s="397" t="str">
        <f>IF(B780&lt;&gt;"",IF(AND(B780&gt;=_TM1,B780&lt;=_TM2,OR(TH!N780="1111",TH!O780="1111")),TH!D780,""),"")</f>
        <v/>
      </c>
      <c r="B780" s="63" t="str">
        <f t="shared" si="63"/>
        <v/>
      </c>
      <c r="C780" s="362"/>
      <c r="D780" s="362"/>
      <c r="E780" s="362"/>
      <c r="F780" s="363"/>
      <c r="G780" s="389"/>
      <c r="H780" s="364"/>
      <c r="I780" s="514"/>
      <c r="J780" s="514"/>
      <c r="K780" s="506"/>
      <c r="L780" s="514"/>
      <c r="M780" s="65"/>
      <c r="N780" s="365"/>
      <c r="O780" s="365"/>
      <c r="P780" s="66" t="str">
        <f>IF(AND('331-CT'!$E$7=TH!H780,OR(N780="331",O780="331")),"x","")</f>
        <v/>
      </c>
      <c r="Q780" s="66" t="str">
        <f>IF(AND($B780&gt;='111'!$N$11,$B780&lt;='111'!$O$11,OR($N780=$Q$7,$O780=$Q$7)),"x","")</f>
        <v/>
      </c>
      <c r="R780" s="66" t="str">
        <f>IF(AND($N780=$Q$7,$B780&lt;'111'!$N$11),"x","")</f>
        <v/>
      </c>
      <c r="S780" s="66" t="str">
        <f>IF(AND($O780=$Q$7,$B780&lt;'111'!$N$11),"x","")</f>
        <v/>
      </c>
      <c r="T780" s="66" t="str">
        <f>IF(AND($B780&gt;='112'!$M$9,$B780&lt;='112'!$N$9,OR($N780='112'!$I$6,$O780='112'!$I$6)),"x","")</f>
        <v/>
      </c>
      <c r="U780" s="66" t="str">
        <f>IF(AND($N780='112'!$I$6,$B780&lt;'112'!$M$9),"x","")</f>
        <v/>
      </c>
      <c r="V780" s="66" t="str">
        <f>IF(AND($O780='112'!$I$6,$B780&lt;'112'!$M$9),"x","")</f>
        <v/>
      </c>
      <c r="W780" s="66" t="str">
        <f>IF(AND('131-CT'!$H$9=TH!H780,OR(N780="131",O780="131")),"x","")</f>
        <v/>
      </c>
      <c r="X780" s="66" t="str">
        <f>IF(AND($B780&gt;='1331'!$I$9,$B780&lt;='1331'!$J$9,OR($N780=$X$7,$O780=$X$7)),"x","")</f>
        <v/>
      </c>
      <c r="Y780" s="66" t="str">
        <f>IF(AND($N780=$X$7,$B780&lt;'1331'!$I$9),"x","")</f>
        <v/>
      </c>
      <c r="Z780" s="66" t="str">
        <f>IF(AND($O780=$X$7,$B780&lt;'1331'!$I$9),"x","")</f>
        <v/>
      </c>
      <c r="AA780" s="66" t="str">
        <f>IF(AND('341-CT'!$H$9=H780,OR(LEFT(N780,3)=$AA$7,LEFT(O780,3)=$AA$7)),"x","")</f>
        <v/>
      </c>
      <c r="AB780" s="66" t="str">
        <f>IF(OR(TH!N780=TH!$AB$7,O780=TH!$AB$7),"x","")</f>
        <v/>
      </c>
      <c r="AC780" s="66" t="str">
        <f t="shared" si="64"/>
        <v/>
      </c>
      <c r="AD780" s="66" t="str">
        <f>IF(AND(MONTH(E780)='IN-NX'!$J$5,'IN-NX'!$D$7=D780,OR(LEFT(TH!N780,2)="15",LEFT(TH!O780,2)="15")),"x","")</f>
        <v/>
      </c>
      <c r="AE780" s="66" t="str">
        <f>IF(AND(OR(LEFT(TH!N780,2)="15",LEFT(TH!O780,2)="15"),'152-CT'!$J$8=TH!F780),"x","")</f>
        <v/>
      </c>
      <c r="AF780" s="66" t="str">
        <f>IF(AND(OR(LEFT(TH!N780,2)="15",LEFT(TH!O780,2)="15"),'THE KHO'!$E$7=TH!F780),"x","")</f>
        <v/>
      </c>
      <c r="AG780" s="66" t="str">
        <f>IF(AND(N780="1521",MONTH(C780)='BK NL'!$M$11),"x","")</f>
        <v/>
      </c>
    </row>
    <row r="781" spans="1:33" ht="15.75" hidden="1" customHeight="1">
      <c r="A781" s="397" t="str">
        <f>IF(B781&lt;&gt;"",IF(AND(B781&gt;=_TM1,B781&lt;=_TM2,OR(TH!N781="1111",TH!O781="1111")),TH!D781,""),"")</f>
        <v/>
      </c>
      <c r="B781" s="63" t="str">
        <f t="shared" ref="B781:B799" si="65">IF(C781&lt;&gt;"",MONTH(C781),"")</f>
        <v/>
      </c>
      <c r="C781" s="362"/>
      <c r="D781" s="362"/>
      <c r="E781" s="362"/>
      <c r="F781" s="363"/>
      <c r="G781" s="389"/>
      <c r="H781" s="364"/>
      <c r="I781" s="514"/>
      <c r="J781" s="514"/>
      <c r="K781" s="506"/>
      <c r="L781" s="514"/>
      <c r="M781" s="65"/>
      <c r="N781" s="365"/>
      <c r="O781" s="365"/>
      <c r="P781" s="66" t="str">
        <f>IF(AND('331-CT'!$E$7=TH!H781,OR(N781="331",O781="331")),"x","")</f>
        <v/>
      </c>
      <c r="Q781" s="66" t="str">
        <f>IF(AND($B781&gt;='111'!$N$11,$B781&lt;='111'!$O$11,OR($N781=$Q$7,$O781=$Q$7)),"x","")</f>
        <v/>
      </c>
      <c r="R781" s="66" t="str">
        <f>IF(AND($N781=$Q$7,$B781&lt;'111'!$N$11),"x","")</f>
        <v/>
      </c>
      <c r="S781" s="66" t="str">
        <f>IF(AND($O781=$Q$7,$B781&lt;'111'!$N$11),"x","")</f>
        <v/>
      </c>
      <c r="T781" s="66" t="str">
        <f>IF(AND($B781&gt;='112'!$M$9,$B781&lt;='112'!$N$9,OR($N781='112'!$I$6,$O781='112'!$I$6)),"x","")</f>
        <v/>
      </c>
      <c r="U781" s="66" t="str">
        <f>IF(AND($N781='112'!$I$6,$B781&lt;'112'!$M$9),"x","")</f>
        <v/>
      </c>
      <c r="V781" s="66" t="str">
        <f>IF(AND($O781='112'!$I$6,$B781&lt;'112'!$M$9),"x","")</f>
        <v/>
      </c>
      <c r="W781" s="66" t="str">
        <f>IF(AND('131-CT'!$H$9=TH!H781,OR(N781="131",O781="131")),"x","")</f>
        <v/>
      </c>
      <c r="X781" s="66" t="str">
        <f>IF(AND($B781&gt;='1331'!$I$9,$B781&lt;='1331'!$J$9,OR($N781=$X$7,$O781=$X$7)),"x","")</f>
        <v/>
      </c>
      <c r="Y781" s="66" t="str">
        <f>IF(AND($N781=$X$7,$B781&lt;'1331'!$I$9),"x","")</f>
        <v/>
      </c>
      <c r="Z781" s="66" t="str">
        <f>IF(AND($O781=$X$7,$B781&lt;'1331'!$I$9),"x","")</f>
        <v/>
      </c>
      <c r="AA781" s="66" t="str">
        <f>IF(AND('341-CT'!$H$9=H781,OR(LEFT(N781,3)=$AA$7,LEFT(O781,3)=$AA$7)),"x","")</f>
        <v/>
      </c>
      <c r="AB781" s="66" t="str">
        <f>IF(OR(TH!N781=TH!$AB$7,O781=TH!$AB$7),"x","")</f>
        <v/>
      </c>
      <c r="AC781" s="66" t="str">
        <f t="shared" si="64"/>
        <v/>
      </c>
      <c r="AD781" s="66" t="str">
        <f>IF(AND(MONTH(E781)='IN-NX'!$J$5,'IN-NX'!$D$7=D781,OR(LEFT(TH!N781,2)="15",LEFT(TH!O781,2)="15")),"x","")</f>
        <v/>
      </c>
      <c r="AE781" s="66" t="str">
        <f>IF(AND(OR(LEFT(TH!N781,2)="15",LEFT(TH!O781,2)="15"),'152-CT'!$J$8=TH!F781),"x","")</f>
        <v/>
      </c>
      <c r="AF781" s="66" t="str">
        <f>IF(AND(OR(LEFT(TH!N781,2)="15",LEFT(TH!O781,2)="15"),'THE KHO'!$E$7=TH!F781),"x","")</f>
        <v/>
      </c>
      <c r="AG781" s="66" t="str">
        <f>IF(AND(N781="1521",MONTH(C781)='BK NL'!$M$11),"x","")</f>
        <v/>
      </c>
    </row>
    <row r="782" spans="1:33" ht="15.75" hidden="1" customHeight="1">
      <c r="A782" s="397" t="str">
        <f>IF(B782&lt;&gt;"",IF(AND(B782&gt;=_TM1,B782&lt;=_TM2,OR(TH!N782="1111",TH!O782="1111")),TH!D782,""),"")</f>
        <v/>
      </c>
      <c r="B782" s="63" t="str">
        <f t="shared" si="65"/>
        <v/>
      </c>
      <c r="C782" s="64"/>
      <c r="D782" s="64"/>
      <c r="E782" s="64"/>
      <c r="F782" s="67"/>
      <c r="G782" s="375"/>
      <c r="H782" s="404"/>
      <c r="I782" s="515"/>
      <c r="J782" s="515"/>
      <c r="K782" s="507"/>
      <c r="L782" s="515"/>
      <c r="M782" s="390"/>
      <c r="N782" s="365"/>
      <c r="O782" s="66"/>
      <c r="P782" s="66" t="str">
        <f>IF(AND('331-CT'!$E$7=TH!H782,OR(N782="331",O782="331")),"x","")</f>
        <v/>
      </c>
      <c r="Q782" s="66" t="str">
        <f>IF(AND($B782&gt;='111'!$N$11,$B782&lt;='111'!$O$11,OR($N782=$Q$7,$O782=$Q$7)),"x","")</f>
        <v/>
      </c>
      <c r="R782" s="66" t="str">
        <f>IF(AND($N782=$Q$7,$B782&lt;'111'!$N$11),"x","")</f>
        <v/>
      </c>
      <c r="S782" s="66" t="str">
        <f>IF(AND($O782=$Q$7,$B782&lt;'111'!$N$11),"x","")</f>
        <v/>
      </c>
      <c r="T782" s="66" t="str">
        <f>IF(AND($B782&gt;='112'!$M$9,$B782&lt;='112'!$N$9,OR($N782='112'!$I$6,$O782='112'!$I$6)),"x","")</f>
        <v/>
      </c>
      <c r="U782" s="66" t="str">
        <f>IF(AND($N782='112'!$I$6,$B782&lt;'112'!$M$9),"x","")</f>
        <v/>
      </c>
      <c r="V782" s="66" t="str">
        <f>IF(AND($O782='112'!$I$6,$B782&lt;'112'!$M$9),"x","")</f>
        <v/>
      </c>
      <c r="W782" s="66" t="str">
        <f>IF(AND('131-CT'!$H$9=TH!H782,OR(N782="131",O782="131")),"x","")</f>
        <v/>
      </c>
      <c r="X782" s="66" t="str">
        <f>IF(AND($B782&gt;='1331'!$I$9,$B782&lt;='1331'!$J$9,OR($N782=$X$7,$O782=$X$7)),"x","")</f>
        <v/>
      </c>
      <c r="Y782" s="66" t="str">
        <f>IF(AND($N782=$X$7,$B782&lt;'1331'!$I$9),"x","")</f>
        <v/>
      </c>
      <c r="Z782" s="66" t="str">
        <f>IF(AND($O782=$X$7,$B782&lt;'1331'!$I$9),"x","")</f>
        <v/>
      </c>
      <c r="AA782" s="66" t="str">
        <f>IF(AND('341-CT'!$H$9=H782,OR(LEFT(N782,3)=$AA$7,LEFT(O782,3)=$AA$7)),"x","")</f>
        <v/>
      </c>
      <c r="AB782" s="66" t="str">
        <f>IF(OR(TH!N782=TH!$AB$7,O782=TH!$AB$7),"x","")</f>
        <v/>
      </c>
      <c r="AC782" s="66" t="str">
        <f t="shared" si="64"/>
        <v/>
      </c>
      <c r="AD782" s="66" t="str">
        <f>IF(AND(MONTH(E782)='IN-NX'!$J$5,'IN-NX'!$D$7=D782,OR(LEFT(TH!N782,2)="15",LEFT(TH!O782,2)="15")),"x","")</f>
        <v/>
      </c>
      <c r="AE782" s="66" t="str">
        <f>IF(AND(OR(LEFT(TH!N782,2)="15",LEFT(TH!O782,2)="15"),'152-CT'!$J$8=TH!F782),"x","")</f>
        <v/>
      </c>
      <c r="AF782" s="66" t="str">
        <f>IF(AND(OR(LEFT(TH!N782,2)="15",LEFT(TH!O782,2)="15"),'THE KHO'!$E$7=TH!F782),"x","")</f>
        <v/>
      </c>
      <c r="AG782" s="66" t="str">
        <f>IF(AND(N782="1521",MONTH(C782)='BK NL'!$M$11),"x","")</f>
        <v/>
      </c>
    </row>
    <row r="783" spans="1:33" ht="15.75" hidden="1" customHeight="1">
      <c r="A783" s="397" t="str">
        <f>IF(B783&lt;&gt;"",IF(AND(B783&gt;=_TM1,B783&lt;=_TM2,OR(TH!N783="1111",TH!O783="1111")),TH!D783,""),"")</f>
        <v/>
      </c>
      <c r="B783" s="63" t="str">
        <f t="shared" si="65"/>
        <v/>
      </c>
      <c r="C783" s="64"/>
      <c r="D783" s="64"/>
      <c r="E783" s="64"/>
      <c r="F783" s="67"/>
      <c r="G783" s="375"/>
      <c r="H783" s="404"/>
      <c r="I783" s="515"/>
      <c r="J783" s="515"/>
      <c r="K783" s="507"/>
      <c r="L783" s="515"/>
      <c r="M783" s="65"/>
      <c r="N783" s="365"/>
      <c r="O783" s="66"/>
      <c r="P783" s="66" t="str">
        <f>IF(AND('331-CT'!$E$7=TH!H783,OR(N783="331",O783="331")),"x","")</f>
        <v/>
      </c>
      <c r="Q783" s="66" t="str">
        <f>IF(AND($B783&gt;='111'!$N$11,$B783&lt;='111'!$O$11,OR($N783=$Q$7,$O783=$Q$7)),"x","")</f>
        <v/>
      </c>
      <c r="R783" s="66" t="str">
        <f>IF(AND($N783=$Q$7,$B783&lt;'111'!$N$11),"x","")</f>
        <v/>
      </c>
      <c r="S783" s="66" t="str">
        <f>IF(AND($O783=$Q$7,$B783&lt;'111'!$N$11),"x","")</f>
        <v/>
      </c>
      <c r="T783" s="66" t="str">
        <f>IF(AND($B783&gt;='112'!$M$9,$B783&lt;='112'!$N$9,OR($N783='112'!$I$6,$O783='112'!$I$6)),"x","")</f>
        <v/>
      </c>
      <c r="U783" s="66" t="str">
        <f>IF(AND($N783='112'!$I$6,$B783&lt;'112'!$M$9),"x","")</f>
        <v/>
      </c>
      <c r="V783" s="66" t="str">
        <f>IF(AND($O783='112'!$I$6,$B783&lt;'112'!$M$9),"x","")</f>
        <v/>
      </c>
      <c r="W783" s="66" t="str">
        <f>IF(AND('131-CT'!$H$9=TH!H783,OR(N783="131",O783="131")),"x","")</f>
        <v/>
      </c>
      <c r="X783" s="66" t="str">
        <f>IF(AND($B783&gt;='1331'!$I$9,$B783&lt;='1331'!$J$9,OR($N783=$X$7,$O783=$X$7)),"x","")</f>
        <v/>
      </c>
      <c r="Y783" s="66" t="str">
        <f>IF(AND($N783=$X$7,$B783&lt;'1331'!$I$9),"x","")</f>
        <v/>
      </c>
      <c r="Z783" s="66" t="str">
        <f>IF(AND($O783=$X$7,$B783&lt;'1331'!$I$9),"x","")</f>
        <v/>
      </c>
      <c r="AA783" s="66" t="str">
        <f>IF(AND('341-CT'!$H$9=H783,OR(LEFT(N783,3)=$AA$7,LEFT(O783,3)=$AA$7)),"x","")</f>
        <v/>
      </c>
      <c r="AB783" s="66" t="str">
        <f>IF(OR(TH!N783=TH!$AB$7,O783=TH!$AB$7),"x","")</f>
        <v/>
      </c>
      <c r="AC783" s="66" t="str">
        <f t="shared" si="64"/>
        <v/>
      </c>
      <c r="AD783" s="66" t="str">
        <f>IF(AND(MONTH(E783)='IN-NX'!$J$5,'IN-NX'!$D$7=D783,OR(LEFT(TH!N783,2)="15",LEFT(TH!O783,2)="15")),"x","")</f>
        <v/>
      </c>
      <c r="AE783" s="66" t="str">
        <f>IF(AND(OR(LEFT(TH!N783,2)="15",LEFT(TH!O783,2)="15"),'152-CT'!$J$8=TH!F783),"x","")</f>
        <v/>
      </c>
      <c r="AF783" s="66" t="str">
        <f>IF(AND(OR(LEFT(TH!N783,2)="15",LEFT(TH!O783,2)="15"),'THE KHO'!$E$7=TH!F783),"x","")</f>
        <v/>
      </c>
      <c r="AG783" s="66" t="str">
        <f>IF(AND(N783="1521",MONTH(C783)='BK NL'!$M$11),"x","")</f>
        <v/>
      </c>
    </row>
    <row r="784" spans="1:33" ht="15.75" hidden="1" customHeight="1">
      <c r="A784" s="397" t="str">
        <f>IF(B784&lt;&gt;"",IF(AND(B784&gt;=_TM1,B784&lt;=_TM2,OR(TH!N784="1111",TH!O784="1111")),TH!D784,""),"")</f>
        <v/>
      </c>
      <c r="B784" s="63" t="str">
        <f t="shared" si="65"/>
        <v/>
      </c>
      <c r="C784" s="64"/>
      <c r="D784" s="64"/>
      <c r="E784" s="64"/>
      <c r="F784" s="67"/>
      <c r="G784" s="375"/>
      <c r="H784" s="74"/>
      <c r="I784" s="514"/>
      <c r="J784" s="514"/>
      <c r="K784" s="506"/>
      <c r="L784" s="514"/>
      <c r="M784" s="65"/>
      <c r="N784" s="66"/>
      <c r="O784" s="66"/>
      <c r="P784" s="66" t="str">
        <f>IF(AND('331-CT'!$E$7=TH!H784,OR(N784="331",O784="331")),"x","")</f>
        <v/>
      </c>
      <c r="Q784" s="66" t="str">
        <f>IF(AND($B784&gt;='111'!$N$11,$B784&lt;='111'!$O$11,OR($N784=$Q$7,$O784=$Q$7)),"x","")</f>
        <v/>
      </c>
      <c r="R784" s="66" t="str">
        <f>IF(AND($N784=$Q$7,$B784&lt;'111'!$N$11),"x","")</f>
        <v/>
      </c>
      <c r="S784" s="66" t="str">
        <f>IF(AND($O784=$Q$7,$B784&lt;'111'!$N$11),"x","")</f>
        <v/>
      </c>
      <c r="T784" s="66" t="str">
        <f>IF(AND($B784&gt;='112'!$M$9,$B784&lt;='112'!$N$9,OR($N784='112'!$I$6,$O784='112'!$I$6)),"x","")</f>
        <v/>
      </c>
      <c r="U784" s="66" t="str">
        <f>IF(AND($N784='112'!$I$6,$B784&lt;'112'!$M$9),"x","")</f>
        <v/>
      </c>
      <c r="V784" s="66" t="str">
        <f>IF(AND($O784='112'!$I$6,$B784&lt;'112'!$M$9),"x","")</f>
        <v/>
      </c>
      <c r="W784" s="66" t="str">
        <f>IF(AND('131-CT'!$H$9=TH!H784,OR(N784="131",O784="131")),"x","")</f>
        <v/>
      </c>
      <c r="X784" s="66" t="str">
        <f>IF(AND($B784&gt;='1331'!$I$9,$B784&lt;='1331'!$J$9,OR($N784=$X$7,$O784=$X$7)),"x","")</f>
        <v/>
      </c>
      <c r="Y784" s="66" t="str">
        <f>IF(AND($N784=$X$7,$B784&lt;'1331'!$I$9),"x","")</f>
        <v/>
      </c>
      <c r="Z784" s="66" t="str">
        <f>IF(AND($O784=$X$7,$B784&lt;'1331'!$I$9),"x","")</f>
        <v/>
      </c>
      <c r="AA784" s="66" t="str">
        <f>IF(AND('341-CT'!$H$9=H784,OR(LEFT(N784,3)=$AA$7,LEFT(O784,3)=$AA$7)),"x","")</f>
        <v/>
      </c>
      <c r="AB784" s="66" t="str">
        <f>IF(OR(TH!N784=TH!$AB$7,O784=TH!$AB$7),"x","")</f>
        <v/>
      </c>
      <c r="AC784" s="66" t="str">
        <f t="shared" si="64"/>
        <v/>
      </c>
      <c r="AD784" s="66" t="str">
        <f>IF(AND(MONTH(E784)='IN-NX'!$J$5,'IN-NX'!$D$7=D784,OR(LEFT(TH!N784,2)="15",LEFT(TH!O784,2)="15")),"x","")</f>
        <v/>
      </c>
      <c r="AE784" s="66" t="str">
        <f>IF(AND(OR(LEFT(TH!N784,2)="15",LEFT(TH!O784,2)="15"),'152-CT'!$J$8=TH!F784),"x","")</f>
        <v/>
      </c>
      <c r="AF784" s="66" t="str">
        <f>IF(AND(OR(LEFT(TH!N784,2)="15",LEFT(TH!O784,2)="15"),'THE KHO'!$E$7=TH!F784),"x","")</f>
        <v/>
      </c>
      <c r="AG784" s="66" t="str">
        <f>IF(AND(N784="1521",MONTH(C784)='BK NL'!$M$11),"x","")</f>
        <v/>
      </c>
    </row>
    <row r="785" spans="1:33" ht="15.75" hidden="1" customHeight="1">
      <c r="A785" s="397" t="str">
        <f>IF(B785&lt;&gt;"",IF(AND(B785&gt;=_TM1,B785&lt;=_TM2,OR(TH!N785="1111",TH!O785="1111")),TH!D785,""),"")</f>
        <v/>
      </c>
      <c r="B785" s="63" t="str">
        <f t="shared" si="65"/>
        <v/>
      </c>
      <c r="C785" s="64"/>
      <c r="D785" s="64"/>
      <c r="E785" s="64"/>
      <c r="F785" s="67"/>
      <c r="G785" s="375"/>
      <c r="H785" s="74"/>
      <c r="I785" s="514"/>
      <c r="J785" s="514"/>
      <c r="K785" s="506"/>
      <c r="L785" s="514"/>
      <c r="M785" s="65"/>
      <c r="N785" s="66"/>
      <c r="O785" s="66"/>
      <c r="P785" s="66" t="str">
        <f>IF(AND('331-CT'!$E$7=TH!H785,OR(N785="331",O785="331")),"x","")</f>
        <v/>
      </c>
      <c r="Q785" s="66" t="str">
        <f>IF(AND($B785&gt;='111'!$N$11,$B785&lt;='111'!$O$11,OR($N785=$Q$7,$O785=$Q$7)),"x","")</f>
        <v/>
      </c>
      <c r="R785" s="66" t="str">
        <f>IF(AND($N785=$Q$7,$B785&lt;'111'!$N$11),"x","")</f>
        <v/>
      </c>
      <c r="S785" s="66" t="str">
        <f>IF(AND($O785=$Q$7,$B785&lt;'111'!$N$11),"x","")</f>
        <v/>
      </c>
      <c r="T785" s="66" t="str">
        <f>IF(AND($B785&gt;='112'!$M$9,$B785&lt;='112'!$N$9,OR($N785='112'!$I$6,$O785='112'!$I$6)),"x","")</f>
        <v/>
      </c>
      <c r="U785" s="66" t="str">
        <f>IF(AND($N785='112'!$I$6,$B785&lt;'112'!$M$9),"x","")</f>
        <v/>
      </c>
      <c r="V785" s="66" t="str">
        <f>IF(AND($O785='112'!$I$6,$B785&lt;'112'!$M$9),"x","")</f>
        <v/>
      </c>
      <c r="W785" s="66" t="str">
        <f>IF(AND('131-CT'!$H$9=TH!H785,OR(N785="131",O785="131")),"x","")</f>
        <v/>
      </c>
      <c r="X785" s="66" t="str">
        <f>IF(AND($B785&gt;='1331'!$I$9,$B785&lt;='1331'!$J$9,OR($N785=$X$7,$O785=$X$7)),"x","")</f>
        <v/>
      </c>
      <c r="Y785" s="66" t="str">
        <f>IF(AND($N785=$X$7,$B785&lt;'1331'!$I$9),"x","")</f>
        <v/>
      </c>
      <c r="Z785" s="66" t="str">
        <f>IF(AND($O785=$X$7,$B785&lt;'1331'!$I$9),"x","")</f>
        <v/>
      </c>
      <c r="AA785" s="66" t="str">
        <f>IF(AND('341-CT'!$H$9=H785,OR(LEFT(N785,3)=$AA$7,LEFT(O785,3)=$AA$7)),"x","")</f>
        <v/>
      </c>
      <c r="AB785" s="66" t="str">
        <f>IF(OR(TH!N785=TH!$AB$7,O785=TH!$AB$7),"x","")</f>
        <v/>
      </c>
      <c r="AC785" s="66" t="str">
        <f t="shared" si="64"/>
        <v/>
      </c>
      <c r="AD785" s="66" t="str">
        <f>IF(AND(MONTH(E785)='IN-NX'!$J$5,'IN-NX'!$D$7=D785,OR(LEFT(TH!N785,2)="15",LEFT(TH!O785,2)="15")),"x","")</f>
        <v/>
      </c>
      <c r="AE785" s="66" t="str">
        <f>IF(AND(OR(LEFT(TH!N785,2)="15",LEFT(TH!O785,2)="15"),'152-CT'!$J$8=TH!F785),"x","")</f>
        <v/>
      </c>
      <c r="AF785" s="66" t="str">
        <f>IF(AND(OR(LEFT(TH!N785,2)="15",LEFT(TH!O785,2)="15"),'THE KHO'!$E$7=TH!F785),"x","")</f>
        <v/>
      </c>
      <c r="AG785" s="66" t="str">
        <f>IF(AND(N785="1521",MONTH(C785)='BK NL'!$M$11),"x","")</f>
        <v/>
      </c>
    </row>
    <row r="786" spans="1:33" ht="15.75" hidden="1" customHeight="1">
      <c r="A786" s="397" t="str">
        <f>IF(B786&lt;&gt;"",IF(AND(B786&gt;=_TM1,B786&lt;=_TM2,OR(TH!N786="1111",TH!O786="1111")),TH!D786,""),"")</f>
        <v/>
      </c>
      <c r="B786" s="63" t="str">
        <f t="shared" si="65"/>
        <v/>
      </c>
      <c r="C786" s="64"/>
      <c r="D786" s="64"/>
      <c r="E786" s="64"/>
      <c r="F786" s="67"/>
      <c r="G786" s="375"/>
      <c r="H786" s="74"/>
      <c r="I786" s="514"/>
      <c r="J786" s="514"/>
      <c r="K786" s="506"/>
      <c r="L786" s="514"/>
      <c r="M786" s="65"/>
      <c r="N786" s="66"/>
      <c r="O786" s="66"/>
      <c r="P786" s="66" t="str">
        <f>IF(AND('331-CT'!$E$7=TH!H786,OR(N786="331",O786="331")),"x","")</f>
        <v/>
      </c>
      <c r="Q786" s="66" t="str">
        <f>IF(AND($B786&gt;='111'!$N$11,$B786&lt;='111'!$O$11,OR($N786=$Q$7,$O786=$Q$7)),"x","")</f>
        <v/>
      </c>
      <c r="R786" s="66" t="str">
        <f>IF(AND($N786=$Q$7,$B786&lt;'111'!$N$11),"x","")</f>
        <v/>
      </c>
      <c r="S786" s="66" t="str">
        <f>IF(AND($O786=$Q$7,$B786&lt;'111'!$N$11),"x","")</f>
        <v/>
      </c>
      <c r="T786" s="66" t="str">
        <f>IF(AND($B786&gt;='112'!$M$9,$B786&lt;='112'!$N$9,OR($N786='112'!$I$6,$O786='112'!$I$6)),"x","")</f>
        <v/>
      </c>
      <c r="U786" s="66" t="str">
        <f>IF(AND($N786='112'!$I$6,$B786&lt;'112'!$M$9),"x","")</f>
        <v/>
      </c>
      <c r="V786" s="66" t="str">
        <f>IF(AND($O786='112'!$I$6,$B786&lt;'112'!$M$9),"x","")</f>
        <v/>
      </c>
      <c r="W786" s="66" t="str">
        <f>IF(AND('131-CT'!$H$9=TH!H786,OR(N786="131",O786="131")),"x","")</f>
        <v/>
      </c>
      <c r="X786" s="66" t="str">
        <f>IF(AND($B786&gt;='1331'!$I$9,$B786&lt;='1331'!$J$9,OR($N786=$X$7,$O786=$X$7)),"x","")</f>
        <v/>
      </c>
      <c r="Y786" s="66" t="str">
        <f>IF(AND($N786=$X$7,$B786&lt;'1331'!$I$9),"x","")</f>
        <v/>
      </c>
      <c r="Z786" s="66" t="str">
        <f>IF(AND($O786=$X$7,$B786&lt;'1331'!$I$9),"x","")</f>
        <v/>
      </c>
      <c r="AA786" s="66" t="str">
        <f>IF(AND('341-CT'!$H$9=H786,OR(LEFT(N786,3)=$AA$7,LEFT(O786,3)=$AA$7)),"x","")</f>
        <v/>
      </c>
      <c r="AB786" s="66" t="str">
        <f>IF(OR(TH!N786=TH!$AB$7,O786=TH!$AB$7),"x","")</f>
        <v/>
      </c>
      <c r="AC786" s="66" t="str">
        <f t="shared" ref="AC786:AC813" si="66">IF(AND(1&lt;=$B786,$B786&lt;=3),"1",IF(AND(4&lt;=$B786,$B786&lt;=6),"2",IF(AND(7&lt;=$B786,$B786&lt;=9),"3",IF(AND(10&lt;=$B786,$B786&lt;=12),"4",""))))</f>
        <v/>
      </c>
      <c r="AD786" s="66" t="str">
        <f>IF(AND(MONTH(E786)='IN-NX'!$J$5,'IN-NX'!$D$7=D786,OR(LEFT(TH!N786,2)="15",LEFT(TH!O786,2)="15")),"x","")</f>
        <v/>
      </c>
      <c r="AE786" s="66" t="str">
        <f>IF(AND(OR(LEFT(TH!N786,2)="15",LEFT(TH!O786,2)="15"),'152-CT'!$J$8=TH!F786),"x","")</f>
        <v/>
      </c>
      <c r="AF786" s="66" t="str">
        <f>IF(AND(OR(LEFT(TH!N786,2)="15",LEFT(TH!O786,2)="15"),'THE KHO'!$E$7=TH!F786),"x","")</f>
        <v/>
      </c>
      <c r="AG786" s="66" t="str">
        <f>IF(AND(N786="1521",MONTH(C786)='BK NL'!$M$11),"x","")</f>
        <v/>
      </c>
    </row>
    <row r="787" spans="1:33" ht="15.75" hidden="1" customHeight="1">
      <c r="A787" s="397" t="str">
        <f>IF(B787&lt;&gt;"",IF(AND(B787&gt;=_TM1,B787&lt;=_TM2,OR(TH!N787="1111",TH!O787="1111")),TH!D787,""),"")</f>
        <v/>
      </c>
      <c r="B787" s="63" t="str">
        <f t="shared" si="65"/>
        <v/>
      </c>
      <c r="C787" s="64"/>
      <c r="D787" s="64"/>
      <c r="E787" s="362"/>
      <c r="F787" s="363"/>
      <c r="G787" s="361"/>
      <c r="H787" s="74"/>
      <c r="I787" s="514"/>
      <c r="J787" s="514"/>
      <c r="K787" s="506"/>
      <c r="L787" s="514"/>
      <c r="M787" s="65"/>
      <c r="N787" s="365"/>
      <c r="O787" s="365"/>
      <c r="P787" s="66" t="str">
        <f>IF(AND('331-CT'!$E$7=TH!H787,OR(N787="331",O787="331")),"x","")</f>
        <v/>
      </c>
      <c r="Q787" s="66" t="str">
        <f>IF(AND($B787&gt;='111'!$N$11,$B787&lt;='111'!$O$11,OR($N787=$Q$7,$O787=$Q$7)),"x","")</f>
        <v/>
      </c>
      <c r="R787" s="66" t="str">
        <f>IF(AND($N787=$Q$7,$B787&lt;'111'!$N$11),"x","")</f>
        <v/>
      </c>
      <c r="S787" s="66" t="str">
        <f>IF(AND($O787=$Q$7,$B787&lt;'111'!$N$11),"x","")</f>
        <v/>
      </c>
      <c r="T787" s="66" t="str">
        <f>IF(AND($B787&gt;='112'!$M$9,$B787&lt;='112'!$N$9,OR($N787='112'!$I$6,$O787='112'!$I$6)),"x","")</f>
        <v/>
      </c>
      <c r="U787" s="66" t="str">
        <f>IF(AND($N787='112'!$I$6,$B787&lt;'112'!$M$9),"x","")</f>
        <v/>
      </c>
      <c r="V787" s="66" t="str">
        <f>IF(AND($O787='112'!$I$6,$B787&lt;'112'!$M$9),"x","")</f>
        <v/>
      </c>
      <c r="W787" s="66" t="str">
        <f>IF(AND('131-CT'!$H$9=TH!H787,OR(N787="131",O787="131")),"x","")</f>
        <v/>
      </c>
      <c r="X787" s="66" t="str">
        <f>IF(AND($B787&gt;='1331'!$I$9,$B787&lt;='1331'!$J$9,OR($N787=$X$7,$O787=$X$7)),"x","")</f>
        <v/>
      </c>
      <c r="Y787" s="66" t="str">
        <f>IF(AND($N787=$X$7,$B787&lt;'1331'!$I$9),"x","")</f>
        <v/>
      </c>
      <c r="Z787" s="66" t="str">
        <f>IF(AND($O787=$X$7,$B787&lt;'1331'!$I$9),"x","")</f>
        <v/>
      </c>
      <c r="AA787" s="66" t="str">
        <f>IF(AND('341-CT'!$H$9=H787,OR(LEFT(N787,3)=$AA$7,LEFT(O787,3)=$AA$7)),"x","")</f>
        <v/>
      </c>
      <c r="AB787" s="66" t="str">
        <f>IF(OR(TH!N787=TH!$AB$7,O787=TH!$AB$7),"x","")</f>
        <v/>
      </c>
      <c r="AC787" s="66" t="str">
        <f t="shared" si="66"/>
        <v/>
      </c>
      <c r="AD787" s="66" t="str">
        <f>IF(AND(MONTH(E787)='IN-NX'!$J$5,'IN-NX'!$D$7=D787,OR(LEFT(TH!N787,2)="15",LEFT(TH!O787,2)="15")),"x","")</f>
        <v/>
      </c>
      <c r="AE787" s="66" t="str">
        <f>IF(AND(OR(LEFT(TH!N787,2)="15",LEFT(TH!O787,2)="15"),'152-CT'!$J$8=TH!F787),"x","")</f>
        <v/>
      </c>
      <c r="AF787" s="66" t="str">
        <f>IF(AND(OR(LEFT(TH!N787,2)="15",LEFT(TH!O787,2)="15"),'THE KHO'!$E$7=TH!F787),"x","")</f>
        <v/>
      </c>
      <c r="AG787" s="66" t="str">
        <f>IF(AND(N787="1521",MONTH(C787)='BK NL'!$M$11),"x","")</f>
        <v/>
      </c>
    </row>
    <row r="788" spans="1:33" ht="15.75" hidden="1" customHeight="1">
      <c r="A788" s="397" t="str">
        <f>IF(B788&lt;&gt;"",IF(AND(B788&gt;=_TM1,B788&lt;=_TM2,OR(TH!N788="1111",TH!O788="1111")),TH!D788,""),"")</f>
        <v/>
      </c>
      <c r="B788" s="63" t="str">
        <f t="shared" si="65"/>
        <v/>
      </c>
      <c r="C788" s="64"/>
      <c r="D788" s="362"/>
      <c r="E788" s="362"/>
      <c r="F788" s="363"/>
      <c r="G788" s="389"/>
      <c r="H788" s="364"/>
      <c r="I788" s="514"/>
      <c r="J788" s="514"/>
      <c r="K788" s="506"/>
      <c r="L788" s="514"/>
      <c r="M788" s="65"/>
      <c r="N788" s="365"/>
      <c r="O788" s="365"/>
      <c r="P788" s="66" t="str">
        <f>IF(AND('331-CT'!$E$7=TH!H788,OR(N788="331",O788="331")),"x","")</f>
        <v/>
      </c>
      <c r="Q788" s="66" t="str">
        <f>IF(AND($B788&gt;='111'!$N$11,$B788&lt;='111'!$O$11,OR($N788=$Q$7,$O788=$Q$7)),"x","")</f>
        <v/>
      </c>
      <c r="R788" s="66" t="str">
        <f>IF(AND($N788=$Q$7,$B788&lt;'111'!$N$11),"x","")</f>
        <v/>
      </c>
      <c r="S788" s="66" t="str">
        <f>IF(AND($O788=$Q$7,$B788&lt;'111'!$N$11),"x","")</f>
        <v/>
      </c>
      <c r="T788" s="66" t="str">
        <f>IF(AND($B788&gt;='112'!$M$9,$B788&lt;='112'!$N$9,OR($N788='112'!$I$6,$O788='112'!$I$6)),"x","")</f>
        <v/>
      </c>
      <c r="U788" s="66" t="str">
        <f>IF(AND($N788='112'!$I$6,$B788&lt;'112'!$M$9),"x","")</f>
        <v/>
      </c>
      <c r="V788" s="66" t="str">
        <f>IF(AND($O788='112'!$I$6,$B788&lt;'112'!$M$9),"x","")</f>
        <v/>
      </c>
      <c r="W788" s="66" t="str">
        <f>IF(AND('131-CT'!$H$9=TH!H788,OR(N788="131",O788="131")),"x","")</f>
        <v/>
      </c>
      <c r="X788" s="66" t="str">
        <f>IF(AND($B788&gt;='1331'!$I$9,$B788&lt;='1331'!$J$9,OR($N788=$X$7,$O788=$X$7)),"x","")</f>
        <v/>
      </c>
      <c r="Y788" s="66" t="str">
        <f>IF(AND($N788=$X$7,$B788&lt;'1331'!$I$9),"x","")</f>
        <v/>
      </c>
      <c r="Z788" s="66" t="str">
        <f>IF(AND($O788=$X$7,$B788&lt;'1331'!$I$9),"x","")</f>
        <v/>
      </c>
      <c r="AA788" s="66" t="str">
        <f>IF(AND('341-CT'!$H$9=H788,OR(LEFT(N788,3)=$AA$7,LEFT(O788,3)=$AA$7)),"x","")</f>
        <v/>
      </c>
      <c r="AB788" s="66" t="str">
        <f>IF(OR(TH!N788=TH!$AB$7,O788=TH!$AB$7),"x","")</f>
        <v/>
      </c>
      <c r="AC788" s="66" t="str">
        <f t="shared" si="66"/>
        <v/>
      </c>
      <c r="AD788" s="66" t="str">
        <f>IF(AND(MONTH(E788)='IN-NX'!$J$5,'IN-NX'!$D$7=D788,OR(LEFT(TH!N788,2)="15",LEFT(TH!O788,2)="15")),"x","")</f>
        <v/>
      </c>
      <c r="AE788" s="66" t="str">
        <f>IF(AND(OR(LEFT(TH!N788,2)="15",LEFT(TH!O788,2)="15"),'152-CT'!$J$8=TH!F788),"x","")</f>
        <v/>
      </c>
      <c r="AF788" s="66" t="str">
        <f>IF(AND(OR(LEFT(TH!N788,2)="15",LEFT(TH!O788,2)="15"),'THE KHO'!$E$7=TH!F788),"x","")</f>
        <v/>
      </c>
      <c r="AG788" s="66" t="str">
        <f>IF(AND(N788="1521",MONTH(C788)='BK NL'!$M$11),"x","")</f>
        <v/>
      </c>
    </row>
    <row r="789" spans="1:33" ht="15.75" hidden="1" customHeight="1">
      <c r="A789" s="397" t="str">
        <f>IF(B789&lt;&gt;"",IF(AND(B789&gt;=_TM1,B789&lt;=_TM2,OR(TH!N789="1111",TH!O789="1111")),TH!D789,""),"")</f>
        <v/>
      </c>
      <c r="B789" s="63" t="str">
        <f t="shared" si="65"/>
        <v/>
      </c>
      <c r="C789" s="64"/>
      <c r="D789" s="362"/>
      <c r="E789" s="362"/>
      <c r="F789" s="363"/>
      <c r="G789" s="389"/>
      <c r="H789" s="364"/>
      <c r="I789" s="514"/>
      <c r="J789" s="514"/>
      <c r="K789" s="506"/>
      <c r="L789" s="514"/>
      <c r="M789" s="65"/>
      <c r="N789" s="365"/>
      <c r="O789" s="365"/>
      <c r="P789" s="66" t="str">
        <f>IF(AND('331-CT'!$E$7=TH!H789,OR(N789="331",O789="331")),"x","")</f>
        <v/>
      </c>
      <c r="Q789" s="66" t="str">
        <f>IF(AND($B789&gt;='111'!$N$11,$B789&lt;='111'!$O$11,OR($N789=$Q$7,$O789=$Q$7)),"x","")</f>
        <v/>
      </c>
      <c r="R789" s="66" t="str">
        <f>IF(AND($N789=$Q$7,$B789&lt;'111'!$N$11),"x","")</f>
        <v/>
      </c>
      <c r="S789" s="66" t="str">
        <f>IF(AND($O789=$Q$7,$B789&lt;'111'!$N$11),"x","")</f>
        <v/>
      </c>
      <c r="T789" s="66" t="str">
        <f>IF(AND($B789&gt;='112'!$M$9,$B789&lt;='112'!$N$9,OR($N789='112'!$I$6,$O789='112'!$I$6)),"x","")</f>
        <v/>
      </c>
      <c r="U789" s="66" t="str">
        <f>IF(AND($N789='112'!$I$6,$B789&lt;'112'!$M$9),"x","")</f>
        <v/>
      </c>
      <c r="V789" s="66" t="str">
        <f>IF(AND($O789='112'!$I$6,$B789&lt;'112'!$M$9),"x","")</f>
        <v/>
      </c>
      <c r="W789" s="66" t="str">
        <f>IF(AND('131-CT'!$H$9=TH!H789,OR(N789="131",O789="131")),"x","")</f>
        <v/>
      </c>
      <c r="X789" s="66" t="str">
        <f>IF(AND($B789&gt;='1331'!$I$9,$B789&lt;='1331'!$J$9,OR($N789=$X$7,$O789=$X$7)),"x","")</f>
        <v/>
      </c>
      <c r="Y789" s="66" t="str">
        <f>IF(AND($N789=$X$7,$B789&lt;'1331'!$I$9),"x","")</f>
        <v/>
      </c>
      <c r="Z789" s="66" t="str">
        <f>IF(AND($O789=$X$7,$B789&lt;'1331'!$I$9),"x","")</f>
        <v/>
      </c>
      <c r="AA789" s="66" t="str">
        <f>IF(AND('341-CT'!$H$9=H789,OR(LEFT(N789,3)=$AA$7,LEFT(O789,3)=$AA$7)),"x","")</f>
        <v/>
      </c>
      <c r="AB789" s="66" t="str">
        <f>IF(OR(TH!N789=TH!$AB$7,O789=TH!$AB$7),"x","")</f>
        <v/>
      </c>
      <c r="AC789" s="66" t="str">
        <f t="shared" si="66"/>
        <v/>
      </c>
      <c r="AD789" s="66" t="str">
        <f>IF(AND(MONTH(E789)='IN-NX'!$J$5,'IN-NX'!$D$7=D789,OR(LEFT(TH!N789,2)="15",LEFT(TH!O789,2)="15")),"x","")</f>
        <v/>
      </c>
      <c r="AE789" s="66" t="str">
        <f>IF(AND(OR(LEFT(TH!N789,2)="15",LEFT(TH!O789,2)="15"),'152-CT'!$J$8=TH!F789),"x","")</f>
        <v/>
      </c>
      <c r="AF789" s="66" t="str">
        <f>IF(AND(OR(LEFT(TH!N789,2)="15",LEFT(TH!O789,2)="15"),'THE KHO'!$E$7=TH!F789),"x","")</f>
        <v/>
      </c>
      <c r="AG789" s="66" t="str">
        <f>IF(AND(N789="1521",MONTH(C789)='BK NL'!$M$11),"x","")</f>
        <v/>
      </c>
    </row>
    <row r="790" spans="1:33" ht="15.75" hidden="1" customHeight="1">
      <c r="A790" s="397" t="str">
        <f>IF(B790&lt;&gt;"",IF(AND(B790&gt;=_TM1,B790&lt;=_TM2,OR(TH!N790="1111",TH!O790="1111")),TH!D790,""),"")</f>
        <v/>
      </c>
      <c r="B790" s="63" t="str">
        <f t="shared" si="65"/>
        <v/>
      </c>
      <c r="C790" s="64"/>
      <c r="D790" s="362"/>
      <c r="E790" s="362"/>
      <c r="F790" s="363"/>
      <c r="G790" s="389"/>
      <c r="H790" s="364"/>
      <c r="I790" s="514"/>
      <c r="J790" s="514"/>
      <c r="K790" s="506"/>
      <c r="L790" s="514"/>
      <c r="M790" s="65"/>
      <c r="N790" s="365"/>
      <c r="O790" s="365"/>
      <c r="P790" s="66" t="str">
        <f>IF(AND('331-CT'!$E$7=TH!H790,OR(N790="331",O790="331")),"x","")</f>
        <v/>
      </c>
      <c r="Q790" s="66" t="str">
        <f>IF(AND($B790&gt;='111'!$N$11,$B790&lt;='111'!$O$11,OR($N790=$Q$7,$O790=$Q$7)),"x","")</f>
        <v/>
      </c>
      <c r="R790" s="66" t="str">
        <f>IF(AND($N790=$Q$7,$B790&lt;'111'!$N$11),"x","")</f>
        <v/>
      </c>
      <c r="S790" s="66" t="str">
        <f>IF(AND($O790=$Q$7,$B790&lt;'111'!$N$11),"x","")</f>
        <v/>
      </c>
      <c r="T790" s="66" t="str">
        <f>IF(AND($B790&gt;='112'!$M$9,$B790&lt;='112'!$N$9,OR($N790='112'!$I$6,$O790='112'!$I$6)),"x","")</f>
        <v/>
      </c>
      <c r="U790" s="66" t="str">
        <f>IF(AND($N790='112'!$I$6,$B790&lt;'112'!$M$9),"x","")</f>
        <v/>
      </c>
      <c r="V790" s="66" t="str">
        <f>IF(AND($O790='112'!$I$6,$B790&lt;'112'!$M$9),"x","")</f>
        <v/>
      </c>
      <c r="W790" s="66" t="str">
        <f>IF(AND('131-CT'!$H$9=TH!H790,OR(N790="131",O790="131")),"x","")</f>
        <v/>
      </c>
      <c r="X790" s="66" t="str">
        <f>IF(AND($B790&gt;='1331'!$I$9,$B790&lt;='1331'!$J$9,OR($N790=$X$7,$O790=$X$7)),"x","")</f>
        <v/>
      </c>
      <c r="Y790" s="66" t="str">
        <f>IF(AND($N790=$X$7,$B790&lt;'1331'!$I$9),"x","")</f>
        <v/>
      </c>
      <c r="Z790" s="66" t="str">
        <f>IF(AND($O790=$X$7,$B790&lt;'1331'!$I$9),"x","")</f>
        <v/>
      </c>
      <c r="AA790" s="66" t="str">
        <f>IF(AND('341-CT'!$H$9=H790,OR(LEFT(N790,3)=$AA$7,LEFT(O790,3)=$AA$7)),"x","")</f>
        <v/>
      </c>
      <c r="AB790" s="66" t="str">
        <f>IF(OR(TH!N790=TH!$AB$7,O790=TH!$AB$7),"x","")</f>
        <v/>
      </c>
      <c r="AC790" s="66" t="str">
        <f t="shared" si="66"/>
        <v/>
      </c>
      <c r="AD790" s="66" t="str">
        <f>IF(AND(MONTH(E790)='IN-NX'!$J$5,'IN-NX'!$D$7=D790,OR(LEFT(TH!N790,2)="15",LEFT(TH!O790,2)="15")),"x","")</f>
        <v/>
      </c>
      <c r="AE790" s="66" t="str">
        <f>IF(AND(OR(LEFT(TH!N790,2)="15",LEFT(TH!O790,2)="15"),'152-CT'!$J$8=TH!F790),"x","")</f>
        <v/>
      </c>
      <c r="AF790" s="66" t="str">
        <f>IF(AND(OR(LEFT(TH!N790,2)="15",LEFT(TH!O790,2)="15"),'THE KHO'!$E$7=TH!F790),"x","")</f>
        <v/>
      </c>
      <c r="AG790" s="66" t="str">
        <f>IF(AND(N790="1521",MONTH(C790)='BK NL'!$M$11),"x","")</f>
        <v/>
      </c>
    </row>
    <row r="791" spans="1:33" ht="15.75" hidden="1" customHeight="1">
      <c r="A791" s="397" t="str">
        <f>IF(B791&lt;&gt;"",IF(AND(B791&gt;=_TM1,B791&lt;=_TM2,OR(TH!N791="1111",TH!O791="1111")),TH!D791,""),"")</f>
        <v/>
      </c>
      <c r="B791" s="63" t="str">
        <f t="shared" si="65"/>
        <v/>
      </c>
      <c r="C791" s="64"/>
      <c r="D791" s="362"/>
      <c r="E791" s="362"/>
      <c r="F791" s="363"/>
      <c r="G791" s="389"/>
      <c r="H791" s="364"/>
      <c r="I791" s="514"/>
      <c r="J791" s="514"/>
      <c r="K791" s="506"/>
      <c r="L791" s="514"/>
      <c r="M791" s="65"/>
      <c r="N791" s="365"/>
      <c r="O791" s="365"/>
      <c r="P791" s="66" t="str">
        <f>IF(AND('331-CT'!$E$7=TH!H791,OR(N791="331",O791="331")),"x","")</f>
        <v/>
      </c>
      <c r="Q791" s="66" t="str">
        <f>IF(AND($B791&gt;='111'!$N$11,$B791&lt;='111'!$O$11,OR($N791=$Q$7,$O791=$Q$7)),"x","")</f>
        <v/>
      </c>
      <c r="R791" s="66" t="str">
        <f>IF(AND($N791=$Q$7,$B791&lt;'111'!$N$11),"x","")</f>
        <v/>
      </c>
      <c r="S791" s="66" t="str">
        <f>IF(AND($O791=$Q$7,$B791&lt;'111'!$N$11),"x","")</f>
        <v/>
      </c>
      <c r="T791" s="66" t="str">
        <f>IF(AND($B791&gt;='112'!$M$9,$B791&lt;='112'!$N$9,OR($N791='112'!$I$6,$O791='112'!$I$6)),"x","")</f>
        <v/>
      </c>
      <c r="U791" s="66" t="str">
        <f>IF(AND($N791='112'!$I$6,$B791&lt;'112'!$M$9),"x","")</f>
        <v/>
      </c>
      <c r="V791" s="66" t="str">
        <f>IF(AND($O791='112'!$I$6,$B791&lt;'112'!$M$9),"x","")</f>
        <v/>
      </c>
      <c r="W791" s="66" t="str">
        <f>IF(AND('131-CT'!$H$9=TH!H791,OR(N791="131",O791="131")),"x","")</f>
        <v/>
      </c>
      <c r="X791" s="66" t="str">
        <f>IF(AND($B791&gt;='1331'!$I$9,$B791&lt;='1331'!$J$9,OR($N791=$X$7,$O791=$X$7)),"x","")</f>
        <v/>
      </c>
      <c r="Y791" s="66" t="str">
        <f>IF(AND($N791=$X$7,$B791&lt;'1331'!$I$9),"x","")</f>
        <v/>
      </c>
      <c r="Z791" s="66" t="str">
        <f>IF(AND($O791=$X$7,$B791&lt;'1331'!$I$9),"x","")</f>
        <v/>
      </c>
      <c r="AA791" s="66" t="str">
        <f>IF(AND('341-CT'!$H$9=H791,OR(LEFT(N791,3)=$AA$7,LEFT(O791,3)=$AA$7)),"x","")</f>
        <v/>
      </c>
      <c r="AB791" s="66" t="str">
        <f>IF(OR(TH!N791=TH!$AB$7,O791=TH!$AB$7),"x","")</f>
        <v/>
      </c>
      <c r="AC791" s="66" t="str">
        <f t="shared" si="66"/>
        <v/>
      </c>
      <c r="AD791" s="66" t="str">
        <f>IF(AND(MONTH(E791)='IN-NX'!$J$5,'IN-NX'!$D$7=D791,OR(LEFT(TH!N791,2)="15",LEFT(TH!O791,2)="15")),"x","")</f>
        <v/>
      </c>
      <c r="AE791" s="66" t="str">
        <f>IF(AND(OR(LEFT(TH!N791,2)="15",LEFT(TH!O791,2)="15"),'152-CT'!$J$8=TH!F791),"x","")</f>
        <v/>
      </c>
      <c r="AF791" s="66" t="str">
        <f>IF(AND(OR(LEFT(TH!N791,2)="15",LEFT(TH!O791,2)="15"),'THE KHO'!$E$7=TH!F791),"x","")</f>
        <v/>
      </c>
      <c r="AG791" s="66" t="str">
        <f>IF(AND(N791="1521",MONTH(C791)='BK NL'!$M$11),"x","")</f>
        <v/>
      </c>
    </row>
    <row r="792" spans="1:33" ht="15.75" hidden="1" customHeight="1">
      <c r="A792" s="397" t="str">
        <f>IF(B792&lt;&gt;"",IF(AND(B792&gt;=_TM1,B792&lt;=_TM2,OR(TH!N792="1111",TH!O792="1111")),TH!D792,""),"")</f>
        <v/>
      </c>
      <c r="B792" s="63" t="str">
        <f t="shared" si="65"/>
        <v/>
      </c>
      <c r="C792" s="64"/>
      <c r="D792" s="362"/>
      <c r="E792" s="362"/>
      <c r="F792" s="363"/>
      <c r="G792" s="389"/>
      <c r="H792" s="364"/>
      <c r="I792" s="514"/>
      <c r="J792" s="514"/>
      <c r="K792" s="506"/>
      <c r="L792" s="514"/>
      <c r="M792" s="65"/>
      <c r="N792" s="365"/>
      <c r="O792" s="365"/>
      <c r="P792" s="66" t="str">
        <f>IF(AND('331-CT'!$E$7=TH!H792,OR(N792="331",O792="331")),"x","")</f>
        <v/>
      </c>
      <c r="Q792" s="66" t="str">
        <f>IF(AND($B792&gt;='111'!$N$11,$B792&lt;='111'!$O$11,OR($N792=$Q$7,$O792=$Q$7)),"x","")</f>
        <v/>
      </c>
      <c r="R792" s="66" t="str">
        <f>IF(AND($N792=$Q$7,$B792&lt;'111'!$N$11),"x","")</f>
        <v/>
      </c>
      <c r="S792" s="66" t="str">
        <f>IF(AND($O792=$Q$7,$B792&lt;'111'!$N$11),"x","")</f>
        <v/>
      </c>
      <c r="T792" s="66" t="str">
        <f>IF(AND($B792&gt;='112'!$M$9,$B792&lt;='112'!$N$9,OR($N792='112'!$I$6,$O792='112'!$I$6)),"x","")</f>
        <v/>
      </c>
      <c r="U792" s="66" t="str">
        <f>IF(AND($N792='112'!$I$6,$B792&lt;'112'!$M$9),"x","")</f>
        <v/>
      </c>
      <c r="V792" s="66" t="str">
        <f>IF(AND($O792='112'!$I$6,$B792&lt;'112'!$M$9),"x","")</f>
        <v/>
      </c>
      <c r="W792" s="66" t="str">
        <f>IF(AND('131-CT'!$H$9=TH!H792,OR(N792="131",O792="131")),"x","")</f>
        <v/>
      </c>
      <c r="X792" s="66" t="str">
        <f>IF(AND($B792&gt;='1331'!$I$9,$B792&lt;='1331'!$J$9,OR($N792=$X$7,$O792=$X$7)),"x","")</f>
        <v/>
      </c>
      <c r="Y792" s="66" t="str">
        <f>IF(AND($N792=$X$7,$B792&lt;'1331'!$I$9),"x","")</f>
        <v/>
      </c>
      <c r="Z792" s="66" t="str">
        <f>IF(AND($O792=$X$7,$B792&lt;'1331'!$I$9),"x","")</f>
        <v/>
      </c>
      <c r="AA792" s="66" t="str">
        <f>IF(AND('341-CT'!$H$9=H792,OR(LEFT(N792,3)=$AA$7,LEFT(O792,3)=$AA$7)),"x","")</f>
        <v/>
      </c>
      <c r="AB792" s="66" t="str">
        <f>IF(OR(TH!N792=TH!$AB$7,O792=TH!$AB$7),"x","")</f>
        <v/>
      </c>
      <c r="AC792" s="66" t="str">
        <f t="shared" si="66"/>
        <v/>
      </c>
      <c r="AD792" s="66" t="str">
        <f>IF(AND(MONTH(E792)='IN-NX'!$J$5,'IN-NX'!$D$7=D792,OR(LEFT(TH!N792,2)="15",LEFT(TH!O792,2)="15")),"x","")</f>
        <v/>
      </c>
      <c r="AE792" s="66" t="str">
        <f>IF(AND(OR(LEFT(TH!N792,2)="15",LEFT(TH!O792,2)="15"),'152-CT'!$J$8=TH!F792),"x","")</f>
        <v/>
      </c>
      <c r="AF792" s="66" t="str">
        <f>IF(AND(OR(LEFT(TH!N792,2)="15",LEFT(TH!O792,2)="15"),'THE KHO'!$E$7=TH!F792),"x","")</f>
        <v/>
      </c>
      <c r="AG792" s="66" t="str">
        <f>IF(AND(N792="1521",MONTH(C792)='BK NL'!$M$11),"x","")</f>
        <v/>
      </c>
    </row>
    <row r="793" spans="1:33" ht="15.75" hidden="1" customHeight="1">
      <c r="A793" s="397" t="str">
        <f>IF(B793&lt;&gt;"",IF(AND(B793&gt;=_TM1,B793&lt;=_TM2,OR(TH!N793="1111",TH!O793="1111")),TH!D793,""),"")</f>
        <v/>
      </c>
      <c r="B793" s="63" t="str">
        <f t="shared" si="65"/>
        <v/>
      </c>
      <c r="C793" s="64"/>
      <c r="D793" s="362"/>
      <c r="E793" s="362"/>
      <c r="F793" s="363"/>
      <c r="G793" s="389"/>
      <c r="H793" s="364"/>
      <c r="I793" s="514"/>
      <c r="J793" s="514"/>
      <c r="K793" s="506"/>
      <c r="L793" s="514"/>
      <c r="M793" s="65"/>
      <c r="N793" s="365"/>
      <c r="O793" s="365"/>
      <c r="P793" s="66" t="str">
        <f>IF(AND('331-CT'!$E$7=TH!H793,OR(N793="331",O793="331")),"x","")</f>
        <v/>
      </c>
      <c r="Q793" s="66" t="str">
        <f>IF(AND($B793&gt;='111'!$N$11,$B793&lt;='111'!$O$11,OR($N793=$Q$7,$O793=$Q$7)),"x","")</f>
        <v/>
      </c>
      <c r="R793" s="66" t="str">
        <f>IF(AND($N793=$Q$7,$B793&lt;'111'!$N$11),"x","")</f>
        <v/>
      </c>
      <c r="S793" s="66" t="str">
        <f>IF(AND($O793=$Q$7,$B793&lt;'111'!$N$11),"x","")</f>
        <v/>
      </c>
      <c r="T793" s="66" t="str">
        <f>IF(AND($B793&gt;='112'!$M$9,$B793&lt;='112'!$N$9,OR($N793='112'!$I$6,$O793='112'!$I$6)),"x","")</f>
        <v/>
      </c>
      <c r="U793" s="66" t="str">
        <f>IF(AND($N793='112'!$I$6,$B793&lt;'112'!$M$9),"x","")</f>
        <v/>
      </c>
      <c r="V793" s="66" t="str">
        <f>IF(AND($O793='112'!$I$6,$B793&lt;'112'!$M$9),"x","")</f>
        <v/>
      </c>
      <c r="W793" s="66" t="str">
        <f>IF(AND('131-CT'!$H$9=TH!H793,OR(N793="131",O793="131")),"x","")</f>
        <v/>
      </c>
      <c r="X793" s="66" t="str">
        <f>IF(AND($B793&gt;='1331'!$I$9,$B793&lt;='1331'!$J$9,OR($N793=$X$7,$O793=$X$7)),"x","")</f>
        <v/>
      </c>
      <c r="Y793" s="66" t="str">
        <f>IF(AND($N793=$X$7,$B793&lt;'1331'!$I$9),"x","")</f>
        <v/>
      </c>
      <c r="Z793" s="66" t="str">
        <f>IF(AND($O793=$X$7,$B793&lt;'1331'!$I$9),"x","")</f>
        <v/>
      </c>
      <c r="AA793" s="66" t="str">
        <f>IF(AND('341-CT'!$H$9=H793,OR(LEFT(N793,3)=$AA$7,LEFT(O793,3)=$AA$7)),"x","")</f>
        <v/>
      </c>
      <c r="AB793" s="66" t="str">
        <f>IF(OR(TH!N793=TH!$AB$7,O793=TH!$AB$7),"x","")</f>
        <v/>
      </c>
      <c r="AC793" s="66" t="str">
        <f t="shared" si="66"/>
        <v/>
      </c>
      <c r="AD793" s="66" t="str">
        <f>IF(AND(MONTH(E793)='IN-NX'!$J$5,'IN-NX'!$D$7=D793,OR(LEFT(TH!N793,2)="15",LEFT(TH!O793,2)="15")),"x","")</f>
        <v/>
      </c>
      <c r="AE793" s="66" t="str">
        <f>IF(AND(OR(LEFT(TH!N793,2)="15",LEFT(TH!O793,2)="15"),'152-CT'!$J$8=TH!F793),"x","")</f>
        <v/>
      </c>
      <c r="AF793" s="66" t="str">
        <f>IF(AND(OR(LEFT(TH!N793,2)="15",LEFT(TH!O793,2)="15"),'THE KHO'!$E$7=TH!F793),"x","")</f>
        <v/>
      </c>
      <c r="AG793" s="66" t="str">
        <f>IF(AND(N793="1521",MONTH(C793)='BK NL'!$M$11),"x","")</f>
        <v/>
      </c>
    </row>
    <row r="794" spans="1:33" ht="15.75" hidden="1" customHeight="1">
      <c r="A794" s="397" t="str">
        <f>IF(B794&lt;&gt;"",IF(AND(B794&gt;=_TM1,B794&lt;=_TM2,OR(TH!N794="1111",TH!O794="1111")),TH!D794,""),"")</f>
        <v/>
      </c>
      <c r="B794" s="63" t="str">
        <f t="shared" si="65"/>
        <v/>
      </c>
      <c r="C794" s="64"/>
      <c r="D794" s="362"/>
      <c r="E794" s="362"/>
      <c r="F794" s="363"/>
      <c r="G794" s="389"/>
      <c r="H794" s="364"/>
      <c r="I794" s="514"/>
      <c r="J794" s="514"/>
      <c r="K794" s="506"/>
      <c r="L794" s="514"/>
      <c r="M794" s="65"/>
      <c r="N794" s="365"/>
      <c r="O794" s="365"/>
      <c r="P794" s="66" t="str">
        <f>IF(AND('331-CT'!$E$7=TH!H794,OR(N794="331",O794="331")),"x","")</f>
        <v/>
      </c>
      <c r="Q794" s="66" t="str">
        <f>IF(AND($B794&gt;='111'!$N$11,$B794&lt;='111'!$O$11,OR($N794=$Q$7,$O794=$Q$7)),"x","")</f>
        <v/>
      </c>
      <c r="R794" s="66" t="str">
        <f>IF(AND($N794=$Q$7,$B794&lt;'111'!$N$11),"x","")</f>
        <v/>
      </c>
      <c r="S794" s="66" t="str">
        <f>IF(AND($O794=$Q$7,$B794&lt;'111'!$N$11),"x","")</f>
        <v/>
      </c>
      <c r="T794" s="66" t="str">
        <f>IF(AND($B794&gt;='112'!$M$9,$B794&lt;='112'!$N$9,OR($N794='112'!$I$6,$O794='112'!$I$6)),"x","")</f>
        <v/>
      </c>
      <c r="U794" s="66" t="str">
        <f>IF(AND($N794='112'!$I$6,$B794&lt;'112'!$M$9),"x","")</f>
        <v/>
      </c>
      <c r="V794" s="66" t="str">
        <f>IF(AND($O794='112'!$I$6,$B794&lt;'112'!$M$9),"x","")</f>
        <v/>
      </c>
      <c r="W794" s="66" t="str">
        <f>IF(AND('131-CT'!$H$9=TH!H794,OR(N794="131",O794="131")),"x","")</f>
        <v/>
      </c>
      <c r="X794" s="66" t="str">
        <f>IF(AND($B794&gt;='1331'!$I$9,$B794&lt;='1331'!$J$9,OR($N794=$X$7,$O794=$X$7)),"x","")</f>
        <v/>
      </c>
      <c r="Y794" s="66" t="str">
        <f>IF(AND($N794=$X$7,$B794&lt;'1331'!$I$9),"x","")</f>
        <v/>
      </c>
      <c r="Z794" s="66" t="str">
        <f>IF(AND($O794=$X$7,$B794&lt;'1331'!$I$9),"x","")</f>
        <v/>
      </c>
      <c r="AA794" s="66" t="str">
        <f>IF(AND('341-CT'!$H$9=H794,OR(LEFT(N794,3)=$AA$7,LEFT(O794,3)=$AA$7)),"x","")</f>
        <v/>
      </c>
      <c r="AB794" s="66" t="str">
        <f>IF(OR(TH!N794=TH!$AB$7,O794=TH!$AB$7),"x","")</f>
        <v/>
      </c>
      <c r="AC794" s="66" t="str">
        <f t="shared" si="66"/>
        <v/>
      </c>
      <c r="AD794" s="66" t="str">
        <f>IF(AND(MONTH(E794)='IN-NX'!$J$5,'IN-NX'!$D$7=D794,OR(LEFT(TH!N794,2)="15",LEFT(TH!O794,2)="15")),"x","")</f>
        <v/>
      </c>
      <c r="AE794" s="66" t="str">
        <f>IF(AND(OR(LEFT(TH!N794,2)="15",LEFT(TH!O794,2)="15"),'152-CT'!$J$8=TH!F794),"x","")</f>
        <v/>
      </c>
      <c r="AF794" s="66" t="str">
        <f>IF(AND(OR(LEFT(TH!N794,2)="15",LEFT(TH!O794,2)="15"),'THE KHO'!$E$7=TH!F794),"x","")</f>
        <v/>
      </c>
      <c r="AG794" s="66" t="str">
        <f>IF(AND(N794="1521",MONTH(C794)='BK NL'!$M$11),"x","")</f>
        <v/>
      </c>
    </row>
    <row r="795" spans="1:33" ht="15.75" hidden="1" customHeight="1">
      <c r="A795" s="397" t="str">
        <f>IF(B795&lt;&gt;"",IF(AND(B795&gt;=_TM1,B795&lt;=_TM2,OR(TH!N795="1111",TH!O795="1111")),TH!D795,""),"")</f>
        <v/>
      </c>
      <c r="B795" s="63" t="str">
        <f>IF(C795&lt;&gt;"",MONTH(C795),"")</f>
        <v/>
      </c>
      <c r="C795" s="64"/>
      <c r="D795" s="64"/>
      <c r="E795" s="64"/>
      <c r="F795" s="67"/>
      <c r="G795" s="375"/>
      <c r="H795" s="74"/>
      <c r="I795" s="514"/>
      <c r="J795" s="514"/>
      <c r="K795" s="506"/>
      <c r="L795" s="514"/>
      <c r="M795" s="65"/>
      <c r="N795" s="365"/>
      <c r="O795" s="66"/>
      <c r="P795" s="66" t="str">
        <f>IF(AND('331-CT'!$E$7=TH!H795,OR(N795="331",O795="331")),"x","")</f>
        <v/>
      </c>
      <c r="Q795" s="66" t="str">
        <f>IF(AND($B795&gt;='111'!$N$11,$B795&lt;='111'!$O$11,OR($N795=$Q$7,$O795=$Q$7)),"x","")</f>
        <v/>
      </c>
      <c r="R795" s="66" t="str">
        <f>IF(AND($N795=$Q$7,$B795&lt;'111'!$N$11),"x","")</f>
        <v/>
      </c>
      <c r="S795" s="66" t="str">
        <f>IF(AND($O795=$Q$7,$B795&lt;'111'!$N$11),"x","")</f>
        <v/>
      </c>
      <c r="T795" s="66" t="str">
        <f>IF(AND($B795&gt;='112'!$M$9,$B795&lt;='112'!$N$9,OR($N795='112'!$I$6,$O795='112'!$I$6)),"x","")</f>
        <v/>
      </c>
      <c r="U795" s="66" t="str">
        <f>IF(AND($N795='112'!$I$6,$B795&lt;'112'!$M$9),"x","")</f>
        <v/>
      </c>
      <c r="V795" s="66" t="str">
        <f>IF(AND($O795='112'!$I$6,$B795&lt;'112'!$M$9),"x","")</f>
        <v/>
      </c>
      <c r="W795" s="66" t="str">
        <f>IF(AND('131-CT'!$H$9=TH!H795,OR(N795="131",O795="131")),"x","")</f>
        <v/>
      </c>
      <c r="X795" s="66" t="str">
        <f>IF(AND($B795&gt;='1331'!$I$9,$B795&lt;='1331'!$J$9,OR($N795=$X$7,$O795=$X$7)),"x","")</f>
        <v/>
      </c>
      <c r="Y795" s="66" t="str">
        <f>IF(AND($N795=$X$7,$B795&lt;'1331'!$I$9),"x","")</f>
        <v/>
      </c>
      <c r="Z795" s="66" t="str">
        <f>IF(AND($O795=$X$7,$B795&lt;'1331'!$I$9),"x","")</f>
        <v/>
      </c>
      <c r="AA795" s="66" t="str">
        <f>IF(AND('341-CT'!$H$9=H795,OR(LEFT(N795,3)=$AA$7,LEFT(O795,3)=$AA$7)),"x","")</f>
        <v/>
      </c>
      <c r="AB795" s="66" t="str">
        <f>IF(OR(TH!N795=TH!$AB$7,O795=TH!$AB$7),"x","")</f>
        <v/>
      </c>
      <c r="AC795" s="66" t="str">
        <f t="shared" si="66"/>
        <v/>
      </c>
      <c r="AD795" s="66" t="str">
        <f>IF(AND(MONTH(E795)='IN-NX'!$J$5,'IN-NX'!$D$7=D795,OR(LEFT(TH!N795,2)="15",LEFT(TH!O795,2)="15")),"x","")</f>
        <v/>
      </c>
      <c r="AE795" s="66" t="str">
        <f>IF(AND(OR(LEFT(TH!N795,2)="15",LEFT(TH!O795,2)="15"),'152-CT'!$J$8=TH!F795),"x","")</f>
        <v/>
      </c>
      <c r="AF795" s="66" t="str">
        <f>IF(AND(OR(LEFT(TH!N795,2)="15",LEFT(TH!O795,2)="15"),'THE KHO'!$E$7=TH!F795),"x","")</f>
        <v/>
      </c>
      <c r="AG795" s="66" t="str">
        <f>IF(AND(N795="1521",MONTH(C795)='BK NL'!$M$11),"x","")</f>
        <v/>
      </c>
    </row>
    <row r="796" spans="1:33" ht="15.75" hidden="1" customHeight="1">
      <c r="A796" s="397" t="str">
        <f>IF(B796&lt;&gt;"",IF(AND(B796&gt;=_TM1,B796&lt;=_TM2,OR(TH!N796="1111",TH!O796="1111")),TH!D796,""),"")</f>
        <v/>
      </c>
      <c r="B796" s="63" t="str">
        <f>IF(C796&lt;&gt;"",MONTH(C796),"")</f>
        <v/>
      </c>
      <c r="C796" s="64"/>
      <c r="D796" s="64"/>
      <c r="E796" s="64"/>
      <c r="F796" s="67"/>
      <c r="G796" s="375"/>
      <c r="H796" s="74"/>
      <c r="I796" s="514"/>
      <c r="J796" s="514"/>
      <c r="K796" s="506"/>
      <c r="L796" s="514"/>
      <c r="M796" s="65"/>
      <c r="N796" s="365"/>
      <c r="O796" s="66"/>
      <c r="P796" s="66" t="str">
        <f>IF(AND('331-CT'!$E$7=TH!H796,OR(N796="331",O796="331")),"x","")</f>
        <v/>
      </c>
      <c r="Q796" s="66" t="str">
        <f>IF(AND($B796&gt;='111'!$N$11,$B796&lt;='111'!$O$11,OR($N796=$Q$7,$O796=$Q$7)),"x","")</f>
        <v/>
      </c>
      <c r="R796" s="66" t="str">
        <f>IF(AND($N796=$Q$7,$B796&lt;'111'!$N$11),"x","")</f>
        <v/>
      </c>
      <c r="S796" s="66" t="str">
        <f>IF(AND($O796=$Q$7,$B796&lt;'111'!$N$11),"x","")</f>
        <v/>
      </c>
      <c r="T796" s="66" t="str">
        <f>IF(AND($B796&gt;='112'!$M$9,$B796&lt;='112'!$N$9,OR($N796='112'!$I$6,$O796='112'!$I$6)),"x","")</f>
        <v/>
      </c>
      <c r="U796" s="66" t="str">
        <f>IF(AND($N796='112'!$I$6,$B796&lt;'112'!$M$9),"x","")</f>
        <v/>
      </c>
      <c r="V796" s="66" t="str">
        <f>IF(AND($O796='112'!$I$6,$B796&lt;'112'!$M$9),"x","")</f>
        <v/>
      </c>
      <c r="W796" s="66" t="str">
        <f>IF(AND('131-CT'!$H$9=TH!H796,OR(N796="131",O796="131")),"x","")</f>
        <v/>
      </c>
      <c r="X796" s="66" t="str">
        <f>IF(AND($B796&gt;='1331'!$I$9,$B796&lt;='1331'!$J$9,OR($N796=$X$7,$O796=$X$7)),"x","")</f>
        <v/>
      </c>
      <c r="Y796" s="66" t="str">
        <f>IF(AND($N796=$X$7,$B796&lt;'1331'!$I$9),"x","")</f>
        <v/>
      </c>
      <c r="Z796" s="66" t="str">
        <f>IF(AND($O796=$X$7,$B796&lt;'1331'!$I$9),"x","")</f>
        <v/>
      </c>
      <c r="AA796" s="66" t="str">
        <f>IF(AND('341-CT'!$H$9=H796,OR(LEFT(N796,3)=$AA$7,LEFT(O796,3)=$AA$7)),"x","")</f>
        <v/>
      </c>
      <c r="AB796" s="66" t="str">
        <f>IF(OR(TH!N796=TH!$AB$7,O796=TH!$AB$7),"x","")</f>
        <v/>
      </c>
      <c r="AC796" s="66" t="str">
        <f t="shared" si="66"/>
        <v/>
      </c>
      <c r="AD796" s="66" t="str">
        <f>IF(AND(MONTH(E796)='IN-NX'!$J$5,'IN-NX'!$D$7=D796,OR(LEFT(TH!N796,2)="15",LEFT(TH!O796,2)="15")),"x","")</f>
        <v/>
      </c>
      <c r="AE796" s="66" t="str">
        <f>IF(AND(OR(LEFT(TH!N796,2)="15",LEFT(TH!O796,2)="15"),'152-CT'!$J$8=TH!F796),"x","")</f>
        <v/>
      </c>
      <c r="AF796" s="66" t="str">
        <f>IF(AND(OR(LEFT(TH!N796,2)="15",LEFT(TH!O796,2)="15"),'THE KHO'!$E$7=TH!F796),"x","")</f>
        <v/>
      </c>
      <c r="AG796" s="66" t="str">
        <f>IF(AND(N796="1521",MONTH(C796)='BK NL'!$M$11),"x","")</f>
        <v/>
      </c>
    </row>
    <row r="797" spans="1:33" ht="15.75" hidden="1" customHeight="1">
      <c r="A797" s="397" t="str">
        <f>IF(B797&lt;&gt;"",IF(AND(B797&gt;=_TM1,B797&lt;=_TM2,OR(TH!N797="1111",TH!O797="1111")),TH!D797,""),"")</f>
        <v/>
      </c>
      <c r="B797" s="63" t="str">
        <f t="shared" si="65"/>
        <v/>
      </c>
      <c r="C797" s="64"/>
      <c r="D797" s="362"/>
      <c r="E797" s="362"/>
      <c r="F797" s="67"/>
      <c r="G797" s="361"/>
      <c r="H797" s="74"/>
      <c r="I797" s="514"/>
      <c r="J797" s="514"/>
      <c r="K797" s="506"/>
      <c r="L797" s="514"/>
      <c r="M797" s="65"/>
      <c r="N797" s="66"/>
      <c r="O797" s="66"/>
      <c r="P797" s="66" t="str">
        <f>IF(AND('331-CT'!$E$7=TH!H797,OR(N797="331",O797="331")),"x","")</f>
        <v/>
      </c>
      <c r="Q797" s="66" t="str">
        <f>IF(AND($B797&gt;='111'!$N$11,$B797&lt;='111'!$O$11,OR($N797=$Q$7,$O797=$Q$7)),"x","")</f>
        <v/>
      </c>
      <c r="R797" s="66" t="str">
        <f>IF(AND($N797=$Q$7,$B797&lt;'111'!$N$11),"x","")</f>
        <v/>
      </c>
      <c r="S797" s="66" t="str">
        <f>IF(AND($O797=$Q$7,$B797&lt;'111'!$N$11),"x","")</f>
        <v/>
      </c>
      <c r="T797" s="66" t="str">
        <f>IF(AND($B797&gt;='112'!$M$9,$B797&lt;='112'!$N$9,OR($N797='112'!$I$6,$O797='112'!$I$6)),"x","")</f>
        <v/>
      </c>
      <c r="U797" s="66" t="str">
        <f>IF(AND($N797='112'!$I$6,$B797&lt;'112'!$M$9),"x","")</f>
        <v/>
      </c>
      <c r="V797" s="66" t="str">
        <f>IF(AND($O797='112'!$I$6,$B797&lt;'112'!$M$9),"x","")</f>
        <v/>
      </c>
      <c r="W797" s="66" t="str">
        <f>IF(AND('131-CT'!$H$9=TH!H797,OR(N797="131",O797="131")),"x","")</f>
        <v/>
      </c>
      <c r="X797" s="66" t="str">
        <f>IF(AND($B797&gt;='1331'!$I$9,$B797&lt;='1331'!$J$9,OR($N797=$X$7,$O797=$X$7)),"x","")</f>
        <v/>
      </c>
      <c r="Y797" s="66" t="str">
        <f>IF(AND($N797=$X$7,$B797&lt;'1331'!$I$9),"x","")</f>
        <v/>
      </c>
      <c r="Z797" s="66" t="str">
        <f>IF(AND($O797=$X$7,$B797&lt;'1331'!$I$9),"x","")</f>
        <v/>
      </c>
      <c r="AA797" s="66" t="str">
        <f>IF(AND('341-CT'!$H$9=H797,OR(LEFT(N797,3)=$AA$7,LEFT(O797,3)=$AA$7)),"x","")</f>
        <v/>
      </c>
      <c r="AB797" s="66" t="str">
        <f>IF(OR(TH!N797=TH!$AB$7,O797=TH!$AB$7),"x","")</f>
        <v/>
      </c>
      <c r="AC797" s="66" t="str">
        <f t="shared" si="66"/>
        <v/>
      </c>
      <c r="AD797" s="66" t="str">
        <f>IF(AND(MONTH(E797)='IN-NX'!$J$5,'IN-NX'!$D$7=D797,OR(LEFT(TH!N797,2)="15",LEFT(TH!O797,2)="15")),"x","")</f>
        <v/>
      </c>
      <c r="AE797" s="66" t="str">
        <f>IF(AND(OR(LEFT(TH!N797,2)="15",LEFT(TH!O797,2)="15"),'152-CT'!$J$8=TH!F797),"x","")</f>
        <v/>
      </c>
      <c r="AF797" s="66" t="str">
        <f>IF(AND(OR(LEFT(TH!N797,2)="15",LEFT(TH!O797,2)="15"),'THE KHO'!$E$7=TH!F797),"x","")</f>
        <v/>
      </c>
      <c r="AG797" s="66" t="str">
        <f>IF(AND(N797="1521",MONTH(C797)='BK NL'!$M$11),"x","")</f>
        <v/>
      </c>
    </row>
    <row r="798" spans="1:33" ht="15.75" hidden="1" customHeight="1">
      <c r="A798" s="397" t="str">
        <f>IF(B798&lt;&gt;"",IF(AND(B798&gt;=_TM1,B798&lt;=_TM2,OR(TH!N798="1111",TH!O798="1111")),TH!D798,""),"")</f>
        <v/>
      </c>
      <c r="B798" s="63" t="str">
        <f t="shared" si="65"/>
        <v/>
      </c>
      <c r="C798" s="64"/>
      <c r="D798" s="64"/>
      <c r="E798" s="64"/>
      <c r="F798" s="67"/>
      <c r="G798" s="375"/>
      <c r="H798" s="74"/>
      <c r="I798" s="514"/>
      <c r="J798" s="514"/>
      <c r="K798" s="506"/>
      <c r="L798" s="514"/>
      <c r="M798" s="65"/>
      <c r="N798" s="66"/>
      <c r="O798" s="66"/>
      <c r="P798" s="66" t="str">
        <f>IF(AND('331-CT'!$E$7=TH!H798,OR(N798="331",O798="331")),"x","")</f>
        <v/>
      </c>
      <c r="Q798" s="66" t="str">
        <f>IF(AND($B798&gt;='111'!$N$11,$B798&lt;='111'!$O$11,OR($N798=$Q$7,$O798=$Q$7)),"x","")</f>
        <v/>
      </c>
      <c r="R798" s="66" t="str">
        <f>IF(AND($N798=$Q$7,$B798&lt;'111'!$N$11),"x","")</f>
        <v/>
      </c>
      <c r="S798" s="66" t="str">
        <f>IF(AND($O798=$Q$7,$B798&lt;'111'!$N$11),"x","")</f>
        <v/>
      </c>
      <c r="T798" s="66" t="str">
        <f>IF(AND($B798&gt;='112'!$M$9,$B798&lt;='112'!$N$9,OR($N798='112'!$I$6,$O798='112'!$I$6)),"x","")</f>
        <v/>
      </c>
      <c r="U798" s="66" t="str">
        <f>IF(AND($N798='112'!$I$6,$B798&lt;'112'!$M$9),"x","")</f>
        <v/>
      </c>
      <c r="V798" s="66" t="str">
        <f>IF(AND($O798='112'!$I$6,$B798&lt;'112'!$M$9),"x","")</f>
        <v/>
      </c>
      <c r="W798" s="66" t="str">
        <f>IF(AND('131-CT'!$H$9=TH!H798,OR(N798="131",O798="131")),"x","")</f>
        <v/>
      </c>
      <c r="X798" s="66" t="str">
        <f>IF(AND($B798&gt;='1331'!$I$9,$B798&lt;='1331'!$J$9,OR($N798=$X$7,$O798=$X$7)),"x","")</f>
        <v/>
      </c>
      <c r="Y798" s="66" t="str">
        <f>IF(AND($N798=$X$7,$B798&lt;'1331'!$I$9),"x","")</f>
        <v/>
      </c>
      <c r="Z798" s="66" t="str">
        <f>IF(AND($O798=$X$7,$B798&lt;'1331'!$I$9),"x","")</f>
        <v/>
      </c>
      <c r="AA798" s="66" t="str">
        <f>IF(AND('341-CT'!$H$9=H798,OR(LEFT(N798,3)=$AA$7,LEFT(O798,3)=$AA$7)),"x","")</f>
        <v/>
      </c>
      <c r="AB798" s="66" t="str">
        <f>IF(OR(TH!N798=TH!$AB$7,O798=TH!$AB$7),"x","")</f>
        <v/>
      </c>
      <c r="AC798" s="66" t="str">
        <f t="shared" si="66"/>
        <v/>
      </c>
      <c r="AD798" s="66" t="str">
        <f>IF(AND(MONTH(E798)='IN-NX'!$J$5,'IN-NX'!$D$7=D798,OR(LEFT(TH!N798,2)="15",LEFT(TH!O798,2)="15")),"x","")</f>
        <v/>
      </c>
      <c r="AE798" s="66" t="str">
        <f>IF(AND(OR(LEFT(TH!N798,2)="15",LEFT(TH!O798,2)="15"),'152-CT'!$J$8=TH!F798),"x","")</f>
        <v/>
      </c>
      <c r="AF798" s="66" t="str">
        <f>IF(AND(OR(LEFT(TH!N798,2)="15",LEFT(TH!O798,2)="15"),'THE KHO'!$E$7=TH!F798),"x","")</f>
        <v/>
      </c>
      <c r="AG798" s="66" t="str">
        <f>IF(AND(N798="1521",MONTH(C798)='BK NL'!$M$11),"x","")</f>
        <v/>
      </c>
    </row>
    <row r="799" spans="1:33" ht="15.75" hidden="1" customHeight="1">
      <c r="A799" s="397" t="str">
        <f>IF(B799&lt;&gt;"",IF(AND(B799&gt;=_TM1,B799&lt;=_TM2,OR(TH!N799="1111",TH!O799="1111")),TH!D799,""),"")</f>
        <v/>
      </c>
      <c r="B799" s="63" t="str">
        <f t="shared" si="65"/>
        <v/>
      </c>
      <c r="C799" s="64"/>
      <c r="D799" s="64"/>
      <c r="E799" s="64"/>
      <c r="F799" s="67"/>
      <c r="G799" s="375"/>
      <c r="H799" s="74"/>
      <c r="I799" s="514"/>
      <c r="J799" s="514"/>
      <c r="K799" s="506"/>
      <c r="L799" s="514"/>
      <c r="M799" s="65"/>
      <c r="N799" s="66"/>
      <c r="O799" s="66"/>
      <c r="P799" s="66" t="str">
        <f>IF(AND('331-CT'!$E$7=TH!H799,OR(N799="331",O799="331")),"x","")</f>
        <v/>
      </c>
      <c r="Q799" s="66" t="str">
        <f>IF(AND($B799&gt;='111'!$N$11,$B799&lt;='111'!$O$11,OR($N799=$Q$7,$O799=$Q$7)),"x","")</f>
        <v/>
      </c>
      <c r="R799" s="66" t="str">
        <f>IF(AND($N799=$Q$7,$B799&lt;'111'!$N$11),"x","")</f>
        <v/>
      </c>
      <c r="S799" s="66" t="str">
        <f>IF(AND($O799=$Q$7,$B799&lt;'111'!$N$11),"x","")</f>
        <v/>
      </c>
      <c r="T799" s="66" t="str">
        <f>IF(AND($B799&gt;='112'!$M$9,$B799&lt;='112'!$N$9,OR($N799='112'!$I$6,$O799='112'!$I$6)),"x","")</f>
        <v/>
      </c>
      <c r="U799" s="66" t="str">
        <f>IF(AND($N799='112'!$I$6,$B799&lt;'112'!$M$9),"x","")</f>
        <v/>
      </c>
      <c r="V799" s="66" t="str">
        <f>IF(AND($O799='112'!$I$6,$B799&lt;'112'!$M$9),"x","")</f>
        <v/>
      </c>
      <c r="W799" s="66" t="str">
        <f>IF(AND('131-CT'!$H$9=TH!H799,OR(N799="131",O799="131")),"x","")</f>
        <v/>
      </c>
      <c r="X799" s="66" t="str">
        <f>IF(AND($B799&gt;='1331'!$I$9,$B799&lt;='1331'!$J$9,OR($N799=$X$7,$O799=$X$7)),"x","")</f>
        <v/>
      </c>
      <c r="Y799" s="66" t="str">
        <f>IF(AND($N799=$X$7,$B799&lt;'1331'!$I$9),"x","")</f>
        <v/>
      </c>
      <c r="Z799" s="66" t="str">
        <f>IF(AND($O799=$X$7,$B799&lt;'1331'!$I$9),"x","")</f>
        <v/>
      </c>
      <c r="AA799" s="66" t="str">
        <f>IF(AND('341-CT'!$H$9=H799,OR(LEFT(N799,3)=$AA$7,LEFT(O799,3)=$AA$7)),"x","")</f>
        <v/>
      </c>
      <c r="AB799" s="66" t="str">
        <f>IF(OR(TH!N799=TH!$AB$7,O799=TH!$AB$7),"x","")</f>
        <v/>
      </c>
      <c r="AC799" s="66" t="str">
        <f t="shared" si="66"/>
        <v/>
      </c>
      <c r="AD799" s="66" t="str">
        <f>IF(AND(MONTH(E799)='IN-NX'!$J$5,'IN-NX'!$D$7=D799,OR(LEFT(TH!N799,2)="15",LEFT(TH!O799,2)="15")),"x","")</f>
        <v/>
      </c>
      <c r="AE799" s="66" t="str">
        <f>IF(AND(OR(LEFT(TH!N799,2)="15",LEFT(TH!O799,2)="15"),'152-CT'!$J$8=TH!F799),"x","")</f>
        <v/>
      </c>
      <c r="AF799" s="66" t="str">
        <f>IF(AND(OR(LEFT(TH!N799,2)="15",LEFT(TH!O799,2)="15"),'THE KHO'!$E$7=TH!F799),"x","")</f>
        <v/>
      </c>
      <c r="AG799" s="66" t="str">
        <f>IF(AND(N799="1521",MONTH(C799)='BK NL'!$M$11),"x","")</f>
        <v/>
      </c>
    </row>
    <row r="800" spans="1:33" ht="15.75" hidden="1" customHeight="1">
      <c r="A800" s="397" t="str">
        <f>IF(B800&lt;&gt;"",IF(AND(B800&gt;=_TM1,B800&lt;=_TM2,OR(TH!N800="1111",TH!O800="1111")),TH!D800,""),"")</f>
        <v/>
      </c>
      <c r="B800" s="63" t="str">
        <f t="shared" ref="B800:B810" si="67">IF(C800&lt;&gt;"",MONTH(C800),"")</f>
        <v/>
      </c>
      <c r="C800" s="64"/>
      <c r="D800" s="64"/>
      <c r="E800" s="64"/>
      <c r="F800" s="67"/>
      <c r="G800" s="361"/>
      <c r="H800" s="74"/>
      <c r="I800" s="514"/>
      <c r="J800" s="514"/>
      <c r="K800" s="506"/>
      <c r="L800" s="514"/>
      <c r="M800" s="65"/>
      <c r="N800" s="66"/>
      <c r="O800" s="66"/>
      <c r="P800" s="66" t="str">
        <f>IF(AND('331-CT'!$E$7=TH!H800,OR(N800="331",O800="331")),"x","")</f>
        <v/>
      </c>
      <c r="Q800" s="66" t="str">
        <f>IF(AND($B800&gt;='111'!$N$11,$B800&lt;='111'!$O$11,OR($N800=$Q$7,$O800=$Q$7)),"x","")</f>
        <v/>
      </c>
      <c r="R800" s="66" t="str">
        <f>IF(AND($N800=$Q$7,$B800&lt;'111'!$N$11),"x","")</f>
        <v/>
      </c>
      <c r="S800" s="66" t="str">
        <f>IF(AND($O800=$Q$7,$B800&lt;'111'!$N$11),"x","")</f>
        <v/>
      </c>
      <c r="T800" s="66" t="str">
        <f>IF(AND($B800&gt;='112'!$M$9,$B800&lt;='112'!$N$9,OR($N800='112'!$I$6,$O800='112'!$I$6)),"x","")</f>
        <v/>
      </c>
      <c r="U800" s="66" t="str">
        <f>IF(AND($N800='112'!$I$6,$B800&lt;'112'!$M$9),"x","")</f>
        <v/>
      </c>
      <c r="V800" s="66" t="str">
        <f>IF(AND($O800='112'!$I$6,$B800&lt;'112'!$M$9),"x","")</f>
        <v/>
      </c>
      <c r="W800" s="66" t="str">
        <f>IF(AND('131-CT'!$H$9=TH!H800,OR(N800="131",O800="131")),"x","")</f>
        <v/>
      </c>
      <c r="X800" s="66" t="str">
        <f>IF(AND($B800&gt;='1331'!$I$9,$B800&lt;='1331'!$J$9,OR($N800=$X$7,$O800=$X$7)),"x","")</f>
        <v/>
      </c>
      <c r="Y800" s="66" t="str">
        <f>IF(AND($N800=$X$7,$B800&lt;'1331'!$I$9),"x","")</f>
        <v/>
      </c>
      <c r="Z800" s="66" t="str">
        <f>IF(AND($O800=$X$7,$B800&lt;'1331'!$I$9),"x","")</f>
        <v/>
      </c>
      <c r="AA800" s="66" t="str">
        <f>IF(AND('341-CT'!$H$9=H800,OR(LEFT(N800,3)=$AA$7,LEFT(O800,3)=$AA$7)),"x","")</f>
        <v/>
      </c>
      <c r="AB800" s="66" t="str">
        <f>IF(OR(TH!N800=TH!$AB$7,O800=TH!$AB$7),"x","")</f>
        <v/>
      </c>
      <c r="AC800" s="66" t="str">
        <f t="shared" si="66"/>
        <v/>
      </c>
      <c r="AD800" s="66" t="str">
        <f>IF(AND(MONTH(E800)='IN-NX'!$J$5,'IN-NX'!$D$7=D800,OR(LEFT(TH!N800,2)="15",LEFT(TH!O800,2)="15")),"x","")</f>
        <v/>
      </c>
      <c r="AE800" s="66" t="str">
        <f>IF(AND(OR(LEFT(TH!N800,2)="15",LEFT(TH!O800,2)="15"),'152-CT'!$J$8=TH!F800),"x","")</f>
        <v/>
      </c>
      <c r="AF800" s="66" t="str">
        <f>IF(AND(OR(LEFT(TH!N800,2)="15",LEFT(TH!O800,2)="15"),'THE KHO'!$E$7=TH!F800),"x","")</f>
        <v/>
      </c>
      <c r="AG800" s="66" t="str">
        <f>IF(AND(N800="1521",MONTH(C800)='BK NL'!$M$11),"x","")</f>
        <v/>
      </c>
    </row>
    <row r="801" spans="1:33" ht="15.75" hidden="1" customHeight="1">
      <c r="A801" s="397" t="str">
        <f>IF(B801&lt;&gt;"",IF(AND(B801&gt;=_TM1,B801&lt;=_TM2,OR(TH!N801="1111",TH!O801="1111")),TH!D801,""),"")</f>
        <v/>
      </c>
      <c r="B801" s="63" t="str">
        <f t="shared" si="67"/>
        <v/>
      </c>
      <c r="C801" s="64"/>
      <c r="D801" s="64"/>
      <c r="E801" s="64"/>
      <c r="F801" s="67"/>
      <c r="G801" s="361"/>
      <c r="H801" s="74"/>
      <c r="I801" s="514"/>
      <c r="J801" s="514"/>
      <c r="K801" s="506"/>
      <c r="L801" s="514"/>
      <c r="M801" s="65"/>
      <c r="N801" s="66"/>
      <c r="O801" s="66"/>
      <c r="P801" s="66" t="str">
        <f>IF(AND('331-CT'!$E$7=TH!H801,OR(N801="331",O801="331")),"x","")</f>
        <v/>
      </c>
      <c r="Q801" s="66" t="str">
        <f>IF(AND($B801&gt;='111'!$N$11,$B801&lt;='111'!$O$11,OR($N801=$Q$7,$O801=$Q$7)),"x","")</f>
        <v/>
      </c>
      <c r="R801" s="66" t="str">
        <f>IF(AND($N801=$Q$7,$B801&lt;'111'!$N$11),"x","")</f>
        <v/>
      </c>
      <c r="S801" s="66" t="str">
        <f>IF(AND($O801=$Q$7,$B801&lt;'111'!$N$11),"x","")</f>
        <v/>
      </c>
      <c r="T801" s="66" t="str">
        <f>IF(AND($B801&gt;='112'!$M$9,$B801&lt;='112'!$N$9,OR($N801='112'!$I$6,$O801='112'!$I$6)),"x","")</f>
        <v/>
      </c>
      <c r="U801" s="66" t="str">
        <f>IF(AND($N801='112'!$I$6,$B801&lt;'112'!$M$9),"x","")</f>
        <v/>
      </c>
      <c r="V801" s="66" t="str">
        <f>IF(AND($O801='112'!$I$6,$B801&lt;'112'!$M$9),"x","")</f>
        <v/>
      </c>
      <c r="W801" s="66" t="str">
        <f>IF(AND('131-CT'!$H$9=TH!H801,OR(N801="131",O801="131")),"x","")</f>
        <v/>
      </c>
      <c r="X801" s="66" t="str">
        <f>IF(AND($B801&gt;='1331'!$I$9,$B801&lt;='1331'!$J$9,OR($N801=$X$7,$O801=$X$7)),"x","")</f>
        <v/>
      </c>
      <c r="Y801" s="66" t="str">
        <f>IF(AND($N801=$X$7,$B801&lt;'1331'!$I$9),"x","")</f>
        <v/>
      </c>
      <c r="Z801" s="66" t="str">
        <f>IF(AND($O801=$X$7,$B801&lt;'1331'!$I$9),"x","")</f>
        <v/>
      </c>
      <c r="AA801" s="66" t="str">
        <f>IF(AND('341-CT'!$H$9=H801,OR(LEFT(N801,3)=$AA$7,LEFT(O801,3)=$AA$7)),"x","")</f>
        <v/>
      </c>
      <c r="AB801" s="66" t="str">
        <f>IF(OR(TH!N801=TH!$AB$7,O801=TH!$AB$7),"x","")</f>
        <v/>
      </c>
      <c r="AC801" s="66" t="str">
        <f t="shared" si="66"/>
        <v/>
      </c>
      <c r="AD801" s="66" t="str">
        <f>IF(AND(MONTH(E801)='IN-NX'!$J$5,'IN-NX'!$D$7=D801,OR(LEFT(TH!N801,2)="15",LEFT(TH!O801,2)="15")),"x","")</f>
        <v/>
      </c>
      <c r="AE801" s="66" t="str">
        <f>IF(AND(OR(LEFT(TH!N801,2)="15",LEFT(TH!O801,2)="15"),'152-CT'!$J$8=TH!F801),"x","")</f>
        <v/>
      </c>
      <c r="AF801" s="66" t="str">
        <f>IF(AND(OR(LEFT(TH!N801,2)="15",LEFT(TH!O801,2)="15"),'THE KHO'!$E$7=TH!F801),"x","")</f>
        <v/>
      </c>
      <c r="AG801" s="66" t="str">
        <f>IF(AND(N801="1521",MONTH(C801)='BK NL'!$M$11),"x","")</f>
        <v/>
      </c>
    </row>
    <row r="802" spans="1:33" ht="15.75" hidden="1" customHeight="1">
      <c r="A802" s="397" t="str">
        <f>IF(B802&lt;&gt;"",IF(AND(B802&gt;=_TM1,B802&lt;=_TM2,OR(TH!N802="1111",TH!O802="1111")),TH!D802,""),"")</f>
        <v/>
      </c>
      <c r="B802" s="63" t="str">
        <f t="shared" si="67"/>
        <v/>
      </c>
      <c r="C802" s="64"/>
      <c r="D802" s="64"/>
      <c r="E802" s="64"/>
      <c r="F802" s="67"/>
      <c r="G802" s="361"/>
      <c r="H802" s="74"/>
      <c r="I802" s="514"/>
      <c r="J802" s="514"/>
      <c r="K802" s="506"/>
      <c r="L802" s="514"/>
      <c r="M802" s="65"/>
      <c r="N802" s="66"/>
      <c r="O802" s="66"/>
      <c r="P802" s="66" t="str">
        <f>IF(AND('331-CT'!$E$7=TH!H802,OR(N802="331",O802="331")),"x","")</f>
        <v/>
      </c>
      <c r="Q802" s="66" t="str">
        <f>IF(AND($B802&gt;='111'!$N$11,$B802&lt;='111'!$O$11,OR($N802=$Q$7,$O802=$Q$7)),"x","")</f>
        <v/>
      </c>
      <c r="R802" s="66" t="str">
        <f>IF(AND($N802=$Q$7,$B802&lt;'111'!$N$11),"x","")</f>
        <v/>
      </c>
      <c r="S802" s="66" t="str">
        <f>IF(AND($O802=$Q$7,$B802&lt;'111'!$N$11),"x","")</f>
        <v/>
      </c>
      <c r="T802" s="66" t="str">
        <f>IF(AND($B802&gt;='112'!$M$9,$B802&lt;='112'!$N$9,OR($N802='112'!$I$6,$O802='112'!$I$6)),"x","")</f>
        <v/>
      </c>
      <c r="U802" s="66" t="str">
        <f>IF(AND($N802='112'!$I$6,$B802&lt;'112'!$M$9),"x","")</f>
        <v/>
      </c>
      <c r="V802" s="66" t="str">
        <f>IF(AND($O802='112'!$I$6,$B802&lt;'112'!$M$9),"x","")</f>
        <v/>
      </c>
      <c r="W802" s="66" t="str">
        <f>IF(AND('131-CT'!$H$9=TH!H802,OR(N802="131",O802="131")),"x","")</f>
        <v/>
      </c>
      <c r="X802" s="66" t="str">
        <f>IF(AND($B802&gt;='1331'!$I$9,$B802&lt;='1331'!$J$9,OR($N802=$X$7,$O802=$X$7)),"x","")</f>
        <v/>
      </c>
      <c r="Y802" s="66" t="str">
        <f>IF(AND($N802=$X$7,$B802&lt;'1331'!$I$9),"x","")</f>
        <v/>
      </c>
      <c r="Z802" s="66" t="str">
        <f>IF(AND($O802=$X$7,$B802&lt;'1331'!$I$9),"x","")</f>
        <v/>
      </c>
      <c r="AA802" s="66" t="str">
        <f>IF(AND('341-CT'!$H$9=H802,OR(LEFT(N802,3)=$AA$7,LEFT(O802,3)=$AA$7)),"x","")</f>
        <v/>
      </c>
      <c r="AB802" s="66" t="str">
        <f>IF(OR(TH!N802=TH!$AB$7,O802=TH!$AB$7),"x","")</f>
        <v/>
      </c>
      <c r="AC802" s="66" t="str">
        <f t="shared" si="66"/>
        <v/>
      </c>
      <c r="AD802" s="66" t="str">
        <f>IF(AND(MONTH(E802)='IN-NX'!$J$5,'IN-NX'!$D$7=D802,OR(LEFT(TH!N802,2)="15",LEFT(TH!O802,2)="15")),"x","")</f>
        <v/>
      </c>
      <c r="AE802" s="66" t="str">
        <f>IF(AND(OR(LEFT(TH!N802,2)="15",LEFT(TH!O802,2)="15"),'152-CT'!$J$8=TH!F802),"x","")</f>
        <v/>
      </c>
      <c r="AF802" s="66" t="str">
        <f>IF(AND(OR(LEFT(TH!N802,2)="15",LEFT(TH!O802,2)="15"),'THE KHO'!$E$7=TH!F802),"x","")</f>
        <v/>
      </c>
      <c r="AG802" s="66" t="str">
        <f>IF(AND(N802="1521",MONTH(C802)='BK NL'!$M$11),"x","")</f>
        <v/>
      </c>
    </row>
    <row r="803" spans="1:33" ht="15.75" hidden="1" customHeight="1">
      <c r="A803" s="397" t="str">
        <f>IF(B803&lt;&gt;"",IF(AND(B803&gt;=_TM1,B803&lt;=_TM2,OR(TH!N803="1111",TH!O803="1111")),TH!D803,""),"")</f>
        <v/>
      </c>
      <c r="B803" s="63" t="str">
        <f t="shared" si="67"/>
        <v/>
      </c>
      <c r="C803" s="64"/>
      <c r="D803" s="64"/>
      <c r="E803" s="64"/>
      <c r="F803" s="67"/>
      <c r="G803" s="361"/>
      <c r="H803" s="74"/>
      <c r="I803" s="514"/>
      <c r="J803" s="514"/>
      <c r="K803" s="506"/>
      <c r="L803" s="514"/>
      <c r="M803" s="65"/>
      <c r="N803" s="66"/>
      <c r="O803" s="66"/>
      <c r="P803" s="66" t="str">
        <f>IF(AND('331-CT'!$E$7=TH!H803,OR(N803="331",O803="331")),"x","")</f>
        <v/>
      </c>
      <c r="Q803" s="66" t="str">
        <f>IF(AND($B803&gt;='111'!$N$11,$B803&lt;='111'!$O$11,OR($N803=$Q$7,$O803=$Q$7)),"x","")</f>
        <v/>
      </c>
      <c r="R803" s="66" t="str">
        <f>IF(AND($N803=$Q$7,$B803&lt;'111'!$N$11),"x","")</f>
        <v/>
      </c>
      <c r="S803" s="66" t="str">
        <f>IF(AND($O803=$Q$7,$B803&lt;'111'!$N$11),"x","")</f>
        <v/>
      </c>
      <c r="T803" s="66" t="str">
        <f>IF(AND($B803&gt;='112'!$M$9,$B803&lt;='112'!$N$9,OR($N803='112'!$I$6,$O803='112'!$I$6)),"x","")</f>
        <v/>
      </c>
      <c r="U803" s="66" t="str">
        <f>IF(AND($N803='112'!$I$6,$B803&lt;'112'!$M$9),"x","")</f>
        <v/>
      </c>
      <c r="V803" s="66" t="str">
        <f>IF(AND($O803='112'!$I$6,$B803&lt;'112'!$M$9),"x","")</f>
        <v/>
      </c>
      <c r="W803" s="66" t="str">
        <f>IF(AND('131-CT'!$H$9=TH!H803,OR(N803="131",O803="131")),"x","")</f>
        <v/>
      </c>
      <c r="X803" s="66" t="str">
        <f>IF(AND($B803&gt;='1331'!$I$9,$B803&lt;='1331'!$J$9,OR($N803=$X$7,$O803=$X$7)),"x","")</f>
        <v/>
      </c>
      <c r="Y803" s="66" t="str">
        <f>IF(AND($N803=$X$7,$B803&lt;'1331'!$I$9),"x","")</f>
        <v/>
      </c>
      <c r="Z803" s="66" t="str">
        <f>IF(AND($O803=$X$7,$B803&lt;'1331'!$I$9),"x","")</f>
        <v/>
      </c>
      <c r="AA803" s="66" t="str">
        <f>IF(AND('341-CT'!$H$9=H803,OR(LEFT(N803,3)=$AA$7,LEFT(O803,3)=$AA$7)),"x","")</f>
        <v/>
      </c>
      <c r="AB803" s="66" t="str">
        <f>IF(OR(TH!N803=TH!$AB$7,O803=TH!$AB$7),"x","")</f>
        <v/>
      </c>
      <c r="AC803" s="66" t="str">
        <f t="shared" si="66"/>
        <v/>
      </c>
      <c r="AD803" s="66" t="str">
        <f>IF(AND(MONTH(E803)='IN-NX'!$J$5,'IN-NX'!$D$7=D803,OR(LEFT(TH!N803,2)="15",LEFT(TH!O803,2)="15")),"x","")</f>
        <v/>
      </c>
      <c r="AE803" s="66" t="str">
        <f>IF(AND(OR(LEFT(TH!N803,2)="15",LEFT(TH!O803,2)="15"),'152-CT'!$J$8=TH!F803),"x","")</f>
        <v/>
      </c>
      <c r="AF803" s="66" t="str">
        <f>IF(AND(OR(LEFT(TH!N803,2)="15",LEFT(TH!O803,2)="15"),'THE KHO'!$E$7=TH!F803),"x","")</f>
        <v/>
      </c>
      <c r="AG803" s="66" t="str">
        <f>IF(AND(N803="1521",MONTH(C803)='BK NL'!$M$11),"x","")</f>
        <v/>
      </c>
    </row>
    <row r="804" spans="1:33" ht="15.75" hidden="1" customHeight="1">
      <c r="A804" s="397" t="str">
        <f>IF(B804&lt;&gt;"",IF(AND(B804&gt;=_TM1,B804&lt;=_TM2,OR(TH!N804="1111",TH!O804="1111")),TH!D804,""),"")</f>
        <v/>
      </c>
      <c r="B804" s="63" t="str">
        <f t="shared" si="67"/>
        <v/>
      </c>
      <c r="C804" s="64"/>
      <c r="D804" s="64"/>
      <c r="E804" s="64"/>
      <c r="F804" s="67"/>
      <c r="G804" s="361"/>
      <c r="H804" s="74"/>
      <c r="I804" s="514"/>
      <c r="J804" s="514"/>
      <c r="K804" s="506"/>
      <c r="L804" s="514"/>
      <c r="M804" s="65"/>
      <c r="N804" s="66"/>
      <c r="O804" s="66"/>
      <c r="P804" s="66" t="str">
        <f>IF(AND('331-CT'!$E$7=TH!H804,OR(N804="331",O804="331")),"x","")</f>
        <v/>
      </c>
      <c r="Q804" s="66" t="str">
        <f>IF(AND($B804&gt;='111'!$N$11,$B804&lt;='111'!$O$11,OR($N804=$Q$7,$O804=$Q$7)),"x","")</f>
        <v/>
      </c>
      <c r="R804" s="66" t="str">
        <f>IF(AND($N804=$Q$7,$B804&lt;'111'!$N$11),"x","")</f>
        <v/>
      </c>
      <c r="S804" s="66" t="str">
        <f>IF(AND($O804=$Q$7,$B804&lt;'111'!$N$11),"x","")</f>
        <v/>
      </c>
      <c r="T804" s="66" t="str">
        <f>IF(AND($B804&gt;='112'!$M$9,$B804&lt;='112'!$N$9,OR($N804='112'!$I$6,$O804='112'!$I$6)),"x","")</f>
        <v/>
      </c>
      <c r="U804" s="66" t="str">
        <f>IF(AND($N804='112'!$I$6,$B804&lt;'112'!$M$9),"x","")</f>
        <v/>
      </c>
      <c r="V804" s="66" t="str">
        <f>IF(AND($O804='112'!$I$6,$B804&lt;'112'!$M$9),"x","")</f>
        <v/>
      </c>
      <c r="W804" s="66" t="str">
        <f>IF(AND('131-CT'!$H$9=TH!H804,OR(N804="131",O804="131")),"x","")</f>
        <v/>
      </c>
      <c r="X804" s="66" t="str">
        <f>IF(AND($B804&gt;='1331'!$I$9,$B804&lt;='1331'!$J$9,OR($N804=$X$7,$O804=$X$7)),"x","")</f>
        <v/>
      </c>
      <c r="Y804" s="66" t="str">
        <f>IF(AND($N804=$X$7,$B804&lt;'1331'!$I$9),"x","")</f>
        <v/>
      </c>
      <c r="Z804" s="66" t="str">
        <f>IF(AND($O804=$X$7,$B804&lt;'1331'!$I$9),"x","")</f>
        <v/>
      </c>
      <c r="AA804" s="66" t="str">
        <f>IF(AND('341-CT'!$H$9=H804,OR(LEFT(N804,3)=$AA$7,LEFT(O804,3)=$AA$7)),"x","")</f>
        <v/>
      </c>
      <c r="AB804" s="66" t="str">
        <f>IF(OR(TH!N804=TH!$AB$7,O804=TH!$AB$7),"x","")</f>
        <v/>
      </c>
      <c r="AC804" s="66" t="str">
        <f t="shared" si="66"/>
        <v/>
      </c>
      <c r="AD804" s="66" t="str">
        <f>IF(AND(MONTH(E804)='IN-NX'!$J$5,'IN-NX'!$D$7=D804,OR(LEFT(TH!N804,2)="15",LEFT(TH!O804,2)="15")),"x","")</f>
        <v/>
      </c>
      <c r="AE804" s="66" t="str">
        <f>IF(AND(OR(LEFT(TH!N804,2)="15",LEFT(TH!O804,2)="15"),'152-CT'!$J$8=TH!F804),"x","")</f>
        <v/>
      </c>
      <c r="AF804" s="66" t="str">
        <f>IF(AND(OR(LEFT(TH!N804,2)="15",LEFT(TH!O804,2)="15"),'THE KHO'!$E$7=TH!F804),"x","")</f>
        <v/>
      </c>
      <c r="AG804" s="66" t="str">
        <f>IF(AND(N804="1521",MONTH(C804)='BK NL'!$M$11),"x","")</f>
        <v/>
      </c>
    </row>
    <row r="805" spans="1:33" ht="15.75" hidden="1" customHeight="1">
      <c r="A805" s="397" t="str">
        <f>IF(B805&lt;&gt;"",IF(AND(B805&gt;=_TM1,B805&lt;=_TM2,OR(TH!N805="1111",TH!O805="1111")),TH!D805,""),"")</f>
        <v/>
      </c>
      <c r="B805" s="63" t="str">
        <f t="shared" si="67"/>
        <v/>
      </c>
      <c r="C805" s="64"/>
      <c r="D805" s="64"/>
      <c r="E805" s="64"/>
      <c r="F805" s="67"/>
      <c r="G805" s="361"/>
      <c r="H805" s="74"/>
      <c r="I805" s="514"/>
      <c r="J805" s="514"/>
      <c r="K805" s="506"/>
      <c r="L805" s="514"/>
      <c r="M805" s="65"/>
      <c r="N805" s="66"/>
      <c r="O805" s="66"/>
      <c r="P805" s="66" t="str">
        <f>IF(AND('331-CT'!$E$7=TH!H805,OR(N805="331",O805="331")),"x","")</f>
        <v/>
      </c>
      <c r="Q805" s="66" t="str">
        <f>IF(AND($B805&gt;='111'!$N$11,$B805&lt;='111'!$O$11,OR($N805=$Q$7,$O805=$Q$7)),"x","")</f>
        <v/>
      </c>
      <c r="R805" s="66" t="str">
        <f>IF(AND($N805=$Q$7,$B805&lt;'111'!$N$11),"x","")</f>
        <v/>
      </c>
      <c r="S805" s="66" t="str">
        <f>IF(AND($O805=$Q$7,$B805&lt;'111'!$N$11),"x","")</f>
        <v/>
      </c>
      <c r="T805" s="66" t="str">
        <f>IF(AND($B805&gt;='112'!$M$9,$B805&lt;='112'!$N$9,OR($N805='112'!$I$6,$O805='112'!$I$6)),"x","")</f>
        <v/>
      </c>
      <c r="U805" s="66" t="str">
        <f>IF(AND($N805='112'!$I$6,$B805&lt;'112'!$M$9),"x","")</f>
        <v/>
      </c>
      <c r="V805" s="66" t="str">
        <f>IF(AND($O805='112'!$I$6,$B805&lt;'112'!$M$9),"x","")</f>
        <v/>
      </c>
      <c r="W805" s="66" t="str">
        <f>IF(AND('131-CT'!$H$9=TH!H805,OR(N805="131",O805="131")),"x","")</f>
        <v/>
      </c>
      <c r="X805" s="66" t="str">
        <f>IF(AND($B805&gt;='1331'!$I$9,$B805&lt;='1331'!$J$9,OR($N805=$X$7,$O805=$X$7)),"x","")</f>
        <v/>
      </c>
      <c r="Y805" s="66" t="str">
        <f>IF(AND($N805=$X$7,$B805&lt;'1331'!$I$9),"x","")</f>
        <v/>
      </c>
      <c r="Z805" s="66" t="str">
        <f>IF(AND($O805=$X$7,$B805&lt;'1331'!$I$9),"x","")</f>
        <v/>
      </c>
      <c r="AA805" s="66" t="str">
        <f>IF(AND('341-CT'!$H$9=H805,OR(LEFT(N805,3)=$AA$7,LEFT(O805,3)=$AA$7)),"x","")</f>
        <v/>
      </c>
      <c r="AB805" s="66" t="str">
        <f>IF(OR(TH!N805=TH!$AB$7,O805=TH!$AB$7),"x","")</f>
        <v/>
      </c>
      <c r="AC805" s="66" t="str">
        <f t="shared" si="66"/>
        <v/>
      </c>
      <c r="AD805" s="66" t="str">
        <f>IF(AND(MONTH(E805)='IN-NX'!$J$5,'IN-NX'!$D$7=D805,OR(LEFT(TH!N805,2)="15",LEFT(TH!O805,2)="15")),"x","")</f>
        <v/>
      </c>
      <c r="AE805" s="66" t="str">
        <f>IF(AND(OR(LEFT(TH!N805,2)="15",LEFT(TH!O805,2)="15"),'152-CT'!$J$8=TH!F805),"x","")</f>
        <v/>
      </c>
      <c r="AF805" s="66" t="str">
        <f>IF(AND(OR(LEFT(TH!N805,2)="15",LEFT(TH!O805,2)="15"),'THE KHO'!$E$7=TH!F805),"x","")</f>
        <v/>
      </c>
      <c r="AG805" s="66" t="str">
        <f>IF(AND(N805="1521",MONTH(C805)='BK NL'!$M$11),"x","")</f>
        <v/>
      </c>
    </row>
    <row r="806" spans="1:33" ht="15.75" hidden="1" customHeight="1">
      <c r="A806" s="397" t="str">
        <f>IF(B806&lt;&gt;"",IF(AND(B806&gt;=_TM1,B806&lt;=_TM2,OR(TH!N806="1111",TH!O806="1111")),TH!D806,""),"")</f>
        <v/>
      </c>
      <c r="B806" s="63" t="str">
        <f t="shared" si="67"/>
        <v/>
      </c>
      <c r="C806" s="64"/>
      <c r="D806" s="64"/>
      <c r="E806" s="64"/>
      <c r="F806" s="67"/>
      <c r="G806" s="361"/>
      <c r="H806" s="74"/>
      <c r="I806" s="514"/>
      <c r="J806" s="514"/>
      <c r="K806" s="506"/>
      <c r="L806" s="514"/>
      <c r="M806" s="65"/>
      <c r="N806" s="66"/>
      <c r="O806" s="66"/>
      <c r="P806" s="66" t="str">
        <f>IF(AND('331-CT'!$E$7=TH!H806,OR(N806="331",O806="331")),"x","")</f>
        <v/>
      </c>
      <c r="Q806" s="66" t="str">
        <f>IF(AND($B806&gt;='111'!$N$11,$B806&lt;='111'!$O$11,OR($N806=$Q$7,$O806=$Q$7)),"x","")</f>
        <v/>
      </c>
      <c r="R806" s="66" t="str">
        <f>IF(AND($N806=$Q$7,$B806&lt;'111'!$N$11),"x","")</f>
        <v/>
      </c>
      <c r="S806" s="66" t="str">
        <f>IF(AND($O806=$Q$7,$B806&lt;'111'!$N$11),"x","")</f>
        <v/>
      </c>
      <c r="T806" s="66" t="str">
        <f>IF(AND($B806&gt;='112'!$M$9,$B806&lt;='112'!$N$9,OR($N806='112'!$I$6,$O806='112'!$I$6)),"x","")</f>
        <v/>
      </c>
      <c r="U806" s="66" t="str">
        <f>IF(AND($N806='112'!$I$6,$B806&lt;'112'!$M$9),"x","")</f>
        <v/>
      </c>
      <c r="V806" s="66" t="str">
        <f>IF(AND($O806='112'!$I$6,$B806&lt;'112'!$M$9),"x","")</f>
        <v/>
      </c>
      <c r="W806" s="66" t="str">
        <f>IF(AND('131-CT'!$H$9=TH!H806,OR(N806="131",O806="131")),"x","")</f>
        <v/>
      </c>
      <c r="X806" s="66" t="str">
        <f>IF(AND($B806&gt;='1331'!$I$9,$B806&lt;='1331'!$J$9,OR($N806=$X$7,$O806=$X$7)),"x","")</f>
        <v/>
      </c>
      <c r="Y806" s="66" t="str">
        <f>IF(AND($N806=$X$7,$B806&lt;'1331'!$I$9),"x","")</f>
        <v/>
      </c>
      <c r="Z806" s="66" t="str">
        <f>IF(AND($O806=$X$7,$B806&lt;'1331'!$I$9),"x","")</f>
        <v/>
      </c>
      <c r="AA806" s="66" t="str">
        <f>IF(AND('341-CT'!$H$9=H806,OR(LEFT(N806,3)=$AA$7,LEFT(O806,3)=$AA$7)),"x","")</f>
        <v/>
      </c>
      <c r="AB806" s="66" t="str">
        <f>IF(OR(TH!N806=TH!$AB$7,O806=TH!$AB$7),"x","")</f>
        <v/>
      </c>
      <c r="AC806" s="66" t="str">
        <f t="shared" si="66"/>
        <v/>
      </c>
      <c r="AD806" s="66" t="str">
        <f>IF(AND(MONTH(E806)='IN-NX'!$J$5,'IN-NX'!$D$7=D806,OR(LEFT(TH!N806,2)="15",LEFT(TH!O806,2)="15")),"x","")</f>
        <v/>
      </c>
      <c r="AE806" s="66" t="str">
        <f>IF(AND(OR(LEFT(TH!N806,2)="15",LEFT(TH!O806,2)="15"),'152-CT'!$J$8=TH!F806),"x","")</f>
        <v/>
      </c>
      <c r="AF806" s="66" t="str">
        <f>IF(AND(OR(LEFT(TH!N806,2)="15",LEFT(TH!O806,2)="15"),'THE KHO'!$E$7=TH!F806),"x","")</f>
        <v/>
      </c>
      <c r="AG806" s="66" t="str">
        <f>IF(AND(N806="1521",MONTH(C806)='BK NL'!$M$11),"x","")</f>
        <v/>
      </c>
    </row>
    <row r="807" spans="1:33" ht="15.75" hidden="1" customHeight="1">
      <c r="A807" s="397" t="str">
        <f>IF(B807&lt;&gt;"",IF(AND(B807&gt;=_TM1,B807&lt;=_TM2,OR(TH!N807="1111",TH!O807="1111")),TH!D807,""),"")</f>
        <v/>
      </c>
      <c r="B807" s="63" t="str">
        <f t="shared" si="67"/>
        <v/>
      </c>
      <c r="C807" s="64"/>
      <c r="D807" s="64"/>
      <c r="E807" s="64"/>
      <c r="F807" s="67"/>
      <c r="G807" s="361"/>
      <c r="H807" s="74"/>
      <c r="I807" s="514"/>
      <c r="J807" s="514"/>
      <c r="K807" s="506"/>
      <c r="L807" s="514"/>
      <c r="M807" s="65"/>
      <c r="N807" s="66"/>
      <c r="O807" s="66"/>
      <c r="P807" s="66" t="str">
        <f>IF(AND('331-CT'!$E$7=TH!H807,OR(N807="331",O807="331")),"x","")</f>
        <v/>
      </c>
      <c r="Q807" s="66" t="str">
        <f>IF(AND($B807&gt;='111'!$N$11,$B807&lt;='111'!$O$11,OR($N807=$Q$7,$O807=$Q$7)),"x","")</f>
        <v/>
      </c>
      <c r="R807" s="66" t="str">
        <f>IF(AND($N807=$Q$7,$B807&lt;'111'!$N$11),"x","")</f>
        <v/>
      </c>
      <c r="S807" s="66" t="str">
        <f>IF(AND($O807=$Q$7,$B807&lt;'111'!$N$11),"x","")</f>
        <v/>
      </c>
      <c r="T807" s="66" t="str">
        <f>IF(AND($B807&gt;='112'!$M$9,$B807&lt;='112'!$N$9,OR($N807='112'!$I$6,$O807='112'!$I$6)),"x","")</f>
        <v/>
      </c>
      <c r="U807" s="66" t="str">
        <f>IF(AND($N807='112'!$I$6,$B807&lt;'112'!$M$9),"x","")</f>
        <v/>
      </c>
      <c r="V807" s="66" t="str">
        <f>IF(AND($O807='112'!$I$6,$B807&lt;'112'!$M$9),"x","")</f>
        <v/>
      </c>
      <c r="W807" s="66" t="str">
        <f>IF(AND('131-CT'!$H$9=TH!H807,OR(N807="131",O807="131")),"x","")</f>
        <v/>
      </c>
      <c r="X807" s="66" t="str">
        <f>IF(AND($B807&gt;='1331'!$I$9,$B807&lt;='1331'!$J$9,OR($N807=$X$7,$O807=$X$7)),"x","")</f>
        <v/>
      </c>
      <c r="Y807" s="66" t="str">
        <f>IF(AND($N807=$X$7,$B807&lt;'1331'!$I$9),"x","")</f>
        <v/>
      </c>
      <c r="Z807" s="66" t="str">
        <f>IF(AND($O807=$X$7,$B807&lt;'1331'!$I$9),"x","")</f>
        <v/>
      </c>
      <c r="AA807" s="66" t="str">
        <f>IF(AND('341-CT'!$H$9=H807,OR(LEFT(N807,3)=$AA$7,LEFT(O807,3)=$AA$7)),"x","")</f>
        <v/>
      </c>
      <c r="AB807" s="66" t="str">
        <f>IF(OR(TH!N807=TH!$AB$7,O807=TH!$AB$7),"x","")</f>
        <v/>
      </c>
      <c r="AC807" s="66" t="str">
        <f t="shared" si="66"/>
        <v/>
      </c>
      <c r="AD807" s="66" t="str">
        <f>IF(AND(MONTH(E807)='IN-NX'!$J$5,'IN-NX'!$D$7=D807,OR(LEFT(TH!N807,2)="15",LEFT(TH!O807,2)="15")),"x","")</f>
        <v/>
      </c>
      <c r="AE807" s="66" t="str">
        <f>IF(AND(OR(LEFT(TH!N807,2)="15",LEFT(TH!O807,2)="15"),'152-CT'!$J$8=TH!F807),"x","")</f>
        <v/>
      </c>
      <c r="AF807" s="66" t="str">
        <f>IF(AND(OR(LEFT(TH!N807,2)="15",LEFT(TH!O807,2)="15"),'THE KHO'!$E$7=TH!F807),"x","")</f>
        <v/>
      </c>
      <c r="AG807" s="66" t="str">
        <f>IF(AND(N807="1521",MONTH(C807)='BK NL'!$M$11),"x","")</f>
        <v/>
      </c>
    </row>
    <row r="808" spans="1:33" ht="15.75" hidden="1" customHeight="1">
      <c r="A808" s="397" t="str">
        <f>IF(B808&lt;&gt;"",IF(AND(B808&gt;=_TM1,B808&lt;=_TM2,OR(TH!N808="1111",TH!O808="1111")),TH!D808,""),"")</f>
        <v/>
      </c>
      <c r="B808" s="63" t="str">
        <f t="shared" si="67"/>
        <v/>
      </c>
      <c r="C808" s="64"/>
      <c r="D808" s="64"/>
      <c r="E808" s="64"/>
      <c r="F808" s="67"/>
      <c r="G808" s="361"/>
      <c r="H808" s="74"/>
      <c r="I808" s="514"/>
      <c r="J808" s="514"/>
      <c r="K808" s="506"/>
      <c r="L808" s="514"/>
      <c r="M808" s="65"/>
      <c r="N808" s="66"/>
      <c r="O808" s="66"/>
      <c r="P808" s="66" t="str">
        <f>IF(AND('331-CT'!$E$7=TH!H808,OR(N808="331",O808="331")),"x","")</f>
        <v/>
      </c>
      <c r="Q808" s="66" t="str">
        <f>IF(AND($B808&gt;='111'!$N$11,$B808&lt;='111'!$O$11,OR($N808=$Q$7,$O808=$Q$7)),"x","")</f>
        <v/>
      </c>
      <c r="R808" s="66" t="str">
        <f>IF(AND($N808=$Q$7,$B808&lt;'111'!$N$11),"x","")</f>
        <v/>
      </c>
      <c r="S808" s="66" t="str">
        <f>IF(AND($O808=$Q$7,$B808&lt;'111'!$N$11),"x","")</f>
        <v/>
      </c>
      <c r="T808" s="66" t="str">
        <f>IF(AND($B808&gt;='112'!$M$9,$B808&lt;='112'!$N$9,OR($N808='112'!$I$6,$O808='112'!$I$6)),"x","")</f>
        <v/>
      </c>
      <c r="U808" s="66" t="str">
        <f>IF(AND($N808='112'!$I$6,$B808&lt;'112'!$M$9),"x","")</f>
        <v/>
      </c>
      <c r="V808" s="66" t="str">
        <f>IF(AND($O808='112'!$I$6,$B808&lt;'112'!$M$9),"x","")</f>
        <v/>
      </c>
      <c r="W808" s="66" t="str">
        <f>IF(AND('131-CT'!$H$9=TH!H808,OR(N808="131",O808="131")),"x","")</f>
        <v/>
      </c>
      <c r="X808" s="66" t="str">
        <f>IF(AND($B808&gt;='1331'!$I$9,$B808&lt;='1331'!$J$9,OR($N808=$X$7,$O808=$X$7)),"x","")</f>
        <v/>
      </c>
      <c r="Y808" s="66" t="str">
        <f>IF(AND($N808=$X$7,$B808&lt;'1331'!$I$9),"x","")</f>
        <v/>
      </c>
      <c r="Z808" s="66" t="str">
        <f>IF(AND($O808=$X$7,$B808&lt;'1331'!$I$9),"x","")</f>
        <v/>
      </c>
      <c r="AA808" s="66" t="str">
        <f>IF(AND('341-CT'!$H$9=H808,OR(LEFT(N808,3)=$AA$7,LEFT(O808,3)=$AA$7)),"x","")</f>
        <v/>
      </c>
      <c r="AB808" s="66" t="str">
        <f>IF(OR(TH!N808=TH!$AB$7,O808=TH!$AB$7),"x","")</f>
        <v/>
      </c>
      <c r="AC808" s="66" t="str">
        <f t="shared" si="66"/>
        <v/>
      </c>
      <c r="AD808" s="66" t="str">
        <f>IF(AND(MONTH(E808)='IN-NX'!$J$5,'IN-NX'!$D$7=D808,OR(LEFT(TH!N808,2)="15",LEFT(TH!O808,2)="15")),"x","")</f>
        <v/>
      </c>
      <c r="AE808" s="66" t="str">
        <f>IF(AND(OR(LEFT(TH!N808,2)="15",LEFT(TH!O808,2)="15"),'152-CT'!$J$8=TH!F808),"x","")</f>
        <v/>
      </c>
      <c r="AF808" s="66" t="str">
        <f>IF(AND(OR(LEFT(TH!N808,2)="15",LEFT(TH!O808,2)="15"),'THE KHO'!$E$7=TH!F808),"x","")</f>
        <v/>
      </c>
      <c r="AG808" s="66" t="str">
        <f>IF(AND(N808="1521",MONTH(C808)='BK NL'!$M$11),"x","")</f>
        <v/>
      </c>
    </row>
    <row r="809" spans="1:33" ht="15.75" hidden="1" customHeight="1">
      <c r="A809" s="397" t="str">
        <f>IF(B809&lt;&gt;"",IF(AND(B809&gt;=_TM1,B809&lt;=_TM2,OR(TH!N809="1111",TH!O809="1111")),TH!D809,""),"")</f>
        <v/>
      </c>
      <c r="B809" s="63" t="str">
        <f t="shared" si="67"/>
        <v/>
      </c>
      <c r="C809" s="64"/>
      <c r="D809" s="64"/>
      <c r="E809" s="64"/>
      <c r="F809" s="67"/>
      <c r="G809" s="361"/>
      <c r="H809" s="74"/>
      <c r="I809" s="514"/>
      <c r="J809" s="514"/>
      <c r="K809" s="506"/>
      <c r="L809" s="514"/>
      <c r="M809" s="65"/>
      <c r="N809" s="66"/>
      <c r="O809" s="66"/>
      <c r="P809" s="66" t="str">
        <f>IF(AND('331-CT'!$E$7=TH!H809,OR(N809="331",O809="331")),"x","")</f>
        <v/>
      </c>
      <c r="Q809" s="66" t="str">
        <f>IF(AND($B809&gt;='111'!$N$11,$B809&lt;='111'!$O$11,OR($N809=$Q$7,$O809=$Q$7)),"x","")</f>
        <v/>
      </c>
      <c r="R809" s="66" t="str">
        <f>IF(AND($N809=$Q$7,$B809&lt;'111'!$N$11),"x","")</f>
        <v/>
      </c>
      <c r="S809" s="66" t="str">
        <f>IF(AND($O809=$Q$7,$B809&lt;'111'!$N$11),"x","")</f>
        <v/>
      </c>
      <c r="T809" s="66" t="str">
        <f>IF(AND($B809&gt;='112'!$M$9,$B809&lt;='112'!$N$9,OR($N809='112'!$I$6,$O809='112'!$I$6)),"x","")</f>
        <v/>
      </c>
      <c r="U809" s="66" t="str">
        <f>IF(AND($N809='112'!$I$6,$B809&lt;'112'!$M$9),"x","")</f>
        <v/>
      </c>
      <c r="V809" s="66" t="str">
        <f>IF(AND($O809='112'!$I$6,$B809&lt;'112'!$M$9),"x","")</f>
        <v/>
      </c>
      <c r="W809" s="66" t="str">
        <f>IF(AND('131-CT'!$H$9=TH!H809,OR(N809="131",O809="131")),"x","")</f>
        <v/>
      </c>
      <c r="X809" s="66" t="str">
        <f>IF(AND($B809&gt;='1331'!$I$9,$B809&lt;='1331'!$J$9,OR($N809=$X$7,$O809=$X$7)),"x","")</f>
        <v/>
      </c>
      <c r="Y809" s="66" t="str">
        <f>IF(AND($N809=$X$7,$B809&lt;'1331'!$I$9),"x","")</f>
        <v/>
      </c>
      <c r="Z809" s="66" t="str">
        <f>IF(AND($O809=$X$7,$B809&lt;'1331'!$I$9),"x","")</f>
        <v/>
      </c>
      <c r="AA809" s="66" t="str">
        <f>IF(AND('341-CT'!$H$9=H809,OR(LEFT(N809,3)=$AA$7,LEFT(O809,3)=$AA$7)),"x","")</f>
        <v/>
      </c>
      <c r="AB809" s="66" t="str">
        <f>IF(OR(TH!N809=TH!$AB$7,O809=TH!$AB$7),"x","")</f>
        <v/>
      </c>
      <c r="AC809" s="66" t="str">
        <f t="shared" si="66"/>
        <v/>
      </c>
      <c r="AD809" s="66" t="str">
        <f>IF(AND(MONTH(E809)='IN-NX'!$J$5,'IN-NX'!$D$7=D809,OR(LEFT(TH!N809,2)="15",LEFT(TH!O809,2)="15")),"x","")</f>
        <v/>
      </c>
      <c r="AE809" s="66" t="str">
        <f>IF(AND(OR(LEFT(TH!N809,2)="15",LEFT(TH!O809,2)="15"),'152-CT'!$J$8=TH!F809),"x","")</f>
        <v/>
      </c>
      <c r="AF809" s="66" t="str">
        <f>IF(AND(OR(LEFT(TH!N809,2)="15",LEFT(TH!O809,2)="15"),'THE KHO'!$E$7=TH!F809),"x","")</f>
        <v/>
      </c>
      <c r="AG809" s="66" t="str">
        <f>IF(AND(N809="1521",MONTH(C809)='BK NL'!$M$11),"x","")</f>
        <v/>
      </c>
    </row>
    <row r="810" spans="1:33" ht="15.75" hidden="1" customHeight="1">
      <c r="A810" s="397" t="str">
        <f>IF(B810&lt;&gt;"",IF(AND(B810&gt;=_TM1,B810&lt;=_TM2,OR(TH!N810="1111",TH!O810="1111")),TH!D810,""),"")</f>
        <v/>
      </c>
      <c r="B810" s="63" t="str">
        <f t="shared" si="67"/>
        <v/>
      </c>
      <c r="C810" s="64"/>
      <c r="D810" s="64"/>
      <c r="E810" s="64"/>
      <c r="F810" s="67"/>
      <c r="G810" s="361"/>
      <c r="H810" s="74"/>
      <c r="I810" s="514"/>
      <c r="J810" s="514"/>
      <c r="K810" s="506"/>
      <c r="L810" s="514"/>
      <c r="M810" s="65"/>
      <c r="N810" s="66"/>
      <c r="O810" s="66"/>
      <c r="P810" s="66" t="str">
        <f>IF(AND('331-CT'!$E$7=TH!H810,OR(N810="331",O810="331")),"x","")</f>
        <v/>
      </c>
      <c r="Q810" s="66" t="str">
        <f>IF(AND($B810&gt;='111'!$N$11,$B810&lt;='111'!$O$11,OR($N810=$Q$7,$O810=$Q$7)),"x","")</f>
        <v/>
      </c>
      <c r="R810" s="66" t="str">
        <f>IF(AND($N810=$Q$7,$B810&lt;'111'!$N$11),"x","")</f>
        <v/>
      </c>
      <c r="S810" s="66" t="str">
        <f>IF(AND($O810=$Q$7,$B810&lt;'111'!$N$11),"x","")</f>
        <v/>
      </c>
      <c r="T810" s="66" t="str">
        <f>IF(AND($B810&gt;='112'!$M$9,$B810&lt;='112'!$N$9,OR($N810='112'!$I$6,$O810='112'!$I$6)),"x","")</f>
        <v/>
      </c>
      <c r="U810" s="66" t="str">
        <f>IF(AND($N810='112'!$I$6,$B810&lt;'112'!$M$9),"x","")</f>
        <v/>
      </c>
      <c r="V810" s="66" t="str">
        <f>IF(AND($O810='112'!$I$6,$B810&lt;'112'!$M$9),"x","")</f>
        <v/>
      </c>
      <c r="W810" s="66" t="str">
        <f>IF(AND('131-CT'!$H$9=TH!H810,OR(N810="131",O810="131")),"x","")</f>
        <v/>
      </c>
      <c r="X810" s="66" t="str">
        <f>IF(AND($B810&gt;='1331'!$I$9,$B810&lt;='1331'!$J$9,OR($N810=$X$7,$O810=$X$7)),"x","")</f>
        <v/>
      </c>
      <c r="Y810" s="66" t="str">
        <f>IF(AND($N810=$X$7,$B810&lt;'1331'!$I$9),"x","")</f>
        <v/>
      </c>
      <c r="Z810" s="66" t="str">
        <f>IF(AND($O810=$X$7,$B810&lt;'1331'!$I$9),"x","")</f>
        <v/>
      </c>
      <c r="AA810" s="66" t="str">
        <f>IF(AND('341-CT'!$H$9=H810,OR(LEFT(N810,3)=$AA$7,LEFT(O810,3)=$AA$7)),"x","")</f>
        <v/>
      </c>
      <c r="AB810" s="66" t="str">
        <f>IF(OR(TH!N810=TH!$AB$7,O810=TH!$AB$7),"x","")</f>
        <v/>
      </c>
      <c r="AC810" s="66" t="str">
        <f t="shared" si="66"/>
        <v/>
      </c>
      <c r="AD810" s="66" t="str">
        <f>IF(AND(MONTH(E810)='IN-NX'!$J$5,'IN-NX'!$D$7=D810,OR(LEFT(TH!N810,2)="15",LEFT(TH!O810,2)="15")),"x","")</f>
        <v/>
      </c>
      <c r="AE810" s="66" t="str">
        <f>IF(AND(OR(LEFT(TH!N810,2)="15",LEFT(TH!O810,2)="15"),'152-CT'!$J$8=TH!F810),"x","")</f>
        <v/>
      </c>
      <c r="AF810" s="66" t="str">
        <f>IF(AND(OR(LEFT(TH!N810,2)="15",LEFT(TH!O810,2)="15"),'THE KHO'!$E$7=TH!F810),"x","")</f>
        <v/>
      </c>
      <c r="AG810" s="66" t="str">
        <f>IF(AND(N810="1521",MONTH(C810)='BK NL'!$M$11),"x","")</f>
        <v/>
      </c>
    </row>
    <row r="811" spans="1:33" ht="15.75" hidden="1" customHeight="1">
      <c r="A811" s="397" t="str">
        <f>IF(B811&lt;&gt;"",IF(AND(B811&gt;=_TM1,B811&lt;=_TM2,OR(TH!N811="1111",TH!O811="1111")),TH!D811,""),"")</f>
        <v/>
      </c>
      <c r="B811" s="63" t="str">
        <f>IF(C811&lt;&gt;"",MONTH(C811),"")</f>
        <v/>
      </c>
      <c r="C811" s="64"/>
      <c r="D811" s="64"/>
      <c r="E811" s="64"/>
      <c r="F811" s="67"/>
      <c r="G811" s="361"/>
      <c r="H811" s="74"/>
      <c r="I811" s="514"/>
      <c r="J811" s="514"/>
      <c r="K811" s="506"/>
      <c r="L811" s="514"/>
      <c r="M811" s="65"/>
      <c r="N811" s="66"/>
      <c r="O811" s="66"/>
      <c r="P811" s="66" t="str">
        <f>IF(AND('331-CT'!$E$7=TH!H811,OR(N811="331",O811="331")),"x","")</f>
        <v/>
      </c>
      <c r="Q811" s="66" t="str">
        <f>IF(AND($B811&gt;='111'!$N$11,$B811&lt;='111'!$O$11,OR($N811=$Q$7,$O811=$Q$7)),"x","")</f>
        <v/>
      </c>
      <c r="R811" s="66" t="str">
        <f>IF(AND($N811=$Q$7,$B811&lt;'111'!$N$11),"x","")</f>
        <v/>
      </c>
      <c r="S811" s="66" t="str">
        <f>IF(AND($O811=$Q$7,$B811&lt;'111'!$N$11),"x","")</f>
        <v/>
      </c>
      <c r="T811" s="66" t="str">
        <f>IF(AND($B811&gt;='112'!$M$9,$B811&lt;='112'!$N$9,OR($N811='112'!$I$6,$O811='112'!$I$6)),"x","")</f>
        <v/>
      </c>
      <c r="U811" s="66" t="str">
        <f>IF(AND($N811='112'!$I$6,$B811&lt;'112'!$M$9),"x","")</f>
        <v/>
      </c>
      <c r="V811" s="66" t="str">
        <f>IF(AND($O811='112'!$I$6,$B811&lt;'112'!$M$9),"x","")</f>
        <v/>
      </c>
      <c r="W811" s="66" t="str">
        <f>IF(AND('131-CT'!$H$9=TH!H811,OR(N811="131",O811="131")),"x","")</f>
        <v/>
      </c>
      <c r="X811" s="66" t="str">
        <f>IF(AND($B811&gt;='1331'!$I$9,$B811&lt;='1331'!$J$9,OR($N811=$X$7,$O811=$X$7)),"x","")</f>
        <v/>
      </c>
      <c r="Y811" s="66" t="str">
        <f>IF(AND($N811=$X$7,$B811&lt;'1331'!$I$9),"x","")</f>
        <v/>
      </c>
      <c r="Z811" s="66" t="str">
        <f>IF(AND($O811=$X$7,$B811&lt;'1331'!$I$9),"x","")</f>
        <v/>
      </c>
      <c r="AA811" s="66" t="str">
        <f>IF(AND('341-CT'!$H$9=H811,OR(LEFT(N811,3)=$AA$7,LEFT(O811,3)=$AA$7)),"x","")</f>
        <v/>
      </c>
      <c r="AB811" s="66" t="str">
        <f>IF(OR(TH!N811=TH!$AB$7,O811=TH!$AB$7),"x","")</f>
        <v/>
      </c>
      <c r="AC811" s="66" t="str">
        <f t="shared" si="66"/>
        <v/>
      </c>
      <c r="AD811" s="66" t="str">
        <f>IF(AND(MONTH(E811)='IN-NX'!$J$5,'IN-NX'!$D$7=D811,OR(LEFT(TH!N811,2)="15",LEFT(TH!O811,2)="15")),"x","")</f>
        <v/>
      </c>
      <c r="AE811" s="66" t="str">
        <f>IF(AND(OR(LEFT(TH!N811,2)="15",LEFT(TH!O811,2)="15"),'152-CT'!$J$8=TH!F811),"x","")</f>
        <v/>
      </c>
      <c r="AF811" s="66" t="str">
        <f>IF(AND(OR(LEFT(TH!N811,2)="15",LEFT(TH!O811,2)="15"),'THE KHO'!$E$7=TH!F811),"x","")</f>
        <v/>
      </c>
      <c r="AG811" s="66" t="str">
        <f>IF(AND(N811="1521",MONTH(C811)='BK NL'!$M$11),"x","")</f>
        <v/>
      </c>
    </row>
    <row r="812" spans="1:33" ht="15.75" hidden="1" customHeight="1">
      <c r="A812" s="397" t="str">
        <f>IF(B812&lt;&gt;"",IF(AND(B812&gt;=_TM1,B812&lt;=_TM2,OR(TH!N812="1111",TH!O812="1111")),TH!D812,""),"")</f>
        <v/>
      </c>
      <c r="B812" s="63" t="str">
        <f>IF(C812&lt;&gt;"",MONTH(C812),"")</f>
        <v/>
      </c>
      <c r="C812" s="64"/>
      <c r="D812" s="64"/>
      <c r="E812" s="64"/>
      <c r="F812" s="67"/>
      <c r="G812" s="361"/>
      <c r="H812" s="74"/>
      <c r="I812" s="514"/>
      <c r="J812" s="514"/>
      <c r="K812" s="506"/>
      <c r="L812" s="514"/>
      <c r="M812" s="65"/>
      <c r="N812" s="66"/>
      <c r="O812" s="66"/>
      <c r="P812" s="66" t="str">
        <f>IF(AND('331-CT'!$E$7=TH!H812,OR(N812="331",O812="331")),"x","")</f>
        <v/>
      </c>
      <c r="Q812" s="66" t="str">
        <f>IF(AND($B812&gt;='111'!$N$11,$B812&lt;='111'!$O$11,OR($N812=$Q$7,$O812=$Q$7)),"x","")</f>
        <v/>
      </c>
      <c r="R812" s="66" t="str">
        <f>IF(AND($N812=$Q$7,$B812&lt;'111'!$N$11),"x","")</f>
        <v/>
      </c>
      <c r="S812" s="66" t="str">
        <f>IF(AND($O812=$Q$7,$B812&lt;'111'!$N$11),"x","")</f>
        <v/>
      </c>
      <c r="T812" s="66" t="str">
        <f>IF(AND($B812&gt;='112'!$M$9,$B812&lt;='112'!$N$9,OR($N812='112'!$I$6,$O812='112'!$I$6)),"x","")</f>
        <v/>
      </c>
      <c r="U812" s="66" t="str">
        <f>IF(AND($N812='112'!$I$6,$B812&lt;'112'!$M$9),"x","")</f>
        <v/>
      </c>
      <c r="V812" s="66" t="str">
        <f>IF(AND($O812='112'!$I$6,$B812&lt;'112'!$M$9),"x","")</f>
        <v/>
      </c>
      <c r="W812" s="66" t="str">
        <f>IF(AND('131-CT'!$H$9=TH!H812,OR(N812="131",O812="131")),"x","")</f>
        <v/>
      </c>
      <c r="X812" s="66" t="str">
        <f>IF(AND($B812&gt;='1331'!$I$9,$B812&lt;='1331'!$J$9,OR($N812=$X$7,$O812=$X$7)),"x","")</f>
        <v/>
      </c>
      <c r="Y812" s="66" t="str">
        <f>IF(AND($N812=$X$7,$B812&lt;'1331'!$I$9),"x","")</f>
        <v/>
      </c>
      <c r="Z812" s="66" t="str">
        <f>IF(AND($O812=$X$7,$B812&lt;'1331'!$I$9),"x","")</f>
        <v/>
      </c>
      <c r="AA812" s="66" t="str">
        <f>IF(AND('341-CT'!$H$9=H812,OR(LEFT(N812,3)=$AA$7,LEFT(O812,3)=$AA$7)),"x","")</f>
        <v/>
      </c>
      <c r="AB812" s="66" t="str">
        <f>IF(OR(TH!N812=TH!$AB$7,O812=TH!$AB$7),"x","")</f>
        <v/>
      </c>
      <c r="AC812" s="66" t="str">
        <f t="shared" si="66"/>
        <v/>
      </c>
      <c r="AD812" s="66" t="str">
        <f>IF(AND(MONTH(E812)='IN-NX'!$J$5,'IN-NX'!$D$7=D812,OR(LEFT(TH!N812,2)="15",LEFT(TH!O812,2)="15")),"x","")</f>
        <v/>
      </c>
      <c r="AE812" s="66" t="str">
        <f>IF(AND(OR(LEFT(TH!N812,2)="15",LEFT(TH!O812,2)="15"),'152-CT'!$J$8=TH!F812),"x","")</f>
        <v/>
      </c>
      <c r="AF812" s="66" t="str">
        <f>IF(AND(OR(LEFT(TH!N812,2)="15",LEFT(TH!O812,2)="15"),'THE KHO'!$E$7=TH!F812),"x","")</f>
        <v/>
      </c>
      <c r="AG812" s="66" t="str">
        <f>IF(AND(N812="1521",MONTH(C812)='BK NL'!$M$11),"x","")</f>
        <v/>
      </c>
    </row>
    <row r="813" spans="1:33" ht="15.75" hidden="1" customHeight="1">
      <c r="A813" s="397" t="str">
        <f>IF(B813&lt;&gt;"",IF(AND(B813&gt;=_TM1,B813&lt;=_TM2,OR(TH!N813="1111",TH!O813="1111")),TH!D813,""),"")</f>
        <v/>
      </c>
      <c r="B813" s="63" t="str">
        <f>IF(C813&lt;&gt;"",MONTH(C813),"")</f>
        <v/>
      </c>
      <c r="C813" s="64"/>
      <c r="D813" s="64"/>
      <c r="E813" s="64"/>
      <c r="F813" s="67"/>
      <c r="G813" s="361"/>
      <c r="H813" s="74"/>
      <c r="I813" s="514"/>
      <c r="J813" s="514"/>
      <c r="K813" s="506"/>
      <c r="L813" s="514"/>
      <c r="M813" s="65"/>
      <c r="N813" s="66"/>
      <c r="O813" s="66"/>
      <c r="P813" s="66" t="str">
        <f>IF(AND('331-CT'!$E$7=TH!H813,OR(N813="331",O813="331")),"x","")</f>
        <v/>
      </c>
      <c r="Q813" s="66" t="str">
        <f>IF(AND($B813&gt;='111'!$N$11,$B813&lt;='111'!$O$11,OR($N813=$Q$7,$O813=$Q$7)),"x","")</f>
        <v/>
      </c>
      <c r="R813" s="66" t="str">
        <f>IF(AND($N813=$Q$7,$B813&lt;'111'!$N$11),"x","")</f>
        <v/>
      </c>
      <c r="S813" s="66" t="str">
        <f>IF(AND($O813=$Q$7,$B813&lt;'111'!$N$11),"x","")</f>
        <v/>
      </c>
      <c r="T813" s="66" t="str">
        <f>IF(AND($B813&gt;='112'!$M$9,$B813&lt;='112'!$N$9,OR($N813='112'!$I$6,$O813='112'!$I$6)),"x","")</f>
        <v/>
      </c>
      <c r="U813" s="66" t="str">
        <f>IF(AND($N813='112'!$I$6,$B813&lt;'112'!$M$9),"x","")</f>
        <v/>
      </c>
      <c r="V813" s="66" t="str">
        <f>IF(AND($O813='112'!$I$6,$B813&lt;'112'!$M$9),"x","")</f>
        <v/>
      </c>
      <c r="W813" s="66" t="str">
        <f>IF(AND('131-CT'!$H$9=TH!H813,OR(N813="131",O813="131")),"x","")</f>
        <v/>
      </c>
      <c r="X813" s="66" t="str">
        <f>IF(AND($B813&gt;='1331'!$I$9,$B813&lt;='1331'!$J$9,OR($N813=$X$7,$O813=$X$7)),"x","")</f>
        <v/>
      </c>
      <c r="Y813" s="66" t="str">
        <f>IF(AND($N813=$X$7,$B813&lt;'1331'!$I$9),"x","")</f>
        <v/>
      </c>
      <c r="Z813" s="66" t="str">
        <f>IF(AND($O813=$X$7,$B813&lt;'1331'!$I$9),"x","")</f>
        <v/>
      </c>
      <c r="AA813" s="66" t="str">
        <f>IF(AND('341-CT'!$H$9=H813,OR(LEFT(N813,3)=$AA$7,LEFT(O813,3)=$AA$7)),"x","")</f>
        <v/>
      </c>
      <c r="AB813" s="66" t="str">
        <f>IF(OR(TH!N813=TH!$AB$7,O813=TH!$AB$7),"x","")</f>
        <v/>
      </c>
      <c r="AC813" s="66" t="str">
        <f t="shared" si="66"/>
        <v/>
      </c>
      <c r="AD813" s="66" t="str">
        <f>IF(AND(MONTH(E813)='IN-NX'!$J$5,'IN-NX'!$D$7=D813,OR(LEFT(TH!N813,2)="15",LEFT(TH!O813,2)="15")),"x","")</f>
        <v/>
      </c>
      <c r="AE813" s="66" t="str">
        <f>IF(AND(OR(LEFT(TH!N813,2)="15",LEFT(TH!O813,2)="15"),'152-CT'!$J$8=TH!F813),"x","")</f>
        <v/>
      </c>
      <c r="AF813" s="66" t="str">
        <f>IF(AND(OR(LEFT(TH!N813,2)="15",LEFT(TH!O813,2)="15"),'THE KHO'!$E$7=TH!F813),"x","")</f>
        <v/>
      </c>
      <c r="AG813" s="66" t="str">
        <f>IF(AND(N813="1521",MONTH(C813)='BK NL'!$M$11),"x","")</f>
        <v/>
      </c>
    </row>
    <row r="817" spans="13:13">
      <c r="M817" s="1055">
        <f>SUBTOTAL(9,M10:M813)</f>
        <v>2075153267</v>
      </c>
    </row>
  </sheetData>
  <autoFilter ref="A9:AI813">
    <filterColumn colId="1">
      <filters>
        <filter val="1"/>
        <filter val="2"/>
        <filter val="3"/>
      </filters>
    </filterColumn>
    <filterColumn colId="14">
      <filters>
        <filter val="1111"/>
      </filters>
    </filterColumn>
  </autoFilter>
  <sortState ref="A244:AI431">
    <sortCondition ref="C244:C431"/>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BC134"/>
  <sheetViews>
    <sheetView topLeftCell="A7" workbookViewId="0">
      <pane xSplit="8" ySplit="5" topLeftCell="P21"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92" customWidth="1"/>
    <col min="2" max="2" width="8.5703125" style="292" customWidth="1"/>
    <col min="3" max="3" width="7.42578125" style="292" customWidth="1"/>
    <col min="4" max="4" width="9" style="292" customWidth="1"/>
    <col min="5" max="5" width="40" style="292" customWidth="1"/>
    <col min="6" max="6" width="14.140625" style="292" customWidth="1"/>
    <col min="7" max="8" width="5.85546875" style="293" customWidth="1"/>
    <col min="9" max="9" width="4.85546875" style="292" customWidth="1"/>
    <col min="10" max="10" width="13" style="292" customWidth="1"/>
    <col min="11" max="11" width="12" style="292" customWidth="1"/>
    <col min="12" max="12" width="13.28515625" style="292" customWidth="1"/>
    <col min="13" max="13" width="13.5703125" style="292" customWidth="1"/>
    <col min="14" max="14" width="13.28515625" style="292" customWidth="1"/>
    <col min="15" max="15" width="13.5703125" style="292" customWidth="1"/>
    <col min="16" max="16" width="11.7109375" style="292" customWidth="1"/>
    <col min="17" max="17" width="6.140625" style="292" customWidth="1"/>
    <col min="18" max="18" width="11.7109375" style="292" customWidth="1"/>
    <col min="19" max="19" width="6.140625" style="292" customWidth="1"/>
    <col min="20" max="20" width="8.140625" style="292" customWidth="1"/>
    <col min="21" max="21" width="7.28515625" style="292" customWidth="1"/>
    <col min="22" max="22" width="12.7109375" style="292" customWidth="1"/>
    <col min="23" max="23" width="7.140625" style="292" customWidth="1"/>
    <col min="24" max="24" width="13.85546875" style="292" customWidth="1"/>
    <col min="25" max="25" width="5.85546875" style="292" customWidth="1"/>
    <col min="26" max="26" width="7.140625" style="292" customWidth="1"/>
    <col min="27" max="27" width="6" style="292" customWidth="1"/>
    <col min="28" max="28" width="11.28515625" style="292" customWidth="1"/>
    <col min="29" max="30" width="11.5703125" style="292" customWidth="1"/>
    <col min="31" max="31" width="12" style="292" customWidth="1"/>
    <col min="32" max="32" width="6.5703125" style="292" customWidth="1"/>
    <col min="33" max="33" width="15.7109375" style="292" customWidth="1"/>
    <col min="34" max="34" width="6.5703125" style="292" customWidth="1"/>
    <col min="35" max="35" width="15.7109375" style="292" customWidth="1"/>
    <col min="36" max="36" width="6.28515625" style="292" customWidth="1"/>
    <col min="37" max="38" width="12.5703125" style="292" customWidth="1"/>
    <col min="39" max="39" width="6.28515625" style="292" customWidth="1"/>
    <col min="40" max="40" width="9.7109375" style="292" customWidth="1"/>
    <col min="41" max="41" width="10.42578125" style="292" customWidth="1"/>
    <col min="42" max="47" width="12.5703125" style="292" customWidth="1"/>
    <col min="48" max="48" width="10.140625" style="292" customWidth="1"/>
    <col min="49" max="49" width="11.85546875" style="292" customWidth="1"/>
    <col min="50" max="50" width="9.140625" style="292" customWidth="1"/>
    <col min="51" max="53" width="10.7109375" style="292" customWidth="1"/>
    <col min="54" max="54" width="14.28515625" style="292" customWidth="1"/>
    <col min="55" max="55" width="14.5703125" style="292" customWidth="1"/>
    <col min="56" max="16384" width="9.140625" style="292"/>
  </cols>
  <sheetData>
    <row r="1" spans="1:55" ht="12.75" customHeight="1">
      <c r="A1" s="288"/>
      <c r="B1" s="289" t="s">
        <v>157</v>
      </c>
      <c r="C1" s="290"/>
      <c r="D1" s="290"/>
      <c r="E1" s="291"/>
      <c r="I1" s="290"/>
      <c r="M1" s="1085" t="s">
        <v>282</v>
      </c>
      <c r="N1" s="1085"/>
      <c r="O1" s="1085"/>
      <c r="P1" s="1085"/>
      <c r="Q1" s="1085"/>
      <c r="R1" s="1085"/>
      <c r="S1" s="1085"/>
      <c r="T1" s="1085"/>
      <c r="U1" s="1085"/>
      <c r="Z1" s="290"/>
      <c r="AA1" s="290"/>
      <c r="AB1" s="291"/>
      <c r="AC1" s="291"/>
      <c r="AD1" s="291"/>
      <c r="AE1" s="291"/>
      <c r="AF1" s="291"/>
      <c r="AG1" s="291"/>
      <c r="AH1" s="291"/>
      <c r="AI1" s="291"/>
      <c r="AJ1" s="291"/>
      <c r="AK1" s="291"/>
      <c r="AL1" s="291"/>
      <c r="AM1" s="291"/>
      <c r="AN1" s="291"/>
      <c r="AO1" s="291"/>
      <c r="AP1" s="291"/>
      <c r="AQ1" s="291"/>
      <c r="AR1" s="291"/>
      <c r="AS1" s="291"/>
      <c r="AT1" s="291"/>
      <c r="AU1" s="291"/>
      <c r="AV1" s="290"/>
      <c r="AW1" s="290"/>
      <c r="AX1" s="290"/>
      <c r="AY1" s="290"/>
      <c r="AZ1" s="290"/>
      <c r="BA1" s="290"/>
      <c r="BB1" s="290"/>
      <c r="BC1" s="290"/>
    </row>
    <row r="2" spans="1:55" ht="12.75" customHeight="1">
      <c r="A2" s="288"/>
      <c r="B2" s="289" t="s">
        <v>271</v>
      </c>
      <c r="C2" s="290"/>
      <c r="D2" s="290"/>
      <c r="E2" s="290"/>
      <c r="I2" s="294"/>
      <c r="M2" s="1086" t="s">
        <v>224</v>
      </c>
      <c r="N2" s="1086"/>
      <c r="O2" s="1086"/>
      <c r="P2" s="1086"/>
      <c r="Q2" s="1086"/>
      <c r="R2" s="1086"/>
      <c r="S2" s="1086"/>
      <c r="T2" s="1086"/>
      <c r="U2" s="1086"/>
      <c r="Z2" s="294"/>
      <c r="AA2" s="294"/>
      <c r="AB2" s="295"/>
      <c r="AC2" s="295"/>
      <c r="AD2" s="295"/>
      <c r="AE2" s="295"/>
      <c r="AF2" s="295"/>
      <c r="AG2" s="295"/>
      <c r="AH2" s="295"/>
      <c r="AI2" s="295"/>
      <c r="AJ2" s="295"/>
      <c r="AK2" s="295"/>
      <c r="AL2" s="295"/>
      <c r="AM2" s="295"/>
      <c r="AN2" s="295"/>
      <c r="AO2" s="295"/>
      <c r="AP2" s="295"/>
      <c r="AQ2" s="295"/>
      <c r="AR2" s="295"/>
      <c r="AS2" s="295"/>
      <c r="AT2" s="295"/>
      <c r="AU2" s="295"/>
      <c r="AV2" s="294"/>
      <c r="AW2" s="294"/>
      <c r="AX2" s="294"/>
      <c r="AY2" s="294"/>
      <c r="AZ2" s="294"/>
      <c r="BA2" s="294"/>
      <c r="BB2" s="294"/>
      <c r="BC2" s="294"/>
    </row>
    <row r="3" spans="1:55" ht="10.5" customHeight="1">
      <c r="A3" s="290"/>
      <c r="B3" s="290"/>
      <c r="C3" s="290"/>
      <c r="D3" s="290"/>
      <c r="E3" s="290"/>
      <c r="F3" s="294"/>
      <c r="G3" s="296"/>
      <c r="H3" s="296"/>
      <c r="I3" s="294"/>
      <c r="M3" s="1086"/>
      <c r="N3" s="1086"/>
      <c r="O3" s="1086"/>
      <c r="P3" s="1086"/>
      <c r="Q3" s="1086"/>
      <c r="R3" s="1086"/>
      <c r="S3" s="1086"/>
      <c r="T3" s="1086"/>
      <c r="U3" s="1086"/>
      <c r="Z3" s="294"/>
      <c r="AA3" s="294"/>
      <c r="AB3" s="295"/>
      <c r="AC3" s="295"/>
      <c r="AD3" s="295"/>
      <c r="AE3" s="295"/>
      <c r="AF3" s="295"/>
      <c r="AG3" s="295"/>
      <c r="AH3" s="295"/>
      <c r="AI3" s="295"/>
      <c r="AJ3" s="295"/>
      <c r="AK3" s="295"/>
      <c r="AL3" s="295"/>
      <c r="AM3" s="295"/>
      <c r="AN3" s="295"/>
      <c r="AO3" s="295"/>
      <c r="AP3" s="295"/>
      <c r="AQ3" s="295"/>
      <c r="AR3" s="295"/>
      <c r="AS3" s="295"/>
      <c r="AT3" s="295"/>
      <c r="AU3" s="295"/>
      <c r="AV3" s="294"/>
      <c r="AW3" s="294"/>
      <c r="AX3" s="294"/>
      <c r="AY3" s="294"/>
      <c r="AZ3" s="294"/>
      <c r="BA3" s="294"/>
      <c r="BB3" s="294"/>
      <c r="BC3" s="294"/>
    </row>
    <row r="4" spans="1:55" ht="19.5" customHeight="1">
      <c r="B4" s="1087" t="s">
        <v>147</v>
      </c>
      <c r="C4" s="1087"/>
      <c r="D4" s="1087"/>
      <c r="E4" s="1087"/>
      <c r="F4" s="1087"/>
      <c r="G4" s="1087"/>
      <c r="H4" s="1087"/>
      <c r="I4" s="1087"/>
      <c r="J4" s="1087"/>
      <c r="K4" s="1087"/>
      <c r="L4" s="1087"/>
      <c r="M4" s="1087"/>
      <c r="N4" s="1087"/>
      <c r="O4" s="1087"/>
      <c r="P4" s="1087"/>
      <c r="Q4" s="1087"/>
      <c r="R4" s="1087"/>
      <c r="S4" s="1087"/>
      <c r="T4" s="1087"/>
      <c r="U4" s="297"/>
      <c r="V4" s="297"/>
      <c r="W4" s="297"/>
      <c r="X4" s="297"/>
      <c r="Y4" s="297"/>
      <c r="Z4" s="298"/>
      <c r="AA4" s="298"/>
      <c r="AB4" s="297"/>
      <c r="AC4" s="297"/>
      <c r="AD4" s="297"/>
      <c r="AE4" s="297"/>
      <c r="AF4" s="297"/>
      <c r="AG4" s="297"/>
      <c r="AH4" s="297"/>
      <c r="AI4" s="297"/>
      <c r="AJ4" s="297"/>
      <c r="AK4" s="297"/>
      <c r="AL4" s="297"/>
      <c r="AM4" s="297"/>
      <c r="AN4" s="297"/>
      <c r="AO4" s="297"/>
      <c r="AP4" s="297"/>
      <c r="AQ4" s="297"/>
      <c r="AR4" s="297"/>
      <c r="AS4" s="297"/>
      <c r="AT4" s="297"/>
      <c r="AU4" s="297"/>
      <c r="AV4" s="299"/>
      <c r="AW4" s="299"/>
      <c r="AX4" s="299"/>
      <c r="AY4" s="299"/>
      <c r="AZ4" s="299"/>
      <c r="BA4" s="299"/>
      <c r="BB4" s="299"/>
      <c r="BC4" s="299"/>
    </row>
    <row r="5" spans="1:55" ht="15">
      <c r="B5" s="1088" t="s">
        <v>283</v>
      </c>
      <c r="C5" s="1088"/>
      <c r="D5" s="1088"/>
      <c r="E5" s="1088"/>
      <c r="F5" s="1088"/>
      <c r="G5" s="1088"/>
      <c r="H5" s="1088"/>
      <c r="I5" s="1088"/>
      <c r="J5" s="1088"/>
      <c r="K5" s="1088"/>
      <c r="L5" s="1088"/>
      <c r="M5" s="1088"/>
      <c r="N5" s="1088"/>
      <c r="O5" s="1088"/>
      <c r="P5" s="1088"/>
      <c r="Q5" s="1088"/>
      <c r="R5" s="1088"/>
      <c r="S5" s="1088"/>
      <c r="T5" s="1088"/>
      <c r="U5" s="300"/>
      <c r="V5" s="300"/>
      <c r="W5" s="300"/>
      <c r="X5" s="300"/>
      <c r="Y5" s="300"/>
      <c r="Z5" s="301"/>
      <c r="AA5" s="301"/>
      <c r="AB5" s="300"/>
      <c r="AC5" s="300"/>
      <c r="AD5" s="300"/>
      <c r="AE5" s="300"/>
      <c r="AF5" s="300"/>
      <c r="AG5" s="300"/>
      <c r="AH5" s="300"/>
      <c r="AI5" s="300"/>
      <c r="AJ5" s="300"/>
      <c r="AK5" s="300"/>
      <c r="AL5" s="300"/>
      <c r="AM5" s="300"/>
      <c r="AN5" s="300"/>
      <c r="AO5" s="300"/>
      <c r="AP5" s="300"/>
      <c r="AQ5" s="300"/>
      <c r="AR5" s="300"/>
      <c r="AS5" s="300"/>
      <c r="AT5" s="300"/>
      <c r="AU5" s="300"/>
    </row>
    <row r="6" spans="1:55">
      <c r="P6" s="292" t="s">
        <v>228</v>
      </c>
      <c r="R6" s="292" t="s">
        <v>228</v>
      </c>
    </row>
    <row r="7" spans="1:55" ht="13.5" customHeight="1">
      <c r="A7" s="1089" t="s">
        <v>46</v>
      </c>
      <c r="B7" s="1083" t="s">
        <v>27</v>
      </c>
      <c r="C7" s="1091" t="s">
        <v>1</v>
      </c>
      <c r="D7" s="1092"/>
      <c r="E7" s="1083" t="s">
        <v>0</v>
      </c>
      <c r="F7" s="1083" t="s">
        <v>148</v>
      </c>
      <c r="G7" s="1093" t="s">
        <v>149</v>
      </c>
      <c r="H7" s="1093"/>
      <c r="I7" s="1084" t="s">
        <v>46</v>
      </c>
      <c r="J7" s="1083" t="s">
        <v>284</v>
      </c>
      <c r="K7" s="1083"/>
      <c r="L7" s="1083" t="s">
        <v>285</v>
      </c>
      <c r="M7" s="1083"/>
      <c r="N7" s="1083" t="s">
        <v>464</v>
      </c>
      <c r="O7" s="1083"/>
      <c r="P7" s="1083" t="s">
        <v>286</v>
      </c>
      <c r="Q7" s="1083"/>
      <c r="R7" s="1083" t="s">
        <v>995</v>
      </c>
      <c r="S7" s="1083"/>
      <c r="T7" s="1083" t="s">
        <v>287</v>
      </c>
      <c r="U7" s="1083"/>
      <c r="V7" s="1083" t="s">
        <v>288</v>
      </c>
      <c r="W7" s="1083"/>
      <c r="X7" s="1083" t="s">
        <v>289</v>
      </c>
      <c r="Y7" s="1083"/>
      <c r="Z7" s="1083" t="s">
        <v>290</v>
      </c>
      <c r="AA7" s="1083"/>
      <c r="AB7" s="1083" t="s">
        <v>291</v>
      </c>
      <c r="AC7" s="1083"/>
      <c r="AD7" s="1083" t="s">
        <v>292</v>
      </c>
      <c r="AE7" s="1083"/>
      <c r="AF7" s="1083" t="s">
        <v>293</v>
      </c>
      <c r="AG7" s="1083"/>
      <c r="AH7" s="1083" t="s">
        <v>454</v>
      </c>
      <c r="AI7" s="1083"/>
      <c r="AJ7" s="1083" t="s">
        <v>294</v>
      </c>
      <c r="AK7" s="1083"/>
      <c r="AL7" s="1083" t="s">
        <v>295</v>
      </c>
      <c r="AM7" s="1083"/>
      <c r="AN7" s="1083" t="s">
        <v>296</v>
      </c>
      <c r="AO7" s="1083"/>
      <c r="AP7" s="1083" t="s">
        <v>297</v>
      </c>
      <c r="AQ7" s="1083"/>
      <c r="AR7" s="1083" t="s">
        <v>298</v>
      </c>
      <c r="AS7" s="1083"/>
      <c r="AT7" s="1083" t="s">
        <v>299</v>
      </c>
      <c r="AU7" s="1083"/>
      <c r="AV7" s="1083" t="s">
        <v>300</v>
      </c>
      <c r="AW7" s="1083"/>
      <c r="AX7" s="1083" t="s">
        <v>301</v>
      </c>
      <c r="AY7" s="1083"/>
      <c r="AZ7" s="1083" t="s">
        <v>302</v>
      </c>
      <c r="BA7" s="1083"/>
      <c r="BB7" s="1083" t="s">
        <v>303</v>
      </c>
      <c r="BC7" s="1083"/>
    </row>
    <row r="8" spans="1:55" ht="22.5" customHeight="1">
      <c r="A8" s="1090"/>
      <c r="B8" s="1083"/>
      <c r="C8" s="303" t="s">
        <v>20</v>
      </c>
      <c r="D8" s="302" t="s">
        <v>39</v>
      </c>
      <c r="E8" s="1083"/>
      <c r="F8" s="1083"/>
      <c r="G8" s="304" t="s">
        <v>29</v>
      </c>
      <c r="H8" s="304" t="s">
        <v>30</v>
      </c>
      <c r="I8" s="1084"/>
      <c r="J8" s="302" t="s">
        <v>29</v>
      </c>
      <c r="K8" s="302" t="s">
        <v>30</v>
      </c>
      <c r="L8" s="302" t="s">
        <v>29</v>
      </c>
      <c r="M8" s="302" t="s">
        <v>30</v>
      </c>
      <c r="N8" s="502" t="s">
        <v>29</v>
      </c>
      <c r="O8" s="502" t="s">
        <v>30</v>
      </c>
      <c r="P8" s="302" t="s">
        <v>29</v>
      </c>
      <c r="Q8" s="302" t="s">
        <v>30</v>
      </c>
      <c r="R8" s="1053" t="s">
        <v>29</v>
      </c>
      <c r="S8" s="1053" t="s">
        <v>30</v>
      </c>
      <c r="T8" s="302" t="s">
        <v>29</v>
      </c>
      <c r="U8" s="302" t="s">
        <v>30</v>
      </c>
      <c r="V8" s="302" t="s">
        <v>29</v>
      </c>
      <c r="W8" s="302" t="s">
        <v>30</v>
      </c>
      <c r="X8" s="302" t="s">
        <v>29</v>
      </c>
      <c r="Y8" s="302" t="s">
        <v>30</v>
      </c>
      <c r="Z8" s="302" t="s">
        <v>29</v>
      </c>
      <c r="AA8" s="302" t="s">
        <v>30</v>
      </c>
      <c r="AB8" s="302" t="s">
        <v>29</v>
      </c>
      <c r="AC8" s="302" t="s">
        <v>30</v>
      </c>
      <c r="AD8" s="302" t="s">
        <v>29</v>
      </c>
      <c r="AE8" s="302" t="s">
        <v>30</v>
      </c>
      <c r="AF8" s="302" t="s">
        <v>29</v>
      </c>
      <c r="AG8" s="302" t="s">
        <v>30</v>
      </c>
      <c r="AH8" s="497" t="s">
        <v>29</v>
      </c>
      <c r="AI8" s="497"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c r="BB8" s="302" t="s">
        <v>29</v>
      </c>
      <c r="BC8" s="302" t="s">
        <v>30</v>
      </c>
    </row>
    <row r="9" spans="1:55"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14</v>
      </c>
      <c r="S9" s="305">
        <v>15</v>
      </c>
      <c r="T9" s="305">
        <v>16</v>
      </c>
      <c r="U9" s="305">
        <v>17</v>
      </c>
      <c r="V9" s="305">
        <v>18</v>
      </c>
      <c r="W9" s="305">
        <v>19</v>
      </c>
      <c r="X9" s="305">
        <v>20</v>
      </c>
      <c r="Y9" s="305">
        <v>21</v>
      </c>
      <c r="Z9" s="305">
        <v>22</v>
      </c>
      <c r="AA9" s="305">
        <v>23</v>
      </c>
      <c r="AB9" s="305">
        <v>24</v>
      </c>
      <c r="AC9" s="305">
        <v>25</v>
      </c>
      <c r="AD9" s="305">
        <v>26</v>
      </c>
      <c r="AE9" s="305">
        <v>27</v>
      </c>
      <c r="AF9" s="305">
        <v>28</v>
      </c>
      <c r="AG9" s="305">
        <v>29</v>
      </c>
      <c r="AH9" s="305">
        <v>28</v>
      </c>
      <c r="AI9" s="305">
        <v>29</v>
      </c>
      <c r="AJ9" s="305">
        <v>30</v>
      </c>
      <c r="AK9" s="305">
        <v>31</v>
      </c>
      <c r="AL9" s="305">
        <v>32</v>
      </c>
      <c r="AM9" s="305">
        <v>33</v>
      </c>
      <c r="AN9" s="305">
        <v>34</v>
      </c>
      <c r="AO9" s="305">
        <v>35</v>
      </c>
      <c r="AP9" s="305">
        <v>36</v>
      </c>
      <c r="AQ9" s="305">
        <v>37</v>
      </c>
      <c r="AR9" s="305">
        <v>38</v>
      </c>
      <c r="AS9" s="305">
        <v>39</v>
      </c>
      <c r="AT9" s="305">
        <v>40</v>
      </c>
      <c r="AU9" s="305">
        <v>41</v>
      </c>
      <c r="AV9" s="305">
        <v>42</v>
      </c>
      <c r="AW9" s="305">
        <v>43</v>
      </c>
      <c r="AX9" s="305">
        <v>44</v>
      </c>
      <c r="AY9" s="305">
        <v>45</v>
      </c>
      <c r="AZ9" s="305">
        <v>46</v>
      </c>
      <c r="BA9" s="305">
        <v>47</v>
      </c>
      <c r="BB9" s="305">
        <v>48</v>
      </c>
      <c r="BC9" s="305">
        <v>49</v>
      </c>
    </row>
    <row r="10" spans="1:55" s="314" customFormat="1" ht="15" customHeight="1">
      <c r="A10" s="63" t="str">
        <f t="array" ref="A10">IF(C10&lt;&gt;0,SUM(($C10:C$16&lt;&gt;0)*1),"")</f>
        <v/>
      </c>
      <c r="B10" s="307"/>
      <c r="C10" s="308"/>
      <c r="D10" s="307"/>
      <c r="E10" s="309" t="s">
        <v>304</v>
      </c>
      <c r="F10" s="310"/>
      <c r="G10" s="311"/>
      <c r="H10" s="311"/>
      <c r="I10" s="312"/>
      <c r="J10" s="313">
        <f>CDPS!C10</f>
        <v>1342165410</v>
      </c>
      <c r="K10" s="313">
        <f>CDPS!D10</f>
        <v>0</v>
      </c>
      <c r="L10" s="313">
        <f>CDPS!C12</f>
        <v>1694774692</v>
      </c>
      <c r="M10" s="313">
        <f>CDPS!D12</f>
        <v>0</v>
      </c>
      <c r="N10" s="313">
        <f>CDPS!C13</f>
        <v>0</v>
      </c>
      <c r="O10" s="313">
        <f>CDPS!D13</f>
        <v>0</v>
      </c>
      <c r="P10" s="313">
        <f>CDPS!C16</f>
        <v>0</v>
      </c>
      <c r="Q10" s="313">
        <f>CDPS!D16</f>
        <v>0</v>
      </c>
      <c r="R10" s="313">
        <f>CDPS!C17</f>
        <v>452614594</v>
      </c>
      <c r="S10" s="313">
        <f>CDPS!D17</f>
        <v>0</v>
      </c>
      <c r="T10" s="313">
        <f>CDPS!C19</f>
        <v>0</v>
      </c>
      <c r="U10" s="313">
        <f>CDPS!D19</f>
        <v>0</v>
      </c>
      <c r="V10" s="313">
        <f>CDPS!C32</f>
        <v>22599987302</v>
      </c>
      <c r="W10" s="313">
        <f>CDPS!D32</f>
        <v>0</v>
      </c>
      <c r="X10" s="313">
        <f>CDPS!C34</f>
        <v>4310031764</v>
      </c>
      <c r="Y10" s="313">
        <f>CDPS!D34</f>
        <v>0</v>
      </c>
      <c r="Z10" s="313">
        <f>CDPS!C35</f>
        <v>0</v>
      </c>
      <c r="AA10" s="313">
        <f>CDPS!D35</f>
        <v>0</v>
      </c>
      <c r="AB10" s="313">
        <f>CDPS!C36</f>
        <v>0</v>
      </c>
      <c r="AC10" s="313">
        <f>CDPS!D36</f>
        <v>0</v>
      </c>
      <c r="AD10" s="313">
        <f>CDPS!C39</f>
        <v>0</v>
      </c>
      <c r="AE10" s="313">
        <f>CDPS!D39</f>
        <v>5000000000</v>
      </c>
      <c r="AF10" s="313">
        <f>CDPS!C41</f>
        <v>0</v>
      </c>
      <c r="AG10" s="313">
        <f>CDPS!D41</f>
        <v>20000000000</v>
      </c>
      <c r="AH10" s="313">
        <f>CDPS!C42</f>
        <v>0</v>
      </c>
      <c r="AI10" s="313">
        <f>CDPS!D42</f>
        <v>1982640000</v>
      </c>
      <c r="AJ10" s="313">
        <f>CDPS!C44</f>
        <v>0</v>
      </c>
      <c r="AK10" s="313">
        <f>CDPS!D44</f>
        <v>4000000000</v>
      </c>
      <c r="AL10" s="313">
        <f>CDPS!C46</f>
        <v>223589505</v>
      </c>
      <c r="AM10" s="313">
        <f>CDPS!D46</f>
        <v>0</v>
      </c>
      <c r="AN10" s="313">
        <f>CDPS!C47</f>
        <v>359476733</v>
      </c>
      <c r="AO10" s="313">
        <f>CDPS!D47</f>
        <v>0</v>
      </c>
      <c r="AP10" s="313">
        <f>CDPS!C53</f>
        <v>0</v>
      </c>
      <c r="AQ10" s="313">
        <f>CDPS!D53</f>
        <v>0</v>
      </c>
      <c r="AR10" s="313">
        <v>0</v>
      </c>
      <c r="AS10" s="313">
        <v>0</v>
      </c>
      <c r="AT10" s="313">
        <v>0</v>
      </c>
      <c r="AU10" s="313">
        <v>0</v>
      </c>
      <c r="AV10" s="313">
        <v>0</v>
      </c>
      <c r="AW10" s="313">
        <v>0</v>
      </c>
      <c r="AX10" s="313">
        <v>0</v>
      </c>
      <c r="AY10" s="313">
        <v>0</v>
      </c>
      <c r="AZ10" s="313">
        <v>0</v>
      </c>
      <c r="BA10" s="313">
        <v>0</v>
      </c>
      <c r="BB10" s="313">
        <v>0</v>
      </c>
      <c r="BC10" s="313">
        <v>0</v>
      </c>
    </row>
    <row r="11" spans="1:55" s="314" customFormat="1" ht="15" customHeight="1">
      <c r="A11" s="63">
        <f t="array" aca="1" ref="A11" ca="1">IF(C11&lt;&gt;0,SUM(($C$11:C11&lt;&gt;0)*1),"")</f>
        <v>1</v>
      </c>
      <c r="B11" s="315">
        <f ca="1">IF(ROWS($1:1)&gt;COUNT(Dong6),"",OFFSET(TH!C$1,SMALL(Dong6,ROWS($1:1)),))</f>
        <v>42370</v>
      </c>
      <c r="C11" s="315" t="str">
        <f ca="1">IF(ROWS($1:1)&gt;COUNT(Dong6),"",OFFSET(TH!D$1,SMALL(Dong6,ROWS($1:1)),))</f>
        <v>CTGS</v>
      </c>
      <c r="D11" s="315">
        <f ca="1">IF(ROWS($1:1)&gt;COUNT(Dong6),"",OFFSET(TH!E$1,SMALL(Dong6,ROWS($1:1)),))</f>
        <v>42370</v>
      </c>
      <c r="E11" s="370" t="str">
        <f ca="1">IF(ROWS($1:1)&gt;COUNT(Dong6),"",OFFSET(TH!F$1,SMALL(Dong6,ROWS($1:1)),))</f>
        <v>Gas</v>
      </c>
      <c r="F11" s="371">
        <f ca="1">IF(ROWS($1:1)&gt;COUNT(Dong6),"",OFFSET(TH!M$1,SMALL(Dong6,ROWS($1:1)),))</f>
        <v>10490880</v>
      </c>
      <c r="G11" s="372" t="str">
        <f ca="1">IF(ROWS($1:1)&gt;COUNT(Dong6),"",OFFSET(TH!N$1,SMALL(Dong6,ROWS($1:1)),))</f>
        <v>642</v>
      </c>
      <c r="H11" s="372" t="str">
        <f ca="1">IF(ROWS($1:1)&gt;COUNT(Dong6),"",OFFSET(TH!O$1,SMALL(Dong6,ROWS($1:1)),))</f>
        <v>331</v>
      </c>
      <c r="I11" s="63">
        <f t="shared" ref="I11:I34" ca="1" si="0">A11</f>
        <v>1</v>
      </c>
      <c r="J11" s="317">
        <f t="shared" ref="J11:J73" ca="1" si="1">IF($G11="1111",$F11,0)</f>
        <v>0</v>
      </c>
      <c r="K11" s="317">
        <f t="shared" ref="K11:K73" ca="1" si="2">IF($H11="1111",$F11,0)</f>
        <v>0</v>
      </c>
      <c r="L11" s="317">
        <f t="shared" ref="L11:L73" ca="1" si="3">IF($G11="1121",$F11,0)</f>
        <v>0</v>
      </c>
      <c r="M11" s="317">
        <f t="shared" ref="M11:M73" ca="1" si="4">IF($H11="1121",$F11,0)</f>
        <v>0</v>
      </c>
      <c r="N11" s="317">
        <f ca="1">IF($G11="1122",$F11,0)</f>
        <v>0</v>
      </c>
      <c r="O11" s="317">
        <f ca="1">IF($H11="1122",$F11,0)</f>
        <v>0</v>
      </c>
      <c r="P11" s="317">
        <f t="shared" ref="P11:P73" ca="1" si="5">IF($G11="1331",$F11,0)</f>
        <v>0</v>
      </c>
      <c r="Q11" s="317">
        <f t="shared" ref="Q11:Q73" ca="1" si="6">IF($H11="1331",$F11,0)</f>
        <v>0</v>
      </c>
      <c r="R11" s="317">
        <f ca="1">IF($G11="1332",$F11,0)</f>
        <v>0</v>
      </c>
      <c r="S11" s="317">
        <f ca="1">IF($H11="1332",$F11,0)</f>
        <v>0</v>
      </c>
      <c r="T11" s="317">
        <f t="shared" ref="T11:T73" ca="1" si="7">IF($G11="1388",$F11,0)</f>
        <v>0</v>
      </c>
      <c r="U11" s="317">
        <f t="shared" ref="U11:U73" ca="1" si="8">IF($H11="1388",$F11,0)</f>
        <v>0</v>
      </c>
      <c r="V11" s="317">
        <f ca="1">IF($G11="2412",$F11,0)</f>
        <v>0</v>
      </c>
      <c r="W11" s="317">
        <f ca="1">IF($H11="2412",$F11,0)</f>
        <v>0</v>
      </c>
      <c r="X11" s="317">
        <f t="shared" ref="X11:X73" ca="1" si="9">IF($G11="331",$F11,0)</f>
        <v>0</v>
      </c>
      <c r="Y11" s="317">
        <f t="shared" ref="Y11:Y73" ca="1" si="10">IF($H11="331",$F11,0)</f>
        <v>10490880</v>
      </c>
      <c r="Z11" s="317">
        <f t="shared" ref="Z11:Z73" ca="1" si="11">IF($G11="3334",$F11,0)</f>
        <v>0</v>
      </c>
      <c r="AA11" s="317">
        <f t="shared" ref="AA11:AA73" ca="1" si="12">IF($H11="3334",$F11,0)</f>
        <v>0</v>
      </c>
      <c r="AB11" s="317">
        <f t="shared" ref="AB11:AB73" ca="1" si="13">IF($G11="33382",$F11,0)</f>
        <v>0</v>
      </c>
      <c r="AC11" s="317">
        <f t="shared" ref="AC11:AC73" ca="1" si="14">IF($H11="33382",$F11,0)</f>
        <v>0</v>
      </c>
      <c r="AD11" s="317">
        <f t="shared" ref="AD11:AD73" ca="1" si="15">IF($G11="3388",$F11,0)</f>
        <v>0</v>
      </c>
      <c r="AE11" s="317">
        <f t="shared" ref="AE11:AE73" ca="1" si="16">IF($H11="3388",$F11,0)</f>
        <v>0</v>
      </c>
      <c r="AF11" s="317">
        <f t="shared" ref="AF11:AF73" ca="1" si="17">IF($G11="3411",$F11,0)</f>
        <v>0</v>
      </c>
      <c r="AG11" s="317">
        <f t="shared" ref="AG11:AG73" ca="1" si="18">IF($H11="3411",$F11,0)</f>
        <v>0</v>
      </c>
      <c r="AH11" s="317">
        <f ca="1">IF($G11="3412",$F11,0)</f>
        <v>0</v>
      </c>
      <c r="AI11" s="317">
        <f ca="1">IF($H11="3412",$F11,0)</f>
        <v>0</v>
      </c>
      <c r="AJ11" s="317">
        <f t="shared" ref="AJ11:AJ73" ca="1" si="19">IF($G11="4111",$F11,0)</f>
        <v>0</v>
      </c>
      <c r="AK11" s="317">
        <f t="shared" ref="AK11:AK73" ca="1" si="20">IF($H11="4111",$F11,0)</f>
        <v>0</v>
      </c>
      <c r="AL11" s="317">
        <f t="shared" ref="AL11:AL73" ca="1" si="21">IF($G11="4211",$F11,0)</f>
        <v>0</v>
      </c>
      <c r="AM11" s="317">
        <f t="shared" ref="AM11:AM73" ca="1" si="22">IF($H11="4211",$F11,0)</f>
        <v>0</v>
      </c>
      <c r="AN11" s="317">
        <f t="shared" ref="AN11:AN73" ca="1" si="23">IF($G11="4212",$F11,0)</f>
        <v>0</v>
      </c>
      <c r="AO11" s="317">
        <f t="shared" ref="AO11:AO73" ca="1" si="24">IF($H11="4212",$F11,0)</f>
        <v>0</v>
      </c>
      <c r="AP11" s="317">
        <f t="shared" ref="AP11:AP73" ca="1" si="25">IF($G11="515",$F11,0)</f>
        <v>0</v>
      </c>
      <c r="AQ11" s="317">
        <f t="shared" ref="AQ11:AQ73" ca="1" si="26">IF($H11="515",$F11,0)</f>
        <v>0</v>
      </c>
      <c r="AR11" s="317">
        <f t="shared" ref="AR11:AR73" ca="1" si="27">IF($G11="635",$F11,0)</f>
        <v>0</v>
      </c>
      <c r="AS11" s="317">
        <f t="shared" ref="AS11:AS73" ca="1" si="28">IF($H11="635",$F11,0)</f>
        <v>0</v>
      </c>
      <c r="AT11" s="317">
        <f t="shared" ref="AT11:AT73" ca="1" si="29">IF($G11="642",$F11,0)</f>
        <v>10490880</v>
      </c>
      <c r="AU11" s="317">
        <f t="shared" ref="AU11:AU73" ca="1" si="30">IF($H11="642",$F11,0)</f>
        <v>0</v>
      </c>
      <c r="AV11" s="317">
        <f t="shared" ref="AV11:AV73" ca="1" si="31">IF($G11="711",$F11,0)</f>
        <v>0</v>
      </c>
      <c r="AW11" s="317">
        <f t="shared" ref="AW11:AW73" ca="1" si="32">IF($H11="711",$F11,0)</f>
        <v>0</v>
      </c>
      <c r="AX11" s="317">
        <f t="shared" ref="AX11:AX73" ca="1" si="33">IF($G11="811",$F11,0)</f>
        <v>0</v>
      </c>
      <c r="AY11" s="317">
        <f t="shared" ref="AY11:AY73" ca="1" si="34">IF($H11="811",$F11,0)</f>
        <v>0</v>
      </c>
      <c r="AZ11" s="317">
        <f t="shared" ref="AZ11:AZ73" ca="1" si="35">IF($G11="821",$F11,0)</f>
        <v>0</v>
      </c>
      <c r="BA11" s="317">
        <f t="shared" ref="BA11:BA73" ca="1" si="36">IF($H11="821",$F11,0)</f>
        <v>0</v>
      </c>
      <c r="BB11" s="317">
        <f t="shared" ref="BB11:BB73" ca="1" si="37">IF($G11="911",$F11,0)</f>
        <v>0</v>
      </c>
      <c r="BC11" s="317">
        <f t="shared" ref="BC11:BC73" ca="1" si="38">IF($H11="911",$F11,0)</f>
        <v>0</v>
      </c>
    </row>
    <row r="12" spans="1:55" s="314" customFormat="1" ht="15" customHeight="1">
      <c r="A12" s="63" t="str">
        <f t="array" ref="A12">IF(C12&lt;&gt;0,SUM(($C$11:C12&lt;&gt;0)*1),"")</f>
        <v/>
      </c>
      <c r="B12" s="315"/>
      <c r="C12" s="315"/>
      <c r="D12" s="315"/>
      <c r="E12" s="370"/>
      <c r="F12" s="371"/>
      <c r="G12" s="372"/>
      <c r="H12" s="372"/>
      <c r="I12" s="63" t="str">
        <f t="shared" si="0"/>
        <v/>
      </c>
      <c r="J12" s="317">
        <f t="shared" si="1"/>
        <v>0</v>
      </c>
      <c r="K12" s="317">
        <f t="shared" si="2"/>
        <v>0</v>
      </c>
      <c r="L12" s="317">
        <f t="shared" si="3"/>
        <v>0</v>
      </c>
      <c r="M12" s="317">
        <f t="shared" si="4"/>
        <v>0</v>
      </c>
      <c r="N12" s="317">
        <f t="shared" ref="N12:N73" si="39">IF($G12="1122",$F12,0)</f>
        <v>0</v>
      </c>
      <c r="O12" s="317">
        <f t="shared" ref="O12:O73" si="40">IF($H12="1122",$F12,0)</f>
        <v>0</v>
      </c>
      <c r="P12" s="317">
        <f t="shared" si="5"/>
        <v>0</v>
      </c>
      <c r="Q12" s="317">
        <f t="shared" si="6"/>
        <v>0</v>
      </c>
      <c r="R12" s="317">
        <f t="shared" ref="R12:R74" si="41">IF($G12="1332",$F12,0)</f>
        <v>0</v>
      </c>
      <c r="S12" s="317">
        <f t="shared" ref="S12:S74" si="42">IF($H12="1332",$F12,0)</f>
        <v>0</v>
      </c>
      <c r="T12" s="317">
        <f t="shared" si="7"/>
        <v>0</v>
      </c>
      <c r="U12" s="317">
        <f t="shared" si="8"/>
        <v>0</v>
      </c>
      <c r="V12" s="317">
        <f t="shared" ref="V12:V73" si="43">IF($G12="2412",$F12,0)</f>
        <v>0</v>
      </c>
      <c r="W12" s="317">
        <f t="shared" ref="W12:W73" si="44">IF($H12="2412",$F12,0)</f>
        <v>0</v>
      </c>
      <c r="X12" s="317">
        <f t="shared" si="9"/>
        <v>0</v>
      </c>
      <c r="Y12" s="317">
        <f t="shared" si="10"/>
        <v>0</v>
      </c>
      <c r="Z12" s="317">
        <f t="shared" si="11"/>
        <v>0</v>
      </c>
      <c r="AA12" s="317">
        <f t="shared" si="12"/>
        <v>0</v>
      </c>
      <c r="AB12" s="317">
        <f t="shared" si="13"/>
        <v>0</v>
      </c>
      <c r="AC12" s="317">
        <f t="shared" si="14"/>
        <v>0</v>
      </c>
      <c r="AD12" s="317">
        <f t="shared" si="15"/>
        <v>0</v>
      </c>
      <c r="AE12" s="317">
        <f t="shared" si="16"/>
        <v>0</v>
      </c>
      <c r="AF12" s="317">
        <f t="shared" si="17"/>
        <v>0</v>
      </c>
      <c r="AG12" s="317">
        <f t="shared" si="18"/>
        <v>0</v>
      </c>
      <c r="AH12" s="317">
        <f t="shared" ref="AH12:AH73" si="45">IF($G12="3412",$F12,0)</f>
        <v>0</v>
      </c>
      <c r="AI12" s="317">
        <f t="shared" ref="AI12:AI73" si="46">IF($H12="3412",$F12,0)</f>
        <v>0</v>
      </c>
      <c r="AJ12" s="317">
        <f t="shared" si="19"/>
        <v>0</v>
      </c>
      <c r="AK12" s="317">
        <f t="shared" si="20"/>
        <v>0</v>
      </c>
      <c r="AL12" s="317">
        <f t="shared" si="21"/>
        <v>0</v>
      </c>
      <c r="AM12" s="317">
        <f t="shared" si="22"/>
        <v>0</v>
      </c>
      <c r="AN12" s="317">
        <f t="shared" si="23"/>
        <v>0</v>
      </c>
      <c r="AO12" s="317">
        <f t="shared" si="24"/>
        <v>0</v>
      </c>
      <c r="AP12" s="317">
        <f t="shared" si="25"/>
        <v>0</v>
      </c>
      <c r="AQ12" s="317">
        <f t="shared" si="26"/>
        <v>0</v>
      </c>
      <c r="AR12" s="317">
        <f t="shared" si="27"/>
        <v>0</v>
      </c>
      <c r="AS12" s="317">
        <f t="shared" si="28"/>
        <v>0</v>
      </c>
      <c r="AT12" s="317">
        <f t="shared" si="29"/>
        <v>0</v>
      </c>
      <c r="AU12" s="317">
        <f t="shared" si="30"/>
        <v>0</v>
      </c>
      <c r="AV12" s="317">
        <f t="shared" si="31"/>
        <v>0</v>
      </c>
      <c r="AW12" s="317">
        <f t="shared" si="32"/>
        <v>0</v>
      </c>
      <c r="AX12" s="317">
        <f t="shared" si="33"/>
        <v>0</v>
      </c>
      <c r="AY12" s="317">
        <f t="shared" si="34"/>
        <v>0</v>
      </c>
      <c r="AZ12" s="317">
        <f t="shared" si="35"/>
        <v>0</v>
      </c>
      <c r="BA12" s="317">
        <f t="shared" si="36"/>
        <v>0</v>
      </c>
      <c r="BB12" s="317">
        <f t="shared" si="37"/>
        <v>0</v>
      </c>
      <c r="BC12" s="317">
        <f t="shared" si="38"/>
        <v>0</v>
      </c>
    </row>
    <row r="13" spans="1:55" s="314" customFormat="1" ht="15" customHeight="1">
      <c r="A13" s="63" t="str">
        <f t="array" ref="A13">IF(C13&lt;&gt;0,SUM(($C$11:C13&lt;&gt;0)*1),"")</f>
        <v/>
      </c>
      <c r="B13" s="315"/>
      <c r="C13" s="315"/>
      <c r="D13" s="315"/>
      <c r="E13" s="370"/>
      <c r="F13" s="371"/>
      <c r="G13" s="372"/>
      <c r="H13" s="372"/>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41"/>
        <v>0</v>
      </c>
      <c r="S13" s="317">
        <f t="shared" si="42"/>
        <v>0</v>
      </c>
      <c r="T13" s="317">
        <f t="shared" si="7"/>
        <v>0</v>
      </c>
      <c r="U13" s="317">
        <f t="shared" si="8"/>
        <v>0</v>
      </c>
      <c r="V13" s="317">
        <f t="shared" si="43"/>
        <v>0</v>
      </c>
      <c r="W13" s="317">
        <f t="shared" si="44"/>
        <v>0</v>
      </c>
      <c r="X13" s="317">
        <f t="shared" si="9"/>
        <v>0</v>
      </c>
      <c r="Y13" s="317">
        <f t="shared" si="10"/>
        <v>0</v>
      </c>
      <c r="Z13" s="317">
        <f t="shared" si="11"/>
        <v>0</v>
      </c>
      <c r="AA13" s="317">
        <f t="shared" si="12"/>
        <v>0</v>
      </c>
      <c r="AB13" s="317">
        <f t="shared" si="13"/>
        <v>0</v>
      </c>
      <c r="AC13" s="317">
        <f t="shared" si="14"/>
        <v>0</v>
      </c>
      <c r="AD13" s="317">
        <f t="shared" si="15"/>
        <v>0</v>
      </c>
      <c r="AE13" s="317">
        <f t="shared" si="16"/>
        <v>0</v>
      </c>
      <c r="AF13" s="317">
        <f t="shared" si="17"/>
        <v>0</v>
      </c>
      <c r="AG13" s="317">
        <f t="shared" si="18"/>
        <v>0</v>
      </c>
      <c r="AH13" s="317">
        <f t="shared" si="45"/>
        <v>0</v>
      </c>
      <c r="AI13" s="317">
        <f t="shared" si="46"/>
        <v>0</v>
      </c>
      <c r="AJ13" s="317">
        <f t="shared" si="19"/>
        <v>0</v>
      </c>
      <c r="AK13" s="317">
        <f t="shared" si="20"/>
        <v>0</v>
      </c>
      <c r="AL13" s="317">
        <f t="shared" si="21"/>
        <v>0</v>
      </c>
      <c r="AM13" s="317">
        <f t="shared" si="22"/>
        <v>0</v>
      </c>
      <c r="AN13" s="317">
        <f t="shared" si="23"/>
        <v>0</v>
      </c>
      <c r="AO13" s="317">
        <f t="shared" si="24"/>
        <v>0</v>
      </c>
      <c r="AP13" s="317">
        <f t="shared" si="25"/>
        <v>0</v>
      </c>
      <c r="AQ13" s="317">
        <f t="shared" si="26"/>
        <v>0</v>
      </c>
      <c r="AR13" s="317">
        <f t="shared" si="27"/>
        <v>0</v>
      </c>
      <c r="AS13" s="317">
        <f t="shared" si="28"/>
        <v>0</v>
      </c>
      <c r="AT13" s="317">
        <f t="shared" si="29"/>
        <v>0</v>
      </c>
      <c r="AU13" s="317">
        <f t="shared" si="30"/>
        <v>0</v>
      </c>
      <c r="AV13" s="317">
        <f t="shared" si="31"/>
        <v>0</v>
      </c>
      <c r="AW13" s="317">
        <f t="shared" si="32"/>
        <v>0</v>
      </c>
      <c r="AX13" s="317">
        <f t="shared" si="33"/>
        <v>0</v>
      </c>
      <c r="AY13" s="317">
        <f t="shared" si="34"/>
        <v>0</v>
      </c>
      <c r="AZ13" s="317">
        <f t="shared" si="35"/>
        <v>0</v>
      </c>
      <c r="BA13" s="317">
        <f t="shared" si="36"/>
        <v>0</v>
      </c>
      <c r="BB13" s="317">
        <f t="shared" si="37"/>
        <v>0</v>
      </c>
      <c r="BC13" s="317">
        <f t="shared" si="38"/>
        <v>0</v>
      </c>
    </row>
    <row r="14" spans="1:55" s="314" customFormat="1" ht="15" customHeight="1">
      <c r="A14" s="63" t="str">
        <f t="array" ref="A14">IF(C14&lt;&gt;0,SUM(($C$11:C14&lt;&gt;0)*1),"")</f>
        <v/>
      </c>
      <c r="B14" s="315"/>
      <c r="C14" s="315"/>
      <c r="D14" s="315"/>
      <c r="E14" s="370"/>
      <c r="F14" s="371"/>
      <c r="G14" s="372"/>
      <c r="H14" s="372"/>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41"/>
        <v>0</v>
      </c>
      <c r="S14" s="317">
        <f t="shared" si="42"/>
        <v>0</v>
      </c>
      <c r="T14" s="317">
        <f t="shared" si="7"/>
        <v>0</v>
      </c>
      <c r="U14" s="317">
        <f t="shared" si="8"/>
        <v>0</v>
      </c>
      <c r="V14" s="317">
        <f t="shared" si="43"/>
        <v>0</v>
      </c>
      <c r="W14" s="317">
        <f t="shared" si="44"/>
        <v>0</v>
      </c>
      <c r="X14" s="317">
        <f t="shared" si="9"/>
        <v>0</v>
      </c>
      <c r="Y14" s="317">
        <f t="shared" si="10"/>
        <v>0</v>
      </c>
      <c r="Z14" s="317">
        <f t="shared" si="11"/>
        <v>0</v>
      </c>
      <c r="AA14" s="317">
        <f t="shared" si="12"/>
        <v>0</v>
      </c>
      <c r="AB14" s="317">
        <f t="shared" si="13"/>
        <v>0</v>
      </c>
      <c r="AC14" s="317">
        <f t="shared" si="14"/>
        <v>0</v>
      </c>
      <c r="AD14" s="317">
        <f t="shared" si="15"/>
        <v>0</v>
      </c>
      <c r="AE14" s="317">
        <f t="shared" si="16"/>
        <v>0</v>
      </c>
      <c r="AF14" s="317">
        <f t="shared" si="17"/>
        <v>0</v>
      </c>
      <c r="AG14" s="317">
        <f t="shared" si="18"/>
        <v>0</v>
      </c>
      <c r="AH14" s="317">
        <f t="shared" si="45"/>
        <v>0</v>
      </c>
      <c r="AI14" s="317">
        <f t="shared" si="46"/>
        <v>0</v>
      </c>
      <c r="AJ14" s="317">
        <f t="shared" si="19"/>
        <v>0</v>
      </c>
      <c r="AK14" s="317">
        <f t="shared" si="20"/>
        <v>0</v>
      </c>
      <c r="AL14" s="317">
        <f t="shared" si="21"/>
        <v>0</v>
      </c>
      <c r="AM14" s="317">
        <f t="shared" si="22"/>
        <v>0</v>
      </c>
      <c r="AN14" s="317">
        <f t="shared" si="23"/>
        <v>0</v>
      </c>
      <c r="AO14" s="317">
        <f t="shared" si="24"/>
        <v>0</v>
      </c>
      <c r="AP14" s="317">
        <f t="shared" si="25"/>
        <v>0</v>
      </c>
      <c r="AQ14" s="317">
        <f t="shared" si="26"/>
        <v>0</v>
      </c>
      <c r="AR14" s="317">
        <f t="shared" si="27"/>
        <v>0</v>
      </c>
      <c r="AS14" s="317">
        <f t="shared" si="28"/>
        <v>0</v>
      </c>
      <c r="AT14" s="317">
        <f t="shared" si="29"/>
        <v>0</v>
      </c>
      <c r="AU14" s="317">
        <f t="shared" si="30"/>
        <v>0</v>
      </c>
      <c r="AV14" s="317">
        <f t="shared" si="31"/>
        <v>0</v>
      </c>
      <c r="AW14" s="317">
        <f t="shared" si="32"/>
        <v>0</v>
      </c>
      <c r="AX14" s="317">
        <f t="shared" si="33"/>
        <v>0</v>
      </c>
      <c r="AY14" s="317">
        <f t="shared" si="34"/>
        <v>0</v>
      </c>
      <c r="AZ14" s="317">
        <f t="shared" si="35"/>
        <v>0</v>
      </c>
      <c r="BA14" s="317">
        <f t="shared" si="36"/>
        <v>0</v>
      </c>
      <c r="BB14" s="317">
        <f t="shared" si="37"/>
        <v>0</v>
      </c>
      <c r="BC14" s="317">
        <f t="shared" si="38"/>
        <v>0</v>
      </c>
    </row>
    <row r="15" spans="1:55" s="314" customFormat="1" ht="15" customHeight="1">
      <c r="A15" s="63" t="str">
        <f t="array" ref="A15">IF(C15&lt;&gt;0,SUM(($C$11:C15&lt;&gt;0)*1),"")</f>
        <v/>
      </c>
      <c r="B15" s="315"/>
      <c r="C15" s="315"/>
      <c r="D15" s="315"/>
      <c r="E15" s="370"/>
      <c r="F15" s="371"/>
      <c r="G15" s="372"/>
      <c r="H15" s="372"/>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41"/>
        <v>0</v>
      </c>
      <c r="S15" s="317">
        <f t="shared" si="42"/>
        <v>0</v>
      </c>
      <c r="T15" s="317">
        <f t="shared" si="7"/>
        <v>0</v>
      </c>
      <c r="U15" s="317">
        <f t="shared" si="8"/>
        <v>0</v>
      </c>
      <c r="V15" s="317">
        <f t="shared" si="43"/>
        <v>0</v>
      </c>
      <c r="W15" s="317">
        <f t="shared" si="44"/>
        <v>0</v>
      </c>
      <c r="X15" s="317">
        <f t="shared" si="9"/>
        <v>0</v>
      </c>
      <c r="Y15" s="317">
        <f t="shared" si="10"/>
        <v>0</v>
      </c>
      <c r="Z15" s="317">
        <f t="shared" si="11"/>
        <v>0</v>
      </c>
      <c r="AA15" s="317">
        <f t="shared" si="12"/>
        <v>0</v>
      </c>
      <c r="AB15" s="317">
        <f t="shared" si="13"/>
        <v>0</v>
      </c>
      <c r="AC15" s="317">
        <f t="shared" si="14"/>
        <v>0</v>
      </c>
      <c r="AD15" s="317">
        <f t="shared" si="15"/>
        <v>0</v>
      </c>
      <c r="AE15" s="317">
        <f t="shared" si="16"/>
        <v>0</v>
      </c>
      <c r="AF15" s="317">
        <f t="shared" si="17"/>
        <v>0</v>
      </c>
      <c r="AG15" s="317">
        <f t="shared" si="18"/>
        <v>0</v>
      </c>
      <c r="AH15" s="317">
        <f t="shared" si="45"/>
        <v>0</v>
      </c>
      <c r="AI15" s="317">
        <f t="shared" si="46"/>
        <v>0</v>
      </c>
      <c r="AJ15" s="317">
        <f t="shared" si="19"/>
        <v>0</v>
      </c>
      <c r="AK15" s="317">
        <f t="shared" si="20"/>
        <v>0</v>
      </c>
      <c r="AL15" s="317">
        <f t="shared" si="21"/>
        <v>0</v>
      </c>
      <c r="AM15" s="317">
        <f t="shared" si="22"/>
        <v>0</v>
      </c>
      <c r="AN15" s="317">
        <f t="shared" si="23"/>
        <v>0</v>
      </c>
      <c r="AO15" s="317">
        <f t="shared" si="24"/>
        <v>0</v>
      </c>
      <c r="AP15" s="317">
        <f t="shared" si="25"/>
        <v>0</v>
      </c>
      <c r="AQ15" s="317">
        <f t="shared" si="26"/>
        <v>0</v>
      </c>
      <c r="AR15" s="317">
        <f t="shared" si="27"/>
        <v>0</v>
      </c>
      <c r="AS15" s="317">
        <f t="shared" si="28"/>
        <v>0</v>
      </c>
      <c r="AT15" s="317">
        <f t="shared" si="29"/>
        <v>0</v>
      </c>
      <c r="AU15" s="317">
        <f t="shared" si="30"/>
        <v>0</v>
      </c>
      <c r="AV15" s="317">
        <f t="shared" si="31"/>
        <v>0</v>
      </c>
      <c r="AW15" s="317">
        <f t="shared" si="32"/>
        <v>0</v>
      </c>
      <c r="AX15" s="317">
        <f t="shared" si="33"/>
        <v>0</v>
      </c>
      <c r="AY15" s="317">
        <f t="shared" si="34"/>
        <v>0</v>
      </c>
      <c r="AZ15" s="317">
        <f t="shared" si="35"/>
        <v>0</v>
      </c>
      <c r="BA15" s="317">
        <f t="shared" si="36"/>
        <v>0</v>
      </c>
      <c r="BB15" s="317">
        <f t="shared" si="37"/>
        <v>0</v>
      </c>
      <c r="BC15" s="317">
        <f t="shared" si="38"/>
        <v>0</v>
      </c>
    </row>
    <row r="16" spans="1:55" s="314" customFormat="1" ht="15" customHeight="1">
      <c r="A16" s="63" t="str">
        <f t="array" ref="A16">IF(C16&lt;&gt;0,SUM(($C$11:C16&lt;&gt;0)*1),"")</f>
        <v/>
      </c>
      <c r="B16" s="315"/>
      <c r="C16" s="315"/>
      <c r="D16" s="315"/>
      <c r="E16" s="370"/>
      <c r="F16" s="371"/>
      <c r="G16" s="372"/>
      <c r="H16" s="372"/>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41"/>
        <v>0</v>
      </c>
      <c r="S16" s="317">
        <f t="shared" si="42"/>
        <v>0</v>
      </c>
      <c r="T16" s="317">
        <f t="shared" si="7"/>
        <v>0</v>
      </c>
      <c r="U16" s="317">
        <f t="shared" si="8"/>
        <v>0</v>
      </c>
      <c r="V16" s="317">
        <f t="shared" si="43"/>
        <v>0</v>
      </c>
      <c r="W16" s="317">
        <f t="shared" si="44"/>
        <v>0</v>
      </c>
      <c r="X16" s="317">
        <f t="shared" si="9"/>
        <v>0</v>
      </c>
      <c r="Y16" s="317">
        <f t="shared" si="10"/>
        <v>0</v>
      </c>
      <c r="Z16" s="317">
        <f t="shared" si="11"/>
        <v>0</v>
      </c>
      <c r="AA16" s="317">
        <f t="shared" si="12"/>
        <v>0</v>
      </c>
      <c r="AB16" s="317">
        <f t="shared" si="13"/>
        <v>0</v>
      </c>
      <c r="AC16" s="317">
        <f t="shared" si="14"/>
        <v>0</v>
      </c>
      <c r="AD16" s="317">
        <f t="shared" si="15"/>
        <v>0</v>
      </c>
      <c r="AE16" s="317">
        <f t="shared" si="16"/>
        <v>0</v>
      </c>
      <c r="AF16" s="317">
        <f t="shared" si="17"/>
        <v>0</v>
      </c>
      <c r="AG16" s="317">
        <f t="shared" si="18"/>
        <v>0</v>
      </c>
      <c r="AH16" s="317">
        <f t="shared" si="45"/>
        <v>0</v>
      </c>
      <c r="AI16" s="317">
        <f t="shared" si="46"/>
        <v>0</v>
      </c>
      <c r="AJ16" s="317">
        <f t="shared" si="19"/>
        <v>0</v>
      </c>
      <c r="AK16" s="317">
        <f t="shared" si="20"/>
        <v>0</v>
      </c>
      <c r="AL16" s="317">
        <f t="shared" si="21"/>
        <v>0</v>
      </c>
      <c r="AM16" s="317">
        <f t="shared" si="22"/>
        <v>0</v>
      </c>
      <c r="AN16" s="317">
        <f t="shared" si="23"/>
        <v>0</v>
      </c>
      <c r="AO16" s="317">
        <f t="shared" si="24"/>
        <v>0</v>
      </c>
      <c r="AP16" s="317">
        <f t="shared" si="25"/>
        <v>0</v>
      </c>
      <c r="AQ16" s="317">
        <f t="shared" si="26"/>
        <v>0</v>
      </c>
      <c r="AR16" s="317">
        <f t="shared" si="27"/>
        <v>0</v>
      </c>
      <c r="AS16" s="317">
        <f t="shared" si="28"/>
        <v>0</v>
      </c>
      <c r="AT16" s="317">
        <f t="shared" si="29"/>
        <v>0</v>
      </c>
      <c r="AU16" s="317">
        <f t="shared" si="30"/>
        <v>0</v>
      </c>
      <c r="AV16" s="317">
        <f t="shared" si="31"/>
        <v>0</v>
      </c>
      <c r="AW16" s="317">
        <f t="shared" si="32"/>
        <v>0</v>
      </c>
      <c r="AX16" s="317">
        <f t="shared" si="33"/>
        <v>0</v>
      </c>
      <c r="AY16" s="317">
        <f t="shared" si="34"/>
        <v>0</v>
      </c>
      <c r="AZ16" s="317">
        <f t="shared" si="35"/>
        <v>0</v>
      </c>
      <c r="BA16" s="317">
        <f t="shared" si="36"/>
        <v>0</v>
      </c>
      <c r="BB16" s="317">
        <f t="shared" si="37"/>
        <v>0</v>
      </c>
      <c r="BC16" s="317">
        <f t="shared" si="38"/>
        <v>0</v>
      </c>
    </row>
    <row r="17" spans="1:55" s="314" customFormat="1" ht="15" customHeight="1">
      <c r="A17" s="63" t="str">
        <f t="array" ref="A17">IF(C17&lt;&gt;0,SUM(($C$11:C17&lt;&gt;0)*1),"")</f>
        <v/>
      </c>
      <c r="B17" s="315"/>
      <c r="C17" s="315"/>
      <c r="D17" s="315"/>
      <c r="E17" s="370"/>
      <c r="F17" s="371"/>
      <c r="G17" s="372"/>
      <c r="H17" s="372"/>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41"/>
        <v>0</v>
      </c>
      <c r="S17" s="317">
        <f t="shared" si="42"/>
        <v>0</v>
      </c>
      <c r="T17" s="317">
        <f t="shared" si="7"/>
        <v>0</v>
      </c>
      <c r="U17" s="317">
        <f t="shared" si="8"/>
        <v>0</v>
      </c>
      <c r="V17" s="317">
        <f t="shared" si="43"/>
        <v>0</v>
      </c>
      <c r="W17" s="317">
        <f t="shared" si="44"/>
        <v>0</v>
      </c>
      <c r="X17" s="317">
        <f t="shared" si="9"/>
        <v>0</v>
      </c>
      <c r="Y17" s="317">
        <f t="shared" si="10"/>
        <v>0</v>
      </c>
      <c r="Z17" s="317">
        <f t="shared" si="11"/>
        <v>0</v>
      </c>
      <c r="AA17" s="317">
        <f t="shared" si="12"/>
        <v>0</v>
      </c>
      <c r="AB17" s="317">
        <f t="shared" si="13"/>
        <v>0</v>
      </c>
      <c r="AC17" s="317">
        <f t="shared" si="14"/>
        <v>0</v>
      </c>
      <c r="AD17" s="317">
        <f t="shared" si="15"/>
        <v>0</v>
      </c>
      <c r="AE17" s="317">
        <f t="shared" si="16"/>
        <v>0</v>
      </c>
      <c r="AF17" s="317">
        <f t="shared" si="17"/>
        <v>0</v>
      </c>
      <c r="AG17" s="317">
        <f t="shared" si="18"/>
        <v>0</v>
      </c>
      <c r="AH17" s="317">
        <f t="shared" si="45"/>
        <v>0</v>
      </c>
      <c r="AI17" s="317">
        <f t="shared" si="46"/>
        <v>0</v>
      </c>
      <c r="AJ17" s="317">
        <f t="shared" si="19"/>
        <v>0</v>
      </c>
      <c r="AK17" s="317">
        <f t="shared" si="20"/>
        <v>0</v>
      </c>
      <c r="AL17" s="317">
        <f t="shared" si="21"/>
        <v>0</v>
      </c>
      <c r="AM17" s="317">
        <f t="shared" si="22"/>
        <v>0</v>
      </c>
      <c r="AN17" s="317">
        <f t="shared" si="23"/>
        <v>0</v>
      </c>
      <c r="AO17" s="317">
        <f t="shared" si="24"/>
        <v>0</v>
      </c>
      <c r="AP17" s="317">
        <f t="shared" si="25"/>
        <v>0</v>
      </c>
      <c r="AQ17" s="317">
        <f t="shared" si="26"/>
        <v>0</v>
      </c>
      <c r="AR17" s="317">
        <f t="shared" si="27"/>
        <v>0</v>
      </c>
      <c r="AS17" s="317">
        <f t="shared" si="28"/>
        <v>0</v>
      </c>
      <c r="AT17" s="317">
        <f t="shared" si="29"/>
        <v>0</v>
      </c>
      <c r="AU17" s="317">
        <f t="shared" si="30"/>
        <v>0</v>
      </c>
      <c r="AV17" s="317">
        <f t="shared" si="31"/>
        <v>0</v>
      </c>
      <c r="AW17" s="317">
        <f t="shared" si="32"/>
        <v>0</v>
      </c>
      <c r="AX17" s="317">
        <f t="shared" si="33"/>
        <v>0</v>
      </c>
      <c r="AY17" s="317">
        <f t="shared" si="34"/>
        <v>0</v>
      </c>
      <c r="AZ17" s="317">
        <f t="shared" si="35"/>
        <v>0</v>
      </c>
      <c r="BA17" s="317">
        <f t="shared" si="36"/>
        <v>0</v>
      </c>
      <c r="BB17" s="317">
        <f t="shared" si="37"/>
        <v>0</v>
      </c>
      <c r="BC17" s="317">
        <f t="shared" si="38"/>
        <v>0</v>
      </c>
    </row>
    <row r="18" spans="1:55" s="314" customFormat="1" ht="15" customHeight="1">
      <c r="A18" s="63" t="str">
        <f t="array" ref="A18">IF(C18&lt;&gt;0,SUM(($C$11:C18&lt;&gt;0)*1),"")</f>
        <v/>
      </c>
      <c r="B18" s="315"/>
      <c r="C18" s="315"/>
      <c r="D18" s="315"/>
      <c r="E18" s="370"/>
      <c r="F18" s="371"/>
      <c r="G18" s="372"/>
      <c r="H18" s="372"/>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41"/>
        <v>0</v>
      </c>
      <c r="S18" s="317">
        <f t="shared" si="42"/>
        <v>0</v>
      </c>
      <c r="T18" s="317">
        <f t="shared" si="7"/>
        <v>0</v>
      </c>
      <c r="U18" s="317">
        <f t="shared" si="8"/>
        <v>0</v>
      </c>
      <c r="V18" s="317">
        <f t="shared" si="43"/>
        <v>0</v>
      </c>
      <c r="W18" s="317">
        <f t="shared" si="44"/>
        <v>0</v>
      </c>
      <c r="X18" s="317">
        <f t="shared" si="9"/>
        <v>0</v>
      </c>
      <c r="Y18" s="317">
        <f t="shared" si="10"/>
        <v>0</v>
      </c>
      <c r="Z18" s="317">
        <f t="shared" si="11"/>
        <v>0</v>
      </c>
      <c r="AA18" s="317">
        <f t="shared" si="12"/>
        <v>0</v>
      </c>
      <c r="AB18" s="317">
        <f t="shared" si="13"/>
        <v>0</v>
      </c>
      <c r="AC18" s="317">
        <f t="shared" si="14"/>
        <v>0</v>
      </c>
      <c r="AD18" s="317">
        <f t="shared" si="15"/>
        <v>0</v>
      </c>
      <c r="AE18" s="317">
        <f t="shared" si="16"/>
        <v>0</v>
      </c>
      <c r="AF18" s="317">
        <f t="shared" si="17"/>
        <v>0</v>
      </c>
      <c r="AG18" s="317">
        <f t="shared" si="18"/>
        <v>0</v>
      </c>
      <c r="AH18" s="317">
        <f t="shared" si="45"/>
        <v>0</v>
      </c>
      <c r="AI18" s="317">
        <f t="shared" si="46"/>
        <v>0</v>
      </c>
      <c r="AJ18" s="317">
        <f t="shared" si="19"/>
        <v>0</v>
      </c>
      <c r="AK18" s="317">
        <f t="shared" si="20"/>
        <v>0</v>
      </c>
      <c r="AL18" s="317">
        <f t="shared" si="21"/>
        <v>0</v>
      </c>
      <c r="AM18" s="317">
        <f t="shared" si="22"/>
        <v>0</v>
      </c>
      <c r="AN18" s="317">
        <f t="shared" si="23"/>
        <v>0</v>
      </c>
      <c r="AO18" s="317">
        <f t="shared" si="24"/>
        <v>0</v>
      </c>
      <c r="AP18" s="317">
        <f t="shared" si="25"/>
        <v>0</v>
      </c>
      <c r="AQ18" s="317">
        <f t="shared" si="26"/>
        <v>0</v>
      </c>
      <c r="AR18" s="317">
        <f t="shared" si="27"/>
        <v>0</v>
      </c>
      <c r="AS18" s="317">
        <f t="shared" si="28"/>
        <v>0</v>
      </c>
      <c r="AT18" s="317">
        <f t="shared" si="29"/>
        <v>0</v>
      </c>
      <c r="AU18" s="317">
        <f t="shared" si="30"/>
        <v>0</v>
      </c>
      <c r="AV18" s="317">
        <f t="shared" si="31"/>
        <v>0</v>
      </c>
      <c r="AW18" s="317">
        <f t="shared" si="32"/>
        <v>0</v>
      </c>
      <c r="AX18" s="317">
        <f t="shared" si="33"/>
        <v>0</v>
      </c>
      <c r="AY18" s="317">
        <f t="shared" si="34"/>
        <v>0</v>
      </c>
      <c r="AZ18" s="317">
        <f t="shared" si="35"/>
        <v>0</v>
      </c>
      <c r="BA18" s="317">
        <f t="shared" si="36"/>
        <v>0</v>
      </c>
      <c r="BB18" s="317">
        <f t="shared" si="37"/>
        <v>0</v>
      </c>
      <c r="BC18" s="317">
        <f t="shared" si="38"/>
        <v>0</v>
      </c>
    </row>
    <row r="19" spans="1:55" s="314" customFormat="1" ht="15" customHeight="1">
      <c r="A19" s="63" t="str">
        <f t="array" ref="A19">IF(C19&lt;&gt;0,SUM(($C$11:C19&lt;&gt;0)*1),"")</f>
        <v/>
      </c>
      <c r="B19" s="315"/>
      <c r="C19" s="315"/>
      <c r="D19" s="315"/>
      <c r="E19" s="370"/>
      <c r="F19" s="371"/>
      <c r="G19" s="372"/>
      <c r="H19" s="372"/>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41"/>
        <v>0</v>
      </c>
      <c r="S19" s="317">
        <f t="shared" si="42"/>
        <v>0</v>
      </c>
      <c r="T19" s="317">
        <f t="shared" si="7"/>
        <v>0</v>
      </c>
      <c r="U19" s="317">
        <f t="shared" si="8"/>
        <v>0</v>
      </c>
      <c r="V19" s="317">
        <f t="shared" si="43"/>
        <v>0</v>
      </c>
      <c r="W19" s="317">
        <f t="shared" si="44"/>
        <v>0</v>
      </c>
      <c r="X19" s="317">
        <f t="shared" si="9"/>
        <v>0</v>
      </c>
      <c r="Y19" s="317">
        <f t="shared" si="10"/>
        <v>0</v>
      </c>
      <c r="Z19" s="317">
        <f t="shared" si="11"/>
        <v>0</v>
      </c>
      <c r="AA19" s="317">
        <f t="shared" si="12"/>
        <v>0</v>
      </c>
      <c r="AB19" s="317">
        <f t="shared" si="13"/>
        <v>0</v>
      </c>
      <c r="AC19" s="317">
        <f t="shared" si="14"/>
        <v>0</v>
      </c>
      <c r="AD19" s="317">
        <f t="shared" si="15"/>
        <v>0</v>
      </c>
      <c r="AE19" s="317">
        <f t="shared" si="16"/>
        <v>0</v>
      </c>
      <c r="AF19" s="317">
        <f t="shared" si="17"/>
        <v>0</v>
      </c>
      <c r="AG19" s="317">
        <f t="shared" si="18"/>
        <v>0</v>
      </c>
      <c r="AH19" s="317">
        <f t="shared" si="45"/>
        <v>0</v>
      </c>
      <c r="AI19" s="317">
        <f t="shared" si="46"/>
        <v>0</v>
      </c>
      <c r="AJ19" s="317">
        <f t="shared" si="19"/>
        <v>0</v>
      </c>
      <c r="AK19" s="317">
        <f t="shared" si="20"/>
        <v>0</v>
      </c>
      <c r="AL19" s="317">
        <f t="shared" si="21"/>
        <v>0</v>
      </c>
      <c r="AM19" s="317">
        <f t="shared" si="22"/>
        <v>0</v>
      </c>
      <c r="AN19" s="317">
        <f t="shared" si="23"/>
        <v>0</v>
      </c>
      <c r="AO19" s="317">
        <f t="shared" si="24"/>
        <v>0</v>
      </c>
      <c r="AP19" s="317">
        <f t="shared" si="25"/>
        <v>0</v>
      </c>
      <c r="AQ19" s="317">
        <f t="shared" si="26"/>
        <v>0</v>
      </c>
      <c r="AR19" s="317">
        <f t="shared" si="27"/>
        <v>0</v>
      </c>
      <c r="AS19" s="317">
        <f t="shared" si="28"/>
        <v>0</v>
      </c>
      <c r="AT19" s="317">
        <f t="shared" si="29"/>
        <v>0</v>
      </c>
      <c r="AU19" s="317">
        <f t="shared" si="30"/>
        <v>0</v>
      </c>
      <c r="AV19" s="317">
        <f t="shared" si="31"/>
        <v>0</v>
      </c>
      <c r="AW19" s="317">
        <f t="shared" si="32"/>
        <v>0</v>
      </c>
      <c r="AX19" s="317">
        <f t="shared" si="33"/>
        <v>0</v>
      </c>
      <c r="AY19" s="317">
        <f t="shared" si="34"/>
        <v>0</v>
      </c>
      <c r="AZ19" s="317">
        <f t="shared" si="35"/>
        <v>0</v>
      </c>
      <c r="BA19" s="317">
        <f t="shared" si="36"/>
        <v>0</v>
      </c>
      <c r="BB19" s="317">
        <f t="shared" si="37"/>
        <v>0</v>
      </c>
      <c r="BC19" s="317">
        <f t="shared" si="38"/>
        <v>0</v>
      </c>
    </row>
    <row r="20" spans="1:55" s="314" customFormat="1" ht="15" customHeight="1">
      <c r="A20" s="63" t="str">
        <f t="array" ref="A20">IF(C20&lt;&gt;0,SUM(($C$11:C20&lt;&gt;0)*1),"")</f>
        <v/>
      </c>
      <c r="B20" s="315"/>
      <c r="C20" s="315"/>
      <c r="D20" s="315"/>
      <c r="E20" s="370"/>
      <c r="F20" s="371"/>
      <c r="G20" s="372"/>
      <c r="H20" s="372"/>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41"/>
        <v>0</v>
      </c>
      <c r="S20" s="317">
        <f t="shared" si="42"/>
        <v>0</v>
      </c>
      <c r="T20" s="317">
        <f t="shared" si="7"/>
        <v>0</v>
      </c>
      <c r="U20" s="317">
        <f t="shared" si="8"/>
        <v>0</v>
      </c>
      <c r="V20" s="317">
        <f t="shared" si="43"/>
        <v>0</v>
      </c>
      <c r="W20" s="317">
        <f t="shared" si="44"/>
        <v>0</v>
      </c>
      <c r="X20" s="317">
        <f t="shared" si="9"/>
        <v>0</v>
      </c>
      <c r="Y20" s="317">
        <f t="shared" si="10"/>
        <v>0</v>
      </c>
      <c r="Z20" s="317">
        <f t="shared" si="11"/>
        <v>0</v>
      </c>
      <c r="AA20" s="317">
        <f t="shared" si="12"/>
        <v>0</v>
      </c>
      <c r="AB20" s="317">
        <f t="shared" si="13"/>
        <v>0</v>
      </c>
      <c r="AC20" s="317">
        <f t="shared" si="14"/>
        <v>0</v>
      </c>
      <c r="AD20" s="317">
        <f t="shared" si="15"/>
        <v>0</v>
      </c>
      <c r="AE20" s="317">
        <f t="shared" si="16"/>
        <v>0</v>
      </c>
      <c r="AF20" s="317">
        <f t="shared" si="17"/>
        <v>0</v>
      </c>
      <c r="AG20" s="317">
        <f t="shared" si="18"/>
        <v>0</v>
      </c>
      <c r="AH20" s="317">
        <f t="shared" si="45"/>
        <v>0</v>
      </c>
      <c r="AI20" s="317">
        <f t="shared" si="46"/>
        <v>0</v>
      </c>
      <c r="AJ20" s="317">
        <f t="shared" si="19"/>
        <v>0</v>
      </c>
      <c r="AK20" s="317">
        <f t="shared" si="20"/>
        <v>0</v>
      </c>
      <c r="AL20" s="317">
        <f t="shared" si="21"/>
        <v>0</v>
      </c>
      <c r="AM20" s="317">
        <f t="shared" si="22"/>
        <v>0</v>
      </c>
      <c r="AN20" s="317">
        <f t="shared" si="23"/>
        <v>0</v>
      </c>
      <c r="AO20" s="317">
        <f t="shared" si="24"/>
        <v>0</v>
      </c>
      <c r="AP20" s="317">
        <f t="shared" si="25"/>
        <v>0</v>
      </c>
      <c r="AQ20" s="317">
        <f t="shared" si="26"/>
        <v>0</v>
      </c>
      <c r="AR20" s="317">
        <f t="shared" si="27"/>
        <v>0</v>
      </c>
      <c r="AS20" s="317">
        <f t="shared" si="28"/>
        <v>0</v>
      </c>
      <c r="AT20" s="317">
        <f t="shared" si="29"/>
        <v>0</v>
      </c>
      <c r="AU20" s="317">
        <f t="shared" si="30"/>
        <v>0</v>
      </c>
      <c r="AV20" s="317">
        <f t="shared" si="31"/>
        <v>0</v>
      </c>
      <c r="AW20" s="317">
        <f t="shared" si="32"/>
        <v>0</v>
      </c>
      <c r="AX20" s="317">
        <f t="shared" si="33"/>
        <v>0</v>
      </c>
      <c r="AY20" s="317">
        <f t="shared" si="34"/>
        <v>0</v>
      </c>
      <c r="AZ20" s="317">
        <f t="shared" si="35"/>
        <v>0</v>
      </c>
      <c r="BA20" s="317">
        <f t="shared" si="36"/>
        <v>0</v>
      </c>
      <c r="BB20" s="317">
        <f t="shared" si="37"/>
        <v>0</v>
      </c>
      <c r="BC20" s="317">
        <f t="shared" si="38"/>
        <v>0</v>
      </c>
    </row>
    <row r="21" spans="1:55" s="314" customFormat="1" ht="15" customHeight="1">
      <c r="A21" s="63" t="str">
        <f t="array" ref="A21">IF(C21&lt;&gt;0,SUM(($C$11:C21&lt;&gt;0)*1),"")</f>
        <v/>
      </c>
      <c r="B21" s="315"/>
      <c r="C21" s="315"/>
      <c r="D21" s="315"/>
      <c r="E21" s="370"/>
      <c r="F21" s="371"/>
      <c r="G21" s="372"/>
      <c r="H21" s="372"/>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41"/>
        <v>0</v>
      </c>
      <c r="S21" s="317">
        <f t="shared" si="42"/>
        <v>0</v>
      </c>
      <c r="T21" s="317">
        <f t="shared" si="7"/>
        <v>0</v>
      </c>
      <c r="U21" s="317">
        <f t="shared" si="8"/>
        <v>0</v>
      </c>
      <c r="V21" s="317">
        <f t="shared" si="43"/>
        <v>0</v>
      </c>
      <c r="W21" s="317">
        <f t="shared" si="44"/>
        <v>0</v>
      </c>
      <c r="X21" s="317">
        <f t="shared" si="9"/>
        <v>0</v>
      </c>
      <c r="Y21" s="317">
        <f t="shared" si="10"/>
        <v>0</v>
      </c>
      <c r="Z21" s="317">
        <f t="shared" si="11"/>
        <v>0</v>
      </c>
      <c r="AA21" s="317">
        <f t="shared" si="12"/>
        <v>0</v>
      </c>
      <c r="AB21" s="317">
        <f t="shared" si="13"/>
        <v>0</v>
      </c>
      <c r="AC21" s="317">
        <f t="shared" si="14"/>
        <v>0</v>
      </c>
      <c r="AD21" s="317">
        <f t="shared" si="15"/>
        <v>0</v>
      </c>
      <c r="AE21" s="317">
        <f t="shared" si="16"/>
        <v>0</v>
      </c>
      <c r="AF21" s="317">
        <f t="shared" si="17"/>
        <v>0</v>
      </c>
      <c r="AG21" s="317">
        <f t="shared" si="18"/>
        <v>0</v>
      </c>
      <c r="AH21" s="317">
        <f t="shared" si="45"/>
        <v>0</v>
      </c>
      <c r="AI21" s="317">
        <f t="shared" si="46"/>
        <v>0</v>
      </c>
      <c r="AJ21" s="317">
        <f t="shared" si="19"/>
        <v>0</v>
      </c>
      <c r="AK21" s="317">
        <f t="shared" si="20"/>
        <v>0</v>
      </c>
      <c r="AL21" s="317">
        <f t="shared" si="21"/>
        <v>0</v>
      </c>
      <c r="AM21" s="317">
        <f t="shared" si="22"/>
        <v>0</v>
      </c>
      <c r="AN21" s="317">
        <f t="shared" si="23"/>
        <v>0</v>
      </c>
      <c r="AO21" s="317">
        <f t="shared" si="24"/>
        <v>0</v>
      </c>
      <c r="AP21" s="317">
        <f t="shared" si="25"/>
        <v>0</v>
      </c>
      <c r="AQ21" s="317">
        <f t="shared" si="26"/>
        <v>0</v>
      </c>
      <c r="AR21" s="317">
        <f t="shared" si="27"/>
        <v>0</v>
      </c>
      <c r="AS21" s="317">
        <f t="shared" si="28"/>
        <v>0</v>
      </c>
      <c r="AT21" s="317">
        <f t="shared" si="29"/>
        <v>0</v>
      </c>
      <c r="AU21" s="317">
        <f t="shared" si="30"/>
        <v>0</v>
      </c>
      <c r="AV21" s="317">
        <f t="shared" si="31"/>
        <v>0</v>
      </c>
      <c r="AW21" s="317">
        <f t="shared" si="32"/>
        <v>0</v>
      </c>
      <c r="AX21" s="317">
        <f t="shared" si="33"/>
        <v>0</v>
      </c>
      <c r="AY21" s="317">
        <f t="shared" si="34"/>
        <v>0</v>
      </c>
      <c r="AZ21" s="317">
        <f t="shared" si="35"/>
        <v>0</v>
      </c>
      <c r="BA21" s="317">
        <f t="shared" si="36"/>
        <v>0</v>
      </c>
      <c r="BB21" s="317">
        <f t="shared" si="37"/>
        <v>0</v>
      </c>
      <c r="BC21" s="317">
        <f t="shared" si="38"/>
        <v>0</v>
      </c>
    </row>
    <row r="22" spans="1:55" s="314" customFormat="1" ht="15" customHeight="1">
      <c r="A22" s="63" t="str">
        <f t="array" ref="A22">IF(C22&lt;&gt;0,SUM(($C$11:C22&lt;&gt;0)*1),"")</f>
        <v/>
      </c>
      <c r="B22" s="315"/>
      <c r="C22" s="315"/>
      <c r="D22" s="315"/>
      <c r="E22" s="370"/>
      <c r="F22" s="371"/>
      <c r="G22" s="372"/>
      <c r="H22" s="372"/>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41"/>
        <v>0</v>
      </c>
      <c r="S22" s="317">
        <f t="shared" si="42"/>
        <v>0</v>
      </c>
      <c r="T22" s="317">
        <f t="shared" si="7"/>
        <v>0</v>
      </c>
      <c r="U22" s="317">
        <f t="shared" si="8"/>
        <v>0</v>
      </c>
      <c r="V22" s="317">
        <f t="shared" si="43"/>
        <v>0</v>
      </c>
      <c r="W22" s="317">
        <f t="shared" si="44"/>
        <v>0</v>
      </c>
      <c r="X22" s="317">
        <f t="shared" si="9"/>
        <v>0</v>
      </c>
      <c r="Y22" s="317">
        <f t="shared" si="10"/>
        <v>0</v>
      </c>
      <c r="Z22" s="317">
        <f t="shared" si="11"/>
        <v>0</v>
      </c>
      <c r="AA22" s="317">
        <f t="shared" si="12"/>
        <v>0</v>
      </c>
      <c r="AB22" s="317">
        <f t="shared" si="13"/>
        <v>0</v>
      </c>
      <c r="AC22" s="317">
        <f t="shared" si="14"/>
        <v>0</v>
      </c>
      <c r="AD22" s="317">
        <f t="shared" si="15"/>
        <v>0</v>
      </c>
      <c r="AE22" s="317">
        <f t="shared" si="16"/>
        <v>0</v>
      </c>
      <c r="AF22" s="317">
        <f t="shared" si="17"/>
        <v>0</v>
      </c>
      <c r="AG22" s="317">
        <f t="shared" si="18"/>
        <v>0</v>
      </c>
      <c r="AH22" s="317">
        <f t="shared" si="45"/>
        <v>0</v>
      </c>
      <c r="AI22" s="317">
        <f t="shared" si="46"/>
        <v>0</v>
      </c>
      <c r="AJ22" s="317">
        <f t="shared" si="19"/>
        <v>0</v>
      </c>
      <c r="AK22" s="317">
        <f t="shared" si="20"/>
        <v>0</v>
      </c>
      <c r="AL22" s="317">
        <f t="shared" si="21"/>
        <v>0</v>
      </c>
      <c r="AM22" s="317">
        <f t="shared" si="22"/>
        <v>0</v>
      </c>
      <c r="AN22" s="317">
        <f t="shared" si="23"/>
        <v>0</v>
      </c>
      <c r="AO22" s="317">
        <f t="shared" si="24"/>
        <v>0</v>
      </c>
      <c r="AP22" s="317">
        <f t="shared" si="25"/>
        <v>0</v>
      </c>
      <c r="AQ22" s="317">
        <f t="shared" si="26"/>
        <v>0</v>
      </c>
      <c r="AR22" s="317">
        <f t="shared" si="27"/>
        <v>0</v>
      </c>
      <c r="AS22" s="317">
        <f t="shared" si="28"/>
        <v>0</v>
      </c>
      <c r="AT22" s="317">
        <f t="shared" si="29"/>
        <v>0</v>
      </c>
      <c r="AU22" s="317">
        <f t="shared" si="30"/>
        <v>0</v>
      </c>
      <c r="AV22" s="317">
        <f t="shared" si="31"/>
        <v>0</v>
      </c>
      <c r="AW22" s="317">
        <f t="shared" si="32"/>
        <v>0</v>
      </c>
      <c r="AX22" s="317">
        <f t="shared" si="33"/>
        <v>0</v>
      </c>
      <c r="AY22" s="317">
        <f t="shared" si="34"/>
        <v>0</v>
      </c>
      <c r="AZ22" s="317">
        <f t="shared" si="35"/>
        <v>0</v>
      </c>
      <c r="BA22" s="317">
        <f t="shared" si="36"/>
        <v>0</v>
      </c>
      <c r="BB22" s="317">
        <f t="shared" si="37"/>
        <v>0</v>
      </c>
      <c r="BC22" s="317">
        <f t="shared" si="38"/>
        <v>0</v>
      </c>
    </row>
    <row r="23" spans="1:55" s="314" customFormat="1" ht="15" customHeight="1">
      <c r="A23" s="63" t="str">
        <f t="array" ref="A23">IF(C23&lt;&gt;0,SUM(($C$11:C23&lt;&gt;0)*1),"")</f>
        <v/>
      </c>
      <c r="B23" s="315"/>
      <c r="C23" s="315"/>
      <c r="D23" s="315"/>
      <c r="E23" s="370"/>
      <c r="F23" s="371"/>
      <c r="G23" s="372"/>
      <c r="H23" s="372"/>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41"/>
        <v>0</v>
      </c>
      <c r="S23" s="317">
        <f t="shared" si="42"/>
        <v>0</v>
      </c>
      <c r="T23" s="317">
        <f t="shared" si="7"/>
        <v>0</v>
      </c>
      <c r="U23" s="317">
        <f t="shared" si="8"/>
        <v>0</v>
      </c>
      <c r="V23" s="317">
        <f t="shared" si="43"/>
        <v>0</v>
      </c>
      <c r="W23" s="317">
        <f t="shared" si="44"/>
        <v>0</v>
      </c>
      <c r="X23" s="317">
        <f t="shared" si="9"/>
        <v>0</v>
      </c>
      <c r="Y23" s="317">
        <f t="shared" si="10"/>
        <v>0</v>
      </c>
      <c r="Z23" s="317">
        <f t="shared" si="11"/>
        <v>0</v>
      </c>
      <c r="AA23" s="317">
        <f t="shared" si="12"/>
        <v>0</v>
      </c>
      <c r="AB23" s="317">
        <f t="shared" si="13"/>
        <v>0</v>
      </c>
      <c r="AC23" s="317">
        <f t="shared" si="14"/>
        <v>0</v>
      </c>
      <c r="AD23" s="317">
        <f t="shared" si="15"/>
        <v>0</v>
      </c>
      <c r="AE23" s="317">
        <f t="shared" si="16"/>
        <v>0</v>
      </c>
      <c r="AF23" s="317">
        <f t="shared" si="17"/>
        <v>0</v>
      </c>
      <c r="AG23" s="317">
        <f t="shared" si="18"/>
        <v>0</v>
      </c>
      <c r="AH23" s="317">
        <f t="shared" si="45"/>
        <v>0</v>
      </c>
      <c r="AI23" s="317">
        <f t="shared" si="46"/>
        <v>0</v>
      </c>
      <c r="AJ23" s="317">
        <f t="shared" si="19"/>
        <v>0</v>
      </c>
      <c r="AK23" s="317">
        <f t="shared" si="20"/>
        <v>0</v>
      </c>
      <c r="AL23" s="317">
        <f t="shared" si="21"/>
        <v>0</v>
      </c>
      <c r="AM23" s="317">
        <f t="shared" si="22"/>
        <v>0</v>
      </c>
      <c r="AN23" s="317">
        <f t="shared" si="23"/>
        <v>0</v>
      </c>
      <c r="AO23" s="317">
        <f t="shared" si="24"/>
        <v>0</v>
      </c>
      <c r="AP23" s="317">
        <f t="shared" si="25"/>
        <v>0</v>
      </c>
      <c r="AQ23" s="317">
        <f t="shared" si="26"/>
        <v>0</v>
      </c>
      <c r="AR23" s="317">
        <f t="shared" si="27"/>
        <v>0</v>
      </c>
      <c r="AS23" s="317">
        <f t="shared" si="28"/>
        <v>0</v>
      </c>
      <c r="AT23" s="317">
        <f t="shared" si="29"/>
        <v>0</v>
      </c>
      <c r="AU23" s="317">
        <f t="shared" si="30"/>
        <v>0</v>
      </c>
      <c r="AV23" s="317">
        <f t="shared" si="31"/>
        <v>0</v>
      </c>
      <c r="AW23" s="317">
        <f t="shared" si="32"/>
        <v>0</v>
      </c>
      <c r="AX23" s="317">
        <f t="shared" si="33"/>
        <v>0</v>
      </c>
      <c r="AY23" s="317">
        <f t="shared" si="34"/>
        <v>0</v>
      </c>
      <c r="AZ23" s="317">
        <f t="shared" si="35"/>
        <v>0</v>
      </c>
      <c r="BA23" s="317">
        <f t="shared" si="36"/>
        <v>0</v>
      </c>
      <c r="BB23" s="317">
        <f t="shared" si="37"/>
        <v>0</v>
      </c>
      <c r="BC23" s="317">
        <f t="shared" si="38"/>
        <v>0</v>
      </c>
    </row>
    <row r="24" spans="1:55" s="314" customFormat="1" ht="15" customHeight="1">
      <c r="A24" s="63" t="str">
        <f t="array" ref="A24">IF(C24&lt;&gt;0,SUM(($C$11:C24&lt;&gt;0)*1),"")</f>
        <v/>
      </c>
      <c r="B24" s="315"/>
      <c r="C24" s="315"/>
      <c r="D24" s="315"/>
      <c r="E24" s="370"/>
      <c r="F24" s="371"/>
      <c r="G24" s="372"/>
      <c r="H24" s="372"/>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41"/>
        <v>0</v>
      </c>
      <c r="S24" s="317">
        <f t="shared" si="42"/>
        <v>0</v>
      </c>
      <c r="T24" s="317">
        <f t="shared" si="7"/>
        <v>0</v>
      </c>
      <c r="U24" s="317">
        <f t="shared" si="8"/>
        <v>0</v>
      </c>
      <c r="V24" s="317">
        <f t="shared" si="43"/>
        <v>0</v>
      </c>
      <c r="W24" s="317">
        <f t="shared" si="44"/>
        <v>0</v>
      </c>
      <c r="X24" s="317">
        <f t="shared" si="9"/>
        <v>0</v>
      </c>
      <c r="Y24" s="317">
        <f t="shared" si="10"/>
        <v>0</v>
      </c>
      <c r="Z24" s="317">
        <f t="shared" si="11"/>
        <v>0</v>
      </c>
      <c r="AA24" s="317">
        <f t="shared" si="12"/>
        <v>0</v>
      </c>
      <c r="AB24" s="317">
        <f t="shared" si="13"/>
        <v>0</v>
      </c>
      <c r="AC24" s="317">
        <f t="shared" si="14"/>
        <v>0</v>
      </c>
      <c r="AD24" s="317">
        <f t="shared" si="15"/>
        <v>0</v>
      </c>
      <c r="AE24" s="317">
        <f t="shared" si="16"/>
        <v>0</v>
      </c>
      <c r="AF24" s="317">
        <f t="shared" si="17"/>
        <v>0</v>
      </c>
      <c r="AG24" s="317">
        <f t="shared" si="18"/>
        <v>0</v>
      </c>
      <c r="AH24" s="317">
        <f t="shared" si="45"/>
        <v>0</v>
      </c>
      <c r="AI24" s="317">
        <f t="shared" si="46"/>
        <v>0</v>
      </c>
      <c r="AJ24" s="317">
        <f t="shared" si="19"/>
        <v>0</v>
      </c>
      <c r="AK24" s="317">
        <f t="shared" si="20"/>
        <v>0</v>
      </c>
      <c r="AL24" s="317">
        <f t="shared" si="21"/>
        <v>0</v>
      </c>
      <c r="AM24" s="317">
        <f t="shared" si="22"/>
        <v>0</v>
      </c>
      <c r="AN24" s="317">
        <f t="shared" si="23"/>
        <v>0</v>
      </c>
      <c r="AO24" s="317">
        <f t="shared" si="24"/>
        <v>0</v>
      </c>
      <c r="AP24" s="317">
        <f t="shared" si="25"/>
        <v>0</v>
      </c>
      <c r="AQ24" s="317">
        <f t="shared" si="26"/>
        <v>0</v>
      </c>
      <c r="AR24" s="317">
        <f t="shared" si="27"/>
        <v>0</v>
      </c>
      <c r="AS24" s="317">
        <f t="shared" si="28"/>
        <v>0</v>
      </c>
      <c r="AT24" s="317">
        <f t="shared" si="29"/>
        <v>0</v>
      </c>
      <c r="AU24" s="317">
        <f t="shared" si="30"/>
        <v>0</v>
      </c>
      <c r="AV24" s="317">
        <f t="shared" si="31"/>
        <v>0</v>
      </c>
      <c r="AW24" s="317">
        <f t="shared" si="32"/>
        <v>0</v>
      </c>
      <c r="AX24" s="317">
        <f t="shared" si="33"/>
        <v>0</v>
      </c>
      <c r="AY24" s="317">
        <f t="shared" si="34"/>
        <v>0</v>
      </c>
      <c r="AZ24" s="317">
        <f t="shared" si="35"/>
        <v>0</v>
      </c>
      <c r="BA24" s="317">
        <f t="shared" si="36"/>
        <v>0</v>
      </c>
      <c r="BB24" s="317">
        <f t="shared" si="37"/>
        <v>0</v>
      </c>
      <c r="BC24" s="317">
        <f t="shared" si="38"/>
        <v>0</v>
      </c>
    </row>
    <row r="25" spans="1:55" s="314" customFormat="1" ht="15" customHeight="1">
      <c r="A25" s="63" t="str">
        <f t="array" ref="A25">IF(C25&lt;&gt;0,SUM(($C$11:C25&lt;&gt;0)*1),"")</f>
        <v/>
      </c>
      <c r="B25" s="315"/>
      <c r="C25" s="315"/>
      <c r="D25" s="315"/>
      <c r="E25" s="370"/>
      <c r="F25" s="371"/>
      <c r="G25" s="372"/>
      <c r="H25" s="372"/>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41"/>
        <v>0</v>
      </c>
      <c r="S25" s="317">
        <f t="shared" si="42"/>
        <v>0</v>
      </c>
      <c r="T25" s="317">
        <f t="shared" si="7"/>
        <v>0</v>
      </c>
      <c r="U25" s="317">
        <f t="shared" si="8"/>
        <v>0</v>
      </c>
      <c r="V25" s="317">
        <f t="shared" si="43"/>
        <v>0</v>
      </c>
      <c r="W25" s="317">
        <f t="shared" si="44"/>
        <v>0</v>
      </c>
      <c r="X25" s="317">
        <f t="shared" si="9"/>
        <v>0</v>
      </c>
      <c r="Y25" s="317">
        <f t="shared" si="10"/>
        <v>0</v>
      </c>
      <c r="Z25" s="317">
        <f t="shared" si="11"/>
        <v>0</v>
      </c>
      <c r="AA25" s="317">
        <f t="shared" si="12"/>
        <v>0</v>
      </c>
      <c r="AB25" s="317">
        <f t="shared" si="13"/>
        <v>0</v>
      </c>
      <c r="AC25" s="317">
        <f t="shared" si="14"/>
        <v>0</v>
      </c>
      <c r="AD25" s="317">
        <f t="shared" si="15"/>
        <v>0</v>
      </c>
      <c r="AE25" s="317">
        <f t="shared" si="16"/>
        <v>0</v>
      </c>
      <c r="AF25" s="317">
        <f t="shared" si="17"/>
        <v>0</v>
      </c>
      <c r="AG25" s="317">
        <f t="shared" si="18"/>
        <v>0</v>
      </c>
      <c r="AH25" s="317">
        <f t="shared" si="45"/>
        <v>0</v>
      </c>
      <c r="AI25" s="317">
        <f t="shared" si="46"/>
        <v>0</v>
      </c>
      <c r="AJ25" s="317">
        <f t="shared" si="19"/>
        <v>0</v>
      </c>
      <c r="AK25" s="317">
        <f t="shared" si="20"/>
        <v>0</v>
      </c>
      <c r="AL25" s="317">
        <f t="shared" si="21"/>
        <v>0</v>
      </c>
      <c r="AM25" s="317">
        <f t="shared" si="22"/>
        <v>0</v>
      </c>
      <c r="AN25" s="317">
        <f t="shared" si="23"/>
        <v>0</v>
      </c>
      <c r="AO25" s="317">
        <f t="shared" si="24"/>
        <v>0</v>
      </c>
      <c r="AP25" s="317">
        <f t="shared" si="25"/>
        <v>0</v>
      </c>
      <c r="AQ25" s="317">
        <f t="shared" si="26"/>
        <v>0</v>
      </c>
      <c r="AR25" s="317">
        <f t="shared" si="27"/>
        <v>0</v>
      </c>
      <c r="AS25" s="317">
        <f t="shared" si="28"/>
        <v>0</v>
      </c>
      <c r="AT25" s="317">
        <f t="shared" si="29"/>
        <v>0</v>
      </c>
      <c r="AU25" s="317">
        <f t="shared" si="30"/>
        <v>0</v>
      </c>
      <c r="AV25" s="317">
        <f t="shared" si="31"/>
        <v>0</v>
      </c>
      <c r="AW25" s="317">
        <f t="shared" si="32"/>
        <v>0</v>
      </c>
      <c r="AX25" s="317">
        <f t="shared" si="33"/>
        <v>0</v>
      </c>
      <c r="AY25" s="317">
        <f t="shared" si="34"/>
        <v>0</v>
      </c>
      <c r="AZ25" s="317">
        <f t="shared" si="35"/>
        <v>0</v>
      </c>
      <c r="BA25" s="317">
        <f t="shared" si="36"/>
        <v>0</v>
      </c>
      <c r="BB25" s="317">
        <f t="shared" si="37"/>
        <v>0</v>
      </c>
      <c r="BC25" s="317">
        <f t="shared" si="38"/>
        <v>0</v>
      </c>
    </row>
    <row r="26" spans="1:55" s="314" customFormat="1" ht="15" customHeight="1">
      <c r="A26" s="63" t="str">
        <f t="array" ref="A26">IF(C26&lt;&gt;0,SUM(($C$11:C26&lt;&gt;0)*1),"")</f>
        <v/>
      </c>
      <c r="B26" s="315"/>
      <c r="C26" s="315"/>
      <c r="D26" s="315"/>
      <c r="E26" s="370"/>
      <c r="F26" s="371"/>
      <c r="G26" s="372"/>
      <c r="H26" s="372"/>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41"/>
        <v>0</v>
      </c>
      <c r="S26" s="317">
        <f t="shared" si="42"/>
        <v>0</v>
      </c>
      <c r="T26" s="317">
        <f t="shared" si="7"/>
        <v>0</v>
      </c>
      <c r="U26" s="317">
        <f t="shared" si="8"/>
        <v>0</v>
      </c>
      <c r="V26" s="317">
        <f t="shared" si="43"/>
        <v>0</v>
      </c>
      <c r="W26" s="317">
        <f t="shared" si="44"/>
        <v>0</v>
      </c>
      <c r="X26" s="317">
        <f t="shared" si="9"/>
        <v>0</v>
      </c>
      <c r="Y26" s="317">
        <f t="shared" si="10"/>
        <v>0</v>
      </c>
      <c r="Z26" s="317">
        <f t="shared" si="11"/>
        <v>0</v>
      </c>
      <c r="AA26" s="317">
        <f t="shared" si="12"/>
        <v>0</v>
      </c>
      <c r="AB26" s="317">
        <f t="shared" si="13"/>
        <v>0</v>
      </c>
      <c r="AC26" s="317">
        <f t="shared" si="14"/>
        <v>0</v>
      </c>
      <c r="AD26" s="317">
        <f t="shared" si="15"/>
        <v>0</v>
      </c>
      <c r="AE26" s="317">
        <f t="shared" si="16"/>
        <v>0</v>
      </c>
      <c r="AF26" s="317">
        <f t="shared" si="17"/>
        <v>0</v>
      </c>
      <c r="AG26" s="317">
        <f t="shared" si="18"/>
        <v>0</v>
      </c>
      <c r="AH26" s="317">
        <f t="shared" si="45"/>
        <v>0</v>
      </c>
      <c r="AI26" s="317">
        <f t="shared" si="46"/>
        <v>0</v>
      </c>
      <c r="AJ26" s="317">
        <f t="shared" si="19"/>
        <v>0</v>
      </c>
      <c r="AK26" s="317">
        <f t="shared" si="20"/>
        <v>0</v>
      </c>
      <c r="AL26" s="317">
        <f t="shared" si="21"/>
        <v>0</v>
      </c>
      <c r="AM26" s="317">
        <f t="shared" si="22"/>
        <v>0</v>
      </c>
      <c r="AN26" s="317">
        <f t="shared" si="23"/>
        <v>0</v>
      </c>
      <c r="AO26" s="317">
        <f t="shared" si="24"/>
        <v>0</v>
      </c>
      <c r="AP26" s="317">
        <f t="shared" si="25"/>
        <v>0</v>
      </c>
      <c r="AQ26" s="317">
        <f t="shared" si="26"/>
        <v>0</v>
      </c>
      <c r="AR26" s="317">
        <f t="shared" si="27"/>
        <v>0</v>
      </c>
      <c r="AS26" s="317">
        <f t="shared" si="28"/>
        <v>0</v>
      </c>
      <c r="AT26" s="317">
        <f t="shared" si="29"/>
        <v>0</v>
      </c>
      <c r="AU26" s="317">
        <f t="shared" si="30"/>
        <v>0</v>
      </c>
      <c r="AV26" s="317">
        <f t="shared" si="31"/>
        <v>0</v>
      </c>
      <c r="AW26" s="317">
        <f t="shared" si="32"/>
        <v>0</v>
      </c>
      <c r="AX26" s="317">
        <f t="shared" si="33"/>
        <v>0</v>
      </c>
      <c r="AY26" s="317">
        <f t="shared" si="34"/>
        <v>0</v>
      </c>
      <c r="AZ26" s="317">
        <f t="shared" si="35"/>
        <v>0</v>
      </c>
      <c r="BA26" s="317">
        <f t="shared" si="36"/>
        <v>0</v>
      </c>
      <c r="BB26" s="317">
        <f t="shared" si="37"/>
        <v>0</v>
      </c>
      <c r="BC26" s="317">
        <f t="shared" si="38"/>
        <v>0</v>
      </c>
    </row>
    <row r="27" spans="1:55" s="314" customFormat="1" ht="15" customHeight="1">
      <c r="A27" s="63" t="str">
        <f t="array" ref="A27">IF(C27&lt;&gt;0,SUM(($C$11:C27&lt;&gt;0)*1),"")</f>
        <v/>
      </c>
      <c r="B27" s="315"/>
      <c r="C27" s="315"/>
      <c r="D27" s="315"/>
      <c r="E27" s="370"/>
      <c r="F27" s="371"/>
      <c r="G27" s="372"/>
      <c r="H27" s="372"/>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41"/>
        <v>0</v>
      </c>
      <c r="S27" s="317">
        <f t="shared" si="42"/>
        <v>0</v>
      </c>
      <c r="T27" s="317">
        <f t="shared" si="7"/>
        <v>0</v>
      </c>
      <c r="U27" s="317">
        <f t="shared" si="8"/>
        <v>0</v>
      </c>
      <c r="V27" s="317">
        <f t="shared" si="43"/>
        <v>0</v>
      </c>
      <c r="W27" s="317">
        <f t="shared" si="44"/>
        <v>0</v>
      </c>
      <c r="X27" s="317">
        <f t="shared" si="9"/>
        <v>0</v>
      </c>
      <c r="Y27" s="317">
        <f t="shared" si="10"/>
        <v>0</v>
      </c>
      <c r="Z27" s="317">
        <f t="shared" si="11"/>
        <v>0</v>
      </c>
      <c r="AA27" s="317">
        <f t="shared" si="12"/>
        <v>0</v>
      </c>
      <c r="AB27" s="317">
        <f t="shared" si="13"/>
        <v>0</v>
      </c>
      <c r="AC27" s="317">
        <f t="shared" si="14"/>
        <v>0</v>
      </c>
      <c r="AD27" s="317">
        <f t="shared" si="15"/>
        <v>0</v>
      </c>
      <c r="AE27" s="317">
        <f t="shared" si="16"/>
        <v>0</v>
      </c>
      <c r="AF27" s="317">
        <f t="shared" si="17"/>
        <v>0</v>
      </c>
      <c r="AG27" s="317">
        <f t="shared" si="18"/>
        <v>0</v>
      </c>
      <c r="AH27" s="317">
        <f t="shared" si="45"/>
        <v>0</v>
      </c>
      <c r="AI27" s="317">
        <f t="shared" si="46"/>
        <v>0</v>
      </c>
      <c r="AJ27" s="317">
        <f t="shared" si="19"/>
        <v>0</v>
      </c>
      <c r="AK27" s="317">
        <f t="shared" si="20"/>
        <v>0</v>
      </c>
      <c r="AL27" s="317">
        <f t="shared" si="21"/>
        <v>0</v>
      </c>
      <c r="AM27" s="317">
        <f t="shared" si="22"/>
        <v>0</v>
      </c>
      <c r="AN27" s="317">
        <f t="shared" si="23"/>
        <v>0</v>
      </c>
      <c r="AO27" s="317">
        <f t="shared" si="24"/>
        <v>0</v>
      </c>
      <c r="AP27" s="317">
        <f t="shared" si="25"/>
        <v>0</v>
      </c>
      <c r="AQ27" s="317">
        <f t="shared" si="26"/>
        <v>0</v>
      </c>
      <c r="AR27" s="317">
        <f t="shared" si="27"/>
        <v>0</v>
      </c>
      <c r="AS27" s="317">
        <f t="shared" si="28"/>
        <v>0</v>
      </c>
      <c r="AT27" s="317">
        <f t="shared" si="29"/>
        <v>0</v>
      </c>
      <c r="AU27" s="317">
        <f t="shared" si="30"/>
        <v>0</v>
      </c>
      <c r="AV27" s="317">
        <f t="shared" si="31"/>
        <v>0</v>
      </c>
      <c r="AW27" s="317">
        <f t="shared" si="32"/>
        <v>0</v>
      </c>
      <c r="AX27" s="317">
        <f t="shared" si="33"/>
        <v>0</v>
      </c>
      <c r="AY27" s="317">
        <f t="shared" si="34"/>
        <v>0</v>
      </c>
      <c r="AZ27" s="317">
        <f t="shared" si="35"/>
        <v>0</v>
      </c>
      <c r="BA27" s="317">
        <f t="shared" si="36"/>
        <v>0</v>
      </c>
      <c r="BB27" s="317">
        <f t="shared" si="37"/>
        <v>0</v>
      </c>
      <c r="BC27" s="317">
        <f t="shared" si="38"/>
        <v>0</v>
      </c>
    </row>
    <row r="28" spans="1:55" s="314" customFormat="1" ht="15" customHeight="1">
      <c r="A28" s="63" t="str">
        <f t="array" ref="A28">IF(C28&lt;&gt;0,SUM(($C$11:C28&lt;&gt;0)*1),"")</f>
        <v/>
      </c>
      <c r="B28" s="315"/>
      <c r="C28" s="315"/>
      <c r="D28" s="315"/>
      <c r="E28" s="370"/>
      <c r="F28" s="371"/>
      <c r="G28" s="372"/>
      <c r="H28" s="372"/>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41"/>
        <v>0</v>
      </c>
      <c r="S28" s="317">
        <f t="shared" si="42"/>
        <v>0</v>
      </c>
      <c r="T28" s="317">
        <f t="shared" si="7"/>
        <v>0</v>
      </c>
      <c r="U28" s="317">
        <f t="shared" si="8"/>
        <v>0</v>
      </c>
      <c r="V28" s="317">
        <f t="shared" si="43"/>
        <v>0</v>
      </c>
      <c r="W28" s="317">
        <f t="shared" si="44"/>
        <v>0</v>
      </c>
      <c r="X28" s="317">
        <f t="shared" si="9"/>
        <v>0</v>
      </c>
      <c r="Y28" s="317">
        <f t="shared" si="10"/>
        <v>0</v>
      </c>
      <c r="Z28" s="317">
        <f t="shared" si="11"/>
        <v>0</v>
      </c>
      <c r="AA28" s="317">
        <f t="shared" si="12"/>
        <v>0</v>
      </c>
      <c r="AB28" s="317">
        <f t="shared" si="13"/>
        <v>0</v>
      </c>
      <c r="AC28" s="317">
        <f t="shared" si="14"/>
        <v>0</v>
      </c>
      <c r="AD28" s="317">
        <f t="shared" si="15"/>
        <v>0</v>
      </c>
      <c r="AE28" s="317">
        <f t="shared" si="16"/>
        <v>0</v>
      </c>
      <c r="AF28" s="317">
        <f t="shared" si="17"/>
        <v>0</v>
      </c>
      <c r="AG28" s="317">
        <f t="shared" si="18"/>
        <v>0</v>
      </c>
      <c r="AH28" s="317">
        <f t="shared" si="45"/>
        <v>0</v>
      </c>
      <c r="AI28" s="317">
        <f t="shared" si="46"/>
        <v>0</v>
      </c>
      <c r="AJ28" s="317">
        <f t="shared" si="19"/>
        <v>0</v>
      </c>
      <c r="AK28" s="317">
        <f t="shared" si="20"/>
        <v>0</v>
      </c>
      <c r="AL28" s="317">
        <f t="shared" si="21"/>
        <v>0</v>
      </c>
      <c r="AM28" s="317">
        <f t="shared" si="22"/>
        <v>0</v>
      </c>
      <c r="AN28" s="317">
        <f t="shared" si="23"/>
        <v>0</v>
      </c>
      <c r="AO28" s="317">
        <f t="shared" si="24"/>
        <v>0</v>
      </c>
      <c r="AP28" s="317">
        <f t="shared" si="25"/>
        <v>0</v>
      </c>
      <c r="AQ28" s="317">
        <f t="shared" si="26"/>
        <v>0</v>
      </c>
      <c r="AR28" s="317">
        <f t="shared" si="27"/>
        <v>0</v>
      </c>
      <c r="AS28" s="317">
        <f t="shared" si="28"/>
        <v>0</v>
      </c>
      <c r="AT28" s="317">
        <f t="shared" si="29"/>
        <v>0</v>
      </c>
      <c r="AU28" s="317">
        <f t="shared" si="30"/>
        <v>0</v>
      </c>
      <c r="AV28" s="317">
        <f t="shared" si="31"/>
        <v>0</v>
      </c>
      <c r="AW28" s="317">
        <f t="shared" si="32"/>
        <v>0</v>
      </c>
      <c r="AX28" s="317">
        <f t="shared" si="33"/>
        <v>0</v>
      </c>
      <c r="AY28" s="317">
        <f t="shared" si="34"/>
        <v>0</v>
      </c>
      <c r="AZ28" s="317">
        <f t="shared" si="35"/>
        <v>0</v>
      </c>
      <c r="BA28" s="317">
        <f t="shared" si="36"/>
        <v>0</v>
      </c>
      <c r="BB28" s="317">
        <f t="shared" si="37"/>
        <v>0</v>
      </c>
      <c r="BC28" s="317">
        <f t="shared" si="38"/>
        <v>0</v>
      </c>
    </row>
    <row r="29" spans="1:55" s="314" customFormat="1" ht="15" customHeight="1">
      <c r="A29" s="63" t="str">
        <f t="array" ref="A29">IF(C29&lt;&gt;0,SUM(($C$11:C29&lt;&gt;0)*1),"")</f>
        <v/>
      </c>
      <c r="B29" s="315"/>
      <c r="C29" s="315"/>
      <c r="D29" s="315"/>
      <c r="E29" s="370"/>
      <c r="F29" s="371"/>
      <c r="G29" s="372"/>
      <c r="H29" s="372"/>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41"/>
        <v>0</v>
      </c>
      <c r="S29" s="317">
        <f t="shared" si="42"/>
        <v>0</v>
      </c>
      <c r="T29" s="317">
        <f t="shared" si="7"/>
        <v>0</v>
      </c>
      <c r="U29" s="317">
        <f t="shared" si="8"/>
        <v>0</v>
      </c>
      <c r="V29" s="317">
        <f t="shared" si="43"/>
        <v>0</v>
      </c>
      <c r="W29" s="317">
        <f t="shared" si="44"/>
        <v>0</v>
      </c>
      <c r="X29" s="317">
        <f t="shared" si="9"/>
        <v>0</v>
      </c>
      <c r="Y29" s="317">
        <f t="shared" si="10"/>
        <v>0</v>
      </c>
      <c r="Z29" s="317">
        <f t="shared" si="11"/>
        <v>0</v>
      </c>
      <c r="AA29" s="317">
        <f t="shared" si="12"/>
        <v>0</v>
      </c>
      <c r="AB29" s="317">
        <f t="shared" si="13"/>
        <v>0</v>
      </c>
      <c r="AC29" s="317">
        <f t="shared" si="14"/>
        <v>0</v>
      </c>
      <c r="AD29" s="317">
        <f t="shared" si="15"/>
        <v>0</v>
      </c>
      <c r="AE29" s="317">
        <f t="shared" si="16"/>
        <v>0</v>
      </c>
      <c r="AF29" s="317">
        <f t="shared" si="17"/>
        <v>0</v>
      </c>
      <c r="AG29" s="317">
        <f t="shared" si="18"/>
        <v>0</v>
      </c>
      <c r="AH29" s="317">
        <f t="shared" si="45"/>
        <v>0</v>
      </c>
      <c r="AI29" s="317">
        <f t="shared" si="46"/>
        <v>0</v>
      </c>
      <c r="AJ29" s="317">
        <f t="shared" si="19"/>
        <v>0</v>
      </c>
      <c r="AK29" s="317">
        <f t="shared" si="20"/>
        <v>0</v>
      </c>
      <c r="AL29" s="317">
        <f t="shared" si="21"/>
        <v>0</v>
      </c>
      <c r="AM29" s="317">
        <f t="shared" si="22"/>
        <v>0</v>
      </c>
      <c r="AN29" s="317">
        <f t="shared" si="23"/>
        <v>0</v>
      </c>
      <c r="AO29" s="317">
        <f t="shared" si="24"/>
        <v>0</v>
      </c>
      <c r="AP29" s="317">
        <f t="shared" si="25"/>
        <v>0</v>
      </c>
      <c r="AQ29" s="317">
        <f t="shared" si="26"/>
        <v>0</v>
      </c>
      <c r="AR29" s="317">
        <f t="shared" si="27"/>
        <v>0</v>
      </c>
      <c r="AS29" s="317">
        <f t="shared" si="28"/>
        <v>0</v>
      </c>
      <c r="AT29" s="317">
        <f t="shared" si="29"/>
        <v>0</v>
      </c>
      <c r="AU29" s="317">
        <f t="shared" si="30"/>
        <v>0</v>
      </c>
      <c r="AV29" s="317">
        <f t="shared" si="31"/>
        <v>0</v>
      </c>
      <c r="AW29" s="317">
        <f t="shared" si="32"/>
        <v>0</v>
      </c>
      <c r="AX29" s="317">
        <f t="shared" si="33"/>
        <v>0</v>
      </c>
      <c r="AY29" s="317">
        <f t="shared" si="34"/>
        <v>0</v>
      </c>
      <c r="AZ29" s="317">
        <f t="shared" si="35"/>
        <v>0</v>
      </c>
      <c r="BA29" s="317">
        <f t="shared" si="36"/>
        <v>0</v>
      </c>
      <c r="BB29" s="317">
        <f t="shared" si="37"/>
        <v>0</v>
      </c>
      <c r="BC29" s="317">
        <f t="shared" si="38"/>
        <v>0</v>
      </c>
    </row>
    <row r="30" spans="1:55" s="314" customFormat="1" ht="15" customHeight="1">
      <c r="A30" s="63" t="str">
        <f t="array" ref="A30">IF(C30&lt;&gt;0,SUM(($C$11:C30&lt;&gt;0)*1),"")</f>
        <v/>
      </c>
      <c r="B30" s="315"/>
      <c r="C30" s="315"/>
      <c r="D30" s="315"/>
      <c r="E30" s="370"/>
      <c r="F30" s="371"/>
      <c r="G30" s="372"/>
      <c r="H30" s="372"/>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41"/>
        <v>0</v>
      </c>
      <c r="S30" s="317">
        <f t="shared" si="42"/>
        <v>0</v>
      </c>
      <c r="T30" s="317">
        <f t="shared" si="7"/>
        <v>0</v>
      </c>
      <c r="U30" s="317">
        <f t="shared" si="8"/>
        <v>0</v>
      </c>
      <c r="V30" s="317">
        <f t="shared" si="43"/>
        <v>0</v>
      </c>
      <c r="W30" s="317">
        <f t="shared" si="44"/>
        <v>0</v>
      </c>
      <c r="X30" s="317">
        <f t="shared" si="9"/>
        <v>0</v>
      </c>
      <c r="Y30" s="317">
        <f t="shared" si="10"/>
        <v>0</v>
      </c>
      <c r="Z30" s="317">
        <f t="shared" si="11"/>
        <v>0</v>
      </c>
      <c r="AA30" s="317">
        <f t="shared" si="12"/>
        <v>0</v>
      </c>
      <c r="AB30" s="317">
        <f t="shared" si="13"/>
        <v>0</v>
      </c>
      <c r="AC30" s="317">
        <f t="shared" si="14"/>
        <v>0</v>
      </c>
      <c r="AD30" s="317">
        <f t="shared" si="15"/>
        <v>0</v>
      </c>
      <c r="AE30" s="317">
        <f t="shared" si="16"/>
        <v>0</v>
      </c>
      <c r="AF30" s="317">
        <f t="shared" si="17"/>
        <v>0</v>
      </c>
      <c r="AG30" s="317">
        <f t="shared" si="18"/>
        <v>0</v>
      </c>
      <c r="AH30" s="317">
        <f t="shared" si="45"/>
        <v>0</v>
      </c>
      <c r="AI30" s="317">
        <f t="shared" si="46"/>
        <v>0</v>
      </c>
      <c r="AJ30" s="317">
        <f t="shared" si="19"/>
        <v>0</v>
      </c>
      <c r="AK30" s="317">
        <f t="shared" si="20"/>
        <v>0</v>
      </c>
      <c r="AL30" s="317">
        <f t="shared" si="21"/>
        <v>0</v>
      </c>
      <c r="AM30" s="317">
        <f t="shared" si="22"/>
        <v>0</v>
      </c>
      <c r="AN30" s="317">
        <f t="shared" si="23"/>
        <v>0</v>
      </c>
      <c r="AO30" s="317">
        <f t="shared" si="24"/>
        <v>0</v>
      </c>
      <c r="AP30" s="317">
        <f t="shared" si="25"/>
        <v>0</v>
      </c>
      <c r="AQ30" s="317">
        <f t="shared" si="26"/>
        <v>0</v>
      </c>
      <c r="AR30" s="317">
        <f t="shared" si="27"/>
        <v>0</v>
      </c>
      <c r="AS30" s="317">
        <f t="shared" si="28"/>
        <v>0</v>
      </c>
      <c r="AT30" s="317">
        <f t="shared" si="29"/>
        <v>0</v>
      </c>
      <c r="AU30" s="317">
        <f t="shared" si="30"/>
        <v>0</v>
      </c>
      <c r="AV30" s="317">
        <f t="shared" si="31"/>
        <v>0</v>
      </c>
      <c r="AW30" s="317">
        <f t="shared" si="32"/>
        <v>0</v>
      </c>
      <c r="AX30" s="317">
        <f t="shared" si="33"/>
        <v>0</v>
      </c>
      <c r="AY30" s="317">
        <f t="shared" si="34"/>
        <v>0</v>
      </c>
      <c r="AZ30" s="317">
        <f t="shared" si="35"/>
        <v>0</v>
      </c>
      <c r="BA30" s="317">
        <f t="shared" si="36"/>
        <v>0</v>
      </c>
      <c r="BB30" s="317">
        <f t="shared" si="37"/>
        <v>0</v>
      </c>
      <c r="BC30" s="317">
        <f t="shared" si="38"/>
        <v>0</v>
      </c>
    </row>
    <row r="31" spans="1:55" s="314" customFormat="1" ht="15" customHeight="1">
      <c r="A31" s="63" t="str">
        <f t="array" ref="A31">IF(C31&lt;&gt;0,SUM(($C$11:C31&lt;&gt;0)*1),"")</f>
        <v/>
      </c>
      <c r="B31" s="315"/>
      <c r="C31" s="315"/>
      <c r="D31" s="315"/>
      <c r="E31" s="370"/>
      <c r="F31" s="371"/>
      <c r="G31" s="372"/>
      <c r="H31" s="372"/>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41"/>
        <v>0</v>
      </c>
      <c r="S31" s="317">
        <f t="shared" si="42"/>
        <v>0</v>
      </c>
      <c r="T31" s="317">
        <f t="shared" si="7"/>
        <v>0</v>
      </c>
      <c r="U31" s="317">
        <f t="shared" si="8"/>
        <v>0</v>
      </c>
      <c r="V31" s="317">
        <f t="shared" si="43"/>
        <v>0</v>
      </c>
      <c r="W31" s="317">
        <f t="shared" si="44"/>
        <v>0</v>
      </c>
      <c r="X31" s="317">
        <f t="shared" si="9"/>
        <v>0</v>
      </c>
      <c r="Y31" s="317">
        <f t="shared" si="10"/>
        <v>0</v>
      </c>
      <c r="Z31" s="317">
        <f t="shared" si="11"/>
        <v>0</v>
      </c>
      <c r="AA31" s="317">
        <f t="shared" si="12"/>
        <v>0</v>
      </c>
      <c r="AB31" s="317">
        <f t="shared" si="13"/>
        <v>0</v>
      </c>
      <c r="AC31" s="317">
        <f t="shared" si="14"/>
        <v>0</v>
      </c>
      <c r="AD31" s="317">
        <f t="shared" si="15"/>
        <v>0</v>
      </c>
      <c r="AE31" s="317">
        <f t="shared" si="16"/>
        <v>0</v>
      </c>
      <c r="AF31" s="317">
        <f t="shared" si="17"/>
        <v>0</v>
      </c>
      <c r="AG31" s="317">
        <f t="shared" si="18"/>
        <v>0</v>
      </c>
      <c r="AH31" s="317">
        <f t="shared" si="45"/>
        <v>0</v>
      </c>
      <c r="AI31" s="317">
        <f t="shared" si="46"/>
        <v>0</v>
      </c>
      <c r="AJ31" s="317">
        <f t="shared" si="19"/>
        <v>0</v>
      </c>
      <c r="AK31" s="317">
        <f t="shared" si="20"/>
        <v>0</v>
      </c>
      <c r="AL31" s="317">
        <f t="shared" si="21"/>
        <v>0</v>
      </c>
      <c r="AM31" s="317">
        <f t="shared" si="22"/>
        <v>0</v>
      </c>
      <c r="AN31" s="317">
        <f t="shared" si="23"/>
        <v>0</v>
      </c>
      <c r="AO31" s="317">
        <f t="shared" si="24"/>
        <v>0</v>
      </c>
      <c r="AP31" s="317">
        <f t="shared" si="25"/>
        <v>0</v>
      </c>
      <c r="AQ31" s="317">
        <f t="shared" si="26"/>
        <v>0</v>
      </c>
      <c r="AR31" s="317">
        <f t="shared" si="27"/>
        <v>0</v>
      </c>
      <c r="AS31" s="317">
        <f t="shared" si="28"/>
        <v>0</v>
      </c>
      <c r="AT31" s="317">
        <f t="shared" si="29"/>
        <v>0</v>
      </c>
      <c r="AU31" s="317">
        <f t="shared" si="30"/>
        <v>0</v>
      </c>
      <c r="AV31" s="317">
        <f t="shared" si="31"/>
        <v>0</v>
      </c>
      <c r="AW31" s="317">
        <f t="shared" si="32"/>
        <v>0</v>
      </c>
      <c r="AX31" s="317">
        <f t="shared" si="33"/>
        <v>0</v>
      </c>
      <c r="AY31" s="317">
        <f t="shared" si="34"/>
        <v>0</v>
      </c>
      <c r="AZ31" s="317">
        <f t="shared" si="35"/>
        <v>0</v>
      </c>
      <c r="BA31" s="317">
        <f t="shared" si="36"/>
        <v>0</v>
      </c>
      <c r="BB31" s="317">
        <f t="shared" si="37"/>
        <v>0</v>
      </c>
      <c r="BC31" s="317">
        <f t="shared" si="38"/>
        <v>0</v>
      </c>
    </row>
    <row r="32" spans="1:55" s="314" customFormat="1" ht="15" customHeight="1">
      <c r="A32" s="63" t="str">
        <f t="array" ref="A32">IF(C32&lt;&gt;0,SUM(($C$11:C32&lt;&gt;0)*1),"")</f>
        <v/>
      </c>
      <c r="B32" s="315"/>
      <c r="C32" s="315"/>
      <c r="D32" s="315"/>
      <c r="E32" s="370"/>
      <c r="F32" s="371"/>
      <c r="G32" s="372"/>
      <c r="H32" s="372"/>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41"/>
        <v>0</v>
      </c>
      <c r="S32" s="317">
        <f t="shared" si="42"/>
        <v>0</v>
      </c>
      <c r="T32" s="317">
        <f t="shared" si="7"/>
        <v>0</v>
      </c>
      <c r="U32" s="317">
        <f t="shared" si="8"/>
        <v>0</v>
      </c>
      <c r="V32" s="317">
        <f t="shared" si="43"/>
        <v>0</v>
      </c>
      <c r="W32" s="317">
        <f t="shared" si="44"/>
        <v>0</v>
      </c>
      <c r="X32" s="317">
        <f t="shared" si="9"/>
        <v>0</v>
      </c>
      <c r="Y32" s="317">
        <f t="shared" si="10"/>
        <v>0</v>
      </c>
      <c r="Z32" s="317">
        <f t="shared" si="11"/>
        <v>0</v>
      </c>
      <c r="AA32" s="317">
        <f t="shared" si="12"/>
        <v>0</v>
      </c>
      <c r="AB32" s="317">
        <f t="shared" si="13"/>
        <v>0</v>
      </c>
      <c r="AC32" s="317">
        <f t="shared" si="14"/>
        <v>0</v>
      </c>
      <c r="AD32" s="317">
        <f t="shared" si="15"/>
        <v>0</v>
      </c>
      <c r="AE32" s="317">
        <f t="shared" si="16"/>
        <v>0</v>
      </c>
      <c r="AF32" s="317">
        <f t="shared" si="17"/>
        <v>0</v>
      </c>
      <c r="AG32" s="317">
        <f t="shared" si="18"/>
        <v>0</v>
      </c>
      <c r="AH32" s="317">
        <f t="shared" si="45"/>
        <v>0</v>
      </c>
      <c r="AI32" s="317">
        <f t="shared" si="46"/>
        <v>0</v>
      </c>
      <c r="AJ32" s="317">
        <f t="shared" si="19"/>
        <v>0</v>
      </c>
      <c r="AK32" s="317">
        <f t="shared" si="20"/>
        <v>0</v>
      </c>
      <c r="AL32" s="317">
        <f t="shared" si="21"/>
        <v>0</v>
      </c>
      <c r="AM32" s="317">
        <f t="shared" si="22"/>
        <v>0</v>
      </c>
      <c r="AN32" s="317">
        <f t="shared" si="23"/>
        <v>0</v>
      </c>
      <c r="AO32" s="317">
        <f t="shared" si="24"/>
        <v>0</v>
      </c>
      <c r="AP32" s="317">
        <f t="shared" si="25"/>
        <v>0</v>
      </c>
      <c r="AQ32" s="317">
        <f t="shared" si="26"/>
        <v>0</v>
      </c>
      <c r="AR32" s="317">
        <f t="shared" si="27"/>
        <v>0</v>
      </c>
      <c r="AS32" s="317">
        <f t="shared" si="28"/>
        <v>0</v>
      </c>
      <c r="AT32" s="317">
        <f t="shared" si="29"/>
        <v>0</v>
      </c>
      <c r="AU32" s="317">
        <f t="shared" si="30"/>
        <v>0</v>
      </c>
      <c r="AV32" s="317">
        <f t="shared" si="31"/>
        <v>0</v>
      </c>
      <c r="AW32" s="317">
        <f t="shared" si="32"/>
        <v>0</v>
      </c>
      <c r="AX32" s="317">
        <f t="shared" si="33"/>
        <v>0</v>
      </c>
      <c r="AY32" s="317">
        <f t="shared" si="34"/>
        <v>0</v>
      </c>
      <c r="AZ32" s="317">
        <f t="shared" si="35"/>
        <v>0</v>
      </c>
      <c r="BA32" s="317">
        <f t="shared" si="36"/>
        <v>0</v>
      </c>
      <c r="BB32" s="317">
        <f t="shared" si="37"/>
        <v>0</v>
      </c>
      <c r="BC32" s="317">
        <f t="shared" si="38"/>
        <v>0</v>
      </c>
    </row>
    <row r="33" spans="1:55" s="314" customFormat="1" ht="15" customHeight="1">
      <c r="A33" s="63" t="str">
        <f t="array" ref="A33">IF(C33&lt;&gt;0,SUM(($C$11:C33&lt;&gt;0)*1),"")</f>
        <v/>
      </c>
      <c r="B33" s="315"/>
      <c r="C33" s="315"/>
      <c r="D33" s="315"/>
      <c r="E33" s="370"/>
      <c r="F33" s="371"/>
      <c r="G33" s="372"/>
      <c r="H33" s="372"/>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41"/>
        <v>0</v>
      </c>
      <c r="S33" s="317">
        <f t="shared" si="42"/>
        <v>0</v>
      </c>
      <c r="T33" s="317">
        <f t="shared" si="7"/>
        <v>0</v>
      </c>
      <c r="U33" s="317">
        <f t="shared" si="8"/>
        <v>0</v>
      </c>
      <c r="V33" s="317">
        <f t="shared" si="43"/>
        <v>0</v>
      </c>
      <c r="W33" s="317">
        <f t="shared" si="44"/>
        <v>0</v>
      </c>
      <c r="X33" s="317">
        <f t="shared" si="9"/>
        <v>0</v>
      </c>
      <c r="Y33" s="317">
        <f t="shared" si="10"/>
        <v>0</v>
      </c>
      <c r="Z33" s="317">
        <f t="shared" si="11"/>
        <v>0</v>
      </c>
      <c r="AA33" s="317">
        <f t="shared" si="12"/>
        <v>0</v>
      </c>
      <c r="AB33" s="317">
        <f t="shared" si="13"/>
        <v>0</v>
      </c>
      <c r="AC33" s="317">
        <f t="shared" si="14"/>
        <v>0</v>
      </c>
      <c r="AD33" s="317">
        <f t="shared" si="15"/>
        <v>0</v>
      </c>
      <c r="AE33" s="317">
        <f t="shared" si="16"/>
        <v>0</v>
      </c>
      <c r="AF33" s="317">
        <f t="shared" si="17"/>
        <v>0</v>
      </c>
      <c r="AG33" s="317">
        <f t="shared" si="18"/>
        <v>0</v>
      </c>
      <c r="AH33" s="317">
        <f t="shared" si="45"/>
        <v>0</v>
      </c>
      <c r="AI33" s="317">
        <f t="shared" si="46"/>
        <v>0</v>
      </c>
      <c r="AJ33" s="317">
        <f t="shared" si="19"/>
        <v>0</v>
      </c>
      <c r="AK33" s="317">
        <f t="shared" si="20"/>
        <v>0</v>
      </c>
      <c r="AL33" s="317">
        <f t="shared" si="21"/>
        <v>0</v>
      </c>
      <c r="AM33" s="317">
        <f t="shared" si="22"/>
        <v>0</v>
      </c>
      <c r="AN33" s="317">
        <f t="shared" si="23"/>
        <v>0</v>
      </c>
      <c r="AO33" s="317">
        <f t="shared" si="24"/>
        <v>0</v>
      </c>
      <c r="AP33" s="317">
        <f t="shared" si="25"/>
        <v>0</v>
      </c>
      <c r="AQ33" s="317">
        <f t="shared" si="26"/>
        <v>0</v>
      </c>
      <c r="AR33" s="317">
        <f t="shared" si="27"/>
        <v>0</v>
      </c>
      <c r="AS33" s="317">
        <f t="shared" si="28"/>
        <v>0</v>
      </c>
      <c r="AT33" s="317">
        <f t="shared" si="29"/>
        <v>0</v>
      </c>
      <c r="AU33" s="317">
        <f t="shared" si="30"/>
        <v>0</v>
      </c>
      <c r="AV33" s="317">
        <f t="shared" si="31"/>
        <v>0</v>
      </c>
      <c r="AW33" s="317">
        <f t="shared" si="32"/>
        <v>0</v>
      </c>
      <c r="AX33" s="317">
        <f t="shared" si="33"/>
        <v>0</v>
      </c>
      <c r="AY33" s="317">
        <f t="shared" si="34"/>
        <v>0</v>
      </c>
      <c r="AZ33" s="317">
        <f t="shared" si="35"/>
        <v>0</v>
      </c>
      <c r="BA33" s="317">
        <f t="shared" si="36"/>
        <v>0</v>
      </c>
      <c r="BB33" s="317">
        <f t="shared" si="37"/>
        <v>0</v>
      </c>
      <c r="BC33" s="317">
        <f t="shared" si="38"/>
        <v>0</v>
      </c>
    </row>
    <row r="34" spans="1:55" s="314" customFormat="1" ht="15" customHeight="1">
      <c r="A34" s="63" t="str">
        <f t="array" ref="A34">IF(C34&lt;&gt;0,SUM(($C$11:C34&lt;&gt;0)*1),"")</f>
        <v/>
      </c>
      <c r="B34" s="315"/>
      <c r="C34" s="315"/>
      <c r="D34" s="315"/>
      <c r="E34" s="370"/>
      <c r="F34" s="371"/>
      <c r="G34" s="372"/>
      <c r="H34" s="372"/>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41"/>
        <v>0</v>
      </c>
      <c r="S34" s="317">
        <f t="shared" si="42"/>
        <v>0</v>
      </c>
      <c r="T34" s="317">
        <f t="shared" si="7"/>
        <v>0</v>
      </c>
      <c r="U34" s="317">
        <f t="shared" si="8"/>
        <v>0</v>
      </c>
      <c r="V34" s="317">
        <f t="shared" si="43"/>
        <v>0</v>
      </c>
      <c r="W34" s="317">
        <f t="shared" si="44"/>
        <v>0</v>
      </c>
      <c r="X34" s="317">
        <f t="shared" si="9"/>
        <v>0</v>
      </c>
      <c r="Y34" s="317">
        <f t="shared" si="10"/>
        <v>0</v>
      </c>
      <c r="Z34" s="317">
        <f t="shared" si="11"/>
        <v>0</v>
      </c>
      <c r="AA34" s="317">
        <f t="shared" si="12"/>
        <v>0</v>
      </c>
      <c r="AB34" s="317">
        <f t="shared" si="13"/>
        <v>0</v>
      </c>
      <c r="AC34" s="317">
        <f t="shared" si="14"/>
        <v>0</v>
      </c>
      <c r="AD34" s="317">
        <f t="shared" si="15"/>
        <v>0</v>
      </c>
      <c r="AE34" s="317">
        <f t="shared" si="16"/>
        <v>0</v>
      </c>
      <c r="AF34" s="317">
        <f t="shared" si="17"/>
        <v>0</v>
      </c>
      <c r="AG34" s="317">
        <f t="shared" si="18"/>
        <v>0</v>
      </c>
      <c r="AH34" s="317">
        <f t="shared" si="45"/>
        <v>0</v>
      </c>
      <c r="AI34" s="317">
        <f t="shared" si="46"/>
        <v>0</v>
      </c>
      <c r="AJ34" s="317">
        <f t="shared" si="19"/>
        <v>0</v>
      </c>
      <c r="AK34" s="317">
        <f t="shared" si="20"/>
        <v>0</v>
      </c>
      <c r="AL34" s="317">
        <f t="shared" si="21"/>
        <v>0</v>
      </c>
      <c r="AM34" s="317">
        <f t="shared" si="22"/>
        <v>0</v>
      </c>
      <c r="AN34" s="317">
        <f t="shared" si="23"/>
        <v>0</v>
      </c>
      <c r="AO34" s="317">
        <f t="shared" si="24"/>
        <v>0</v>
      </c>
      <c r="AP34" s="317">
        <f t="shared" si="25"/>
        <v>0</v>
      </c>
      <c r="AQ34" s="317">
        <f t="shared" si="26"/>
        <v>0</v>
      </c>
      <c r="AR34" s="317">
        <f t="shared" si="27"/>
        <v>0</v>
      </c>
      <c r="AS34" s="317">
        <f t="shared" si="28"/>
        <v>0</v>
      </c>
      <c r="AT34" s="317">
        <f t="shared" si="29"/>
        <v>0</v>
      </c>
      <c r="AU34" s="317">
        <f t="shared" si="30"/>
        <v>0</v>
      </c>
      <c r="AV34" s="317">
        <f t="shared" si="31"/>
        <v>0</v>
      </c>
      <c r="AW34" s="317">
        <f t="shared" si="32"/>
        <v>0</v>
      </c>
      <c r="AX34" s="317">
        <f t="shared" si="33"/>
        <v>0</v>
      </c>
      <c r="AY34" s="317">
        <f t="shared" si="34"/>
        <v>0</v>
      </c>
      <c r="AZ34" s="317">
        <f t="shared" si="35"/>
        <v>0</v>
      </c>
      <c r="BA34" s="317">
        <f t="shared" si="36"/>
        <v>0</v>
      </c>
      <c r="BB34" s="317">
        <f t="shared" si="37"/>
        <v>0</v>
      </c>
      <c r="BC34" s="317">
        <f t="shared" si="38"/>
        <v>0</v>
      </c>
    </row>
    <row r="35" spans="1:55" s="314" customFormat="1" ht="15" customHeight="1">
      <c r="A35" s="63" t="str">
        <f t="array" ref="A35">IF(C35&lt;&gt;0,SUM(($C$11:C35&lt;&gt;0)*1),"")</f>
        <v/>
      </c>
      <c r="B35" s="315"/>
      <c r="C35" s="315"/>
      <c r="D35" s="315"/>
      <c r="E35" s="370"/>
      <c r="F35" s="371"/>
      <c r="G35" s="372"/>
      <c r="H35" s="372"/>
      <c r="I35" s="63" t="str">
        <f>A35</f>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41"/>
        <v>0</v>
      </c>
      <c r="S35" s="317">
        <f t="shared" si="42"/>
        <v>0</v>
      </c>
      <c r="T35" s="317">
        <f t="shared" si="7"/>
        <v>0</v>
      </c>
      <c r="U35" s="317">
        <f t="shared" si="8"/>
        <v>0</v>
      </c>
      <c r="V35" s="317">
        <f t="shared" si="43"/>
        <v>0</v>
      </c>
      <c r="W35" s="317">
        <f t="shared" si="44"/>
        <v>0</v>
      </c>
      <c r="X35" s="317">
        <f t="shared" si="9"/>
        <v>0</v>
      </c>
      <c r="Y35" s="317">
        <f t="shared" si="10"/>
        <v>0</v>
      </c>
      <c r="Z35" s="317">
        <f t="shared" si="11"/>
        <v>0</v>
      </c>
      <c r="AA35" s="317">
        <f t="shared" si="12"/>
        <v>0</v>
      </c>
      <c r="AB35" s="317">
        <f t="shared" si="13"/>
        <v>0</v>
      </c>
      <c r="AC35" s="317">
        <f t="shared" si="14"/>
        <v>0</v>
      </c>
      <c r="AD35" s="317">
        <f t="shared" si="15"/>
        <v>0</v>
      </c>
      <c r="AE35" s="317">
        <f t="shared" si="16"/>
        <v>0</v>
      </c>
      <c r="AF35" s="317">
        <f t="shared" si="17"/>
        <v>0</v>
      </c>
      <c r="AG35" s="317">
        <f t="shared" si="18"/>
        <v>0</v>
      </c>
      <c r="AH35" s="317">
        <f t="shared" si="45"/>
        <v>0</v>
      </c>
      <c r="AI35" s="317">
        <f t="shared" si="46"/>
        <v>0</v>
      </c>
      <c r="AJ35" s="317">
        <f t="shared" si="19"/>
        <v>0</v>
      </c>
      <c r="AK35" s="317">
        <f t="shared" si="20"/>
        <v>0</v>
      </c>
      <c r="AL35" s="317">
        <f t="shared" si="21"/>
        <v>0</v>
      </c>
      <c r="AM35" s="317">
        <f t="shared" si="22"/>
        <v>0</v>
      </c>
      <c r="AN35" s="317">
        <f t="shared" si="23"/>
        <v>0</v>
      </c>
      <c r="AO35" s="317">
        <f t="shared" si="24"/>
        <v>0</v>
      </c>
      <c r="AP35" s="317">
        <f t="shared" si="25"/>
        <v>0</v>
      </c>
      <c r="AQ35" s="317">
        <f t="shared" si="26"/>
        <v>0</v>
      </c>
      <c r="AR35" s="317">
        <f t="shared" si="27"/>
        <v>0</v>
      </c>
      <c r="AS35" s="317">
        <f t="shared" si="28"/>
        <v>0</v>
      </c>
      <c r="AT35" s="317">
        <f t="shared" si="29"/>
        <v>0</v>
      </c>
      <c r="AU35" s="317">
        <f t="shared" si="30"/>
        <v>0</v>
      </c>
      <c r="AV35" s="317">
        <f t="shared" si="31"/>
        <v>0</v>
      </c>
      <c r="AW35" s="317">
        <f t="shared" si="32"/>
        <v>0</v>
      </c>
      <c r="AX35" s="317">
        <f t="shared" si="33"/>
        <v>0</v>
      </c>
      <c r="AY35" s="317">
        <f t="shared" si="34"/>
        <v>0</v>
      </c>
      <c r="AZ35" s="317">
        <f t="shared" si="35"/>
        <v>0</v>
      </c>
      <c r="BA35" s="317">
        <f t="shared" si="36"/>
        <v>0</v>
      </c>
      <c r="BB35" s="317">
        <f t="shared" si="37"/>
        <v>0</v>
      </c>
      <c r="BC35" s="317">
        <f t="shared" si="38"/>
        <v>0</v>
      </c>
    </row>
    <row r="36" spans="1:55" s="314" customFormat="1" ht="15" customHeight="1">
      <c r="A36" s="63" t="str">
        <f t="array" ref="A36">IF(C36&lt;&gt;0,SUM(($C$11:C36&lt;&gt;0)*1),"")</f>
        <v/>
      </c>
      <c r="B36" s="315"/>
      <c r="C36" s="315"/>
      <c r="D36" s="315"/>
      <c r="E36" s="370"/>
      <c r="F36" s="371"/>
      <c r="G36" s="372"/>
      <c r="H36" s="372"/>
      <c r="I36" s="63" t="str">
        <f>A36</f>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41"/>
        <v>0</v>
      </c>
      <c r="S36" s="317">
        <f t="shared" si="42"/>
        <v>0</v>
      </c>
      <c r="T36" s="317">
        <f t="shared" si="7"/>
        <v>0</v>
      </c>
      <c r="U36" s="317">
        <f t="shared" si="8"/>
        <v>0</v>
      </c>
      <c r="V36" s="317">
        <f t="shared" si="43"/>
        <v>0</v>
      </c>
      <c r="W36" s="317">
        <f t="shared" si="44"/>
        <v>0</v>
      </c>
      <c r="X36" s="317">
        <f t="shared" si="9"/>
        <v>0</v>
      </c>
      <c r="Y36" s="317">
        <f t="shared" si="10"/>
        <v>0</v>
      </c>
      <c r="Z36" s="317">
        <f t="shared" si="11"/>
        <v>0</v>
      </c>
      <c r="AA36" s="317">
        <f t="shared" si="12"/>
        <v>0</v>
      </c>
      <c r="AB36" s="317">
        <f t="shared" si="13"/>
        <v>0</v>
      </c>
      <c r="AC36" s="317">
        <f t="shared" si="14"/>
        <v>0</v>
      </c>
      <c r="AD36" s="317">
        <f t="shared" si="15"/>
        <v>0</v>
      </c>
      <c r="AE36" s="317">
        <f t="shared" si="16"/>
        <v>0</v>
      </c>
      <c r="AF36" s="317">
        <f t="shared" si="17"/>
        <v>0</v>
      </c>
      <c r="AG36" s="317">
        <f t="shared" si="18"/>
        <v>0</v>
      </c>
      <c r="AH36" s="317">
        <f t="shared" si="45"/>
        <v>0</v>
      </c>
      <c r="AI36" s="317">
        <f t="shared" si="46"/>
        <v>0</v>
      </c>
      <c r="AJ36" s="317">
        <f t="shared" si="19"/>
        <v>0</v>
      </c>
      <c r="AK36" s="317">
        <f t="shared" si="20"/>
        <v>0</v>
      </c>
      <c r="AL36" s="317">
        <f t="shared" si="21"/>
        <v>0</v>
      </c>
      <c r="AM36" s="317">
        <f t="shared" si="22"/>
        <v>0</v>
      </c>
      <c r="AN36" s="317">
        <f t="shared" si="23"/>
        <v>0</v>
      </c>
      <c r="AO36" s="317">
        <f t="shared" si="24"/>
        <v>0</v>
      </c>
      <c r="AP36" s="317">
        <f t="shared" si="25"/>
        <v>0</v>
      </c>
      <c r="AQ36" s="317">
        <f t="shared" si="26"/>
        <v>0</v>
      </c>
      <c r="AR36" s="317">
        <f t="shared" si="27"/>
        <v>0</v>
      </c>
      <c r="AS36" s="317">
        <f t="shared" si="28"/>
        <v>0</v>
      </c>
      <c r="AT36" s="317">
        <f t="shared" si="29"/>
        <v>0</v>
      </c>
      <c r="AU36" s="317">
        <f t="shared" si="30"/>
        <v>0</v>
      </c>
      <c r="AV36" s="317">
        <f t="shared" si="31"/>
        <v>0</v>
      </c>
      <c r="AW36" s="317">
        <f t="shared" si="32"/>
        <v>0</v>
      </c>
      <c r="AX36" s="317">
        <f t="shared" si="33"/>
        <v>0</v>
      </c>
      <c r="AY36" s="317">
        <f t="shared" si="34"/>
        <v>0</v>
      </c>
      <c r="AZ36" s="317">
        <f t="shared" si="35"/>
        <v>0</v>
      </c>
      <c r="BA36" s="317">
        <f t="shared" si="36"/>
        <v>0</v>
      </c>
      <c r="BB36" s="317">
        <f t="shared" si="37"/>
        <v>0</v>
      </c>
      <c r="BC36" s="317">
        <f t="shared" si="38"/>
        <v>0</v>
      </c>
    </row>
    <row r="37" spans="1:55" s="314" customFormat="1" ht="15" customHeight="1">
      <c r="A37" s="63" t="str">
        <f t="array" ref="A37">IF(C37&lt;&gt;0,SUM(($C$11:C37&lt;&gt;0)*1),"")</f>
        <v/>
      </c>
      <c r="B37" s="315"/>
      <c r="C37" s="315"/>
      <c r="D37" s="315"/>
      <c r="E37" s="370"/>
      <c r="F37" s="371"/>
      <c r="G37" s="372"/>
      <c r="H37" s="372"/>
      <c r="I37" s="63" t="str">
        <f>A37</f>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41"/>
        <v>0</v>
      </c>
      <c r="S37" s="317">
        <f t="shared" si="42"/>
        <v>0</v>
      </c>
      <c r="T37" s="317">
        <f t="shared" si="7"/>
        <v>0</v>
      </c>
      <c r="U37" s="317">
        <f t="shared" si="8"/>
        <v>0</v>
      </c>
      <c r="V37" s="317">
        <f t="shared" si="43"/>
        <v>0</v>
      </c>
      <c r="W37" s="317">
        <f t="shared" si="44"/>
        <v>0</v>
      </c>
      <c r="X37" s="317">
        <f t="shared" si="9"/>
        <v>0</v>
      </c>
      <c r="Y37" s="317">
        <f t="shared" si="10"/>
        <v>0</v>
      </c>
      <c r="Z37" s="317">
        <f t="shared" si="11"/>
        <v>0</v>
      </c>
      <c r="AA37" s="317">
        <f t="shared" si="12"/>
        <v>0</v>
      </c>
      <c r="AB37" s="317">
        <f t="shared" si="13"/>
        <v>0</v>
      </c>
      <c r="AC37" s="317">
        <f t="shared" si="14"/>
        <v>0</v>
      </c>
      <c r="AD37" s="317">
        <f t="shared" si="15"/>
        <v>0</v>
      </c>
      <c r="AE37" s="317">
        <f t="shared" si="16"/>
        <v>0</v>
      </c>
      <c r="AF37" s="317">
        <f t="shared" si="17"/>
        <v>0</v>
      </c>
      <c r="AG37" s="317">
        <f t="shared" si="18"/>
        <v>0</v>
      </c>
      <c r="AH37" s="317">
        <f t="shared" si="45"/>
        <v>0</v>
      </c>
      <c r="AI37" s="317">
        <f t="shared" si="46"/>
        <v>0</v>
      </c>
      <c r="AJ37" s="317">
        <f t="shared" si="19"/>
        <v>0</v>
      </c>
      <c r="AK37" s="317">
        <f t="shared" si="20"/>
        <v>0</v>
      </c>
      <c r="AL37" s="317">
        <f t="shared" si="21"/>
        <v>0</v>
      </c>
      <c r="AM37" s="317">
        <f t="shared" si="22"/>
        <v>0</v>
      </c>
      <c r="AN37" s="317">
        <f t="shared" si="23"/>
        <v>0</v>
      </c>
      <c r="AO37" s="317">
        <f t="shared" si="24"/>
        <v>0</v>
      </c>
      <c r="AP37" s="317">
        <f t="shared" si="25"/>
        <v>0</v>
      </c>
      <c r="AQ37" s="317">
        <f t="shared" si="26"/>
        <v>0</v>
      </c>
      <c r="AR37" s="317">
        <f t="shared" si="27"/>
        <v>0</v>
      </c>
      <c r="AS37" s="317">
        <f t="shared" si="28"/>
        <v>0</v>
      </c>
      <c r="AT37" s="317">
        <f t="shared" si="29"/>
        <v>0</v>
      </c>
      <c r="AU37" s="317">
        <f t="shared" si="30"/>
        <v>0</v>
      </c>
      <c r="AV37" s="317">
        <f t="shared" si="31"/>
        <v>0</v>
      </c>
      <c r="AW37" s="317">
        <f t="shared" si="32"/>
        <v>0</v>
      </c>
      <c r="AX37" s="317">
        <f t="shared" si="33"/>
        <v>0</v>
      </c>
      <c r="AY37" s="317">
        <f t="shared" si="34"/>
        <v>0</v>
      </c>
      <c r="AZ37" s="317">
        <f t="shared" si="35"/>
        <v>0</v>
      </c>
      <c r="BA37" s="317">
        <f t="shared" si="36"/>
        <v>0</v>
      </c>
      <c r="BB37" s="317">
        <f t="shared" si="37"/>
        <v>0</v>
      </c>
      <c r="BC37" s="317">
        <f t="shared" si="38"/>
        <v>0</v>
      </c>
    </row>
    <row r="38" spans="1:55" s="314" customFormat="1" ht="15" customHeight="1">
      <c r="A38" s="63" t="str">
        <f t="array" ref="A38">IF(C38&lt;&gt;0,SUM(($C$11:C38&lt;&gt;0)*1),"")</f>
        <v/>
      </c>
      <c r="B38" s="315"/>
      <c r="C38" s="315"/>
      <c r="D38" s="315"/>
      <c r="E38" s="370"/>
      <c r="F38" s="371"/>
      <c r="G38" s="372"/>
      <c r="H38" s="372"/>
      <c r="I38" s="63" t="str">
        <f>A38</f>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41"/>
        <v>0</v>
      </c>
      <c r="S38" s="317">
        <f t="shared" si="42"/>
        <v>0</v>
      </c>
      <c r="T38" s="317">
        <f t="shared" si="7"/>
        <v>0</v>
      </c>
      <c r="U38" s="317">
        <f t="shared" si="8"/>
        <v>0</v>
      </c>
      <c r="V38" s="317">
        <f t="shared" si="43"/>
        <v>0</v>
      </c>
      <c r="W38" s="317">
        <f t="shared" si="44"/>
        <v>0</v>
      </c>
      <c r="X38" s="317">
        <f t="shared" si="9"/>
        <v>0</v>
      </c>
      <c r="Y38" s="317">
        <f t="shared" si="10"/>
        <v>0</v>
      </c>
      <c r="Z38" s="317">
        <f t="shared" si="11"/>
        <v>0</v>
      </c>
      <c r="AA38" s="317">
        <f t="shared" si="12"/>
        <v>0</v>
      </c>
      <c r="AB38" s="317">
        <f t="shared" si="13"/>
        <v>0</v>
      </c>
      <c r="AC38" s="317">
        <f t="shared" si="14"/>
        <v>0</v>
      </c>
      <c r="AD38" s="317">
        <f t="shared" si="15"/>
        <v>0</v>
      </c>
      <c r="AE38" s="317">
        <f t="shared" si="16"/>
        <v>0</v>
      </c>
      <c r="AF38" s="317">
        <f t="shared" si="17"/>
        <v>0</v>
      </c>
      <c r="AG38" s="317">
        <f t="shared" si="18"/>
        <v>0</v>
      </c>
      <c r="AH38" s="317">
        <f t="shared" si="45"/>
        <v>0</v>
      </c>
      <c r="AI38" s="317">
        <f t="shared" si="46"/>
        <v>0</v>
      </c>
      <c r="AJ38" s="317">
        <f t="shared" si="19"/>
        <v>0</v>
      </c>
      <c r="AK38" s="317">
        <f t="shared" si="20"/>
        <v>0</v>
      </c>
      <c r="AL38" s="317">
        <f t="shared" si="21"/>
        <v>0</v>
      </c>
      <c r="AM38" s="317">
        <f t="shared" si="22"/>
        <v>0</v>
      </c>
      <c r="AN38" s="317">
        <f t="shared" si="23"/>
        <v>0</v>
      </c>
      <c r="AO38" s="317">
        <f t="shared" si="24"/>
        <v>0</v>
      </c>
      <c r="AP38" s="317">
        <f t="shared" si="25"/>
        <v>0</v>
      </c>
      <c r="AQ38" s="317">
        <f t="shared" si="26"/>
        <v>0</v>
      </c>
      <c r="AR38" s="317">
        <f t="shared" si="27"/>
        <v>0</v>
      </c>
      <c r="AS38" s="317">
        <f t="shared" si="28"/>
        <v>0</v>
      </c>
      <c r="AT38" s="317">
        <f t="shared" si="29"/>
        <v>0</v>
      </c>
      <c r="AU38" s="317">
        <f t="shared" si="30"/>
        <v>0</v>
      </c>
      <c r="AV38" s="317">
        <f t="shared" si="31"/>
        <v>0</v>
      </c>
      <c r="AW38" s="317">
        <f t="shared" si="32"/>
        <v>0</v>
      </c>
      <c r="AX38" s="317">
        <f t="shared" si="33"/>
        <v>0</v>
      </c>
      <c r="AY38" s="317">
        <f t="shared" si="34"/>
        <v>0</v>
      </c>
      <c r="AZ38" s="317">
        <f t="shared" si="35"/>
        <v>0</v>
      </c>
      <c r="BA38" s="317">
        <f t="shared" si="36"/>
        <v>0</v>
      </c>
      <c r="BB38" s="317">
        <f t="shared" si="37"/>
        <v>0</v>
      </c>
      <c r="BC38" s="317">
        <f t="shared" si="38"/>
        <v>0</v>
      </c>
    </row>
    <row r="39" spans="1:55" s="314" customFormat="1" ht="15" customHeight="1">
      <c r="A39" s="63" t="str">
        <f t="array" ref="A39">IF(C39&lt;&gt;0,SUM(($C$11:C39&lt;&gt;0)*1),"")</f>
        <v/>
      </c>
      <c r="B39" s="315"/>
      <c r="C39" s="315"/>
      <c r="D39" s="315"/>
      <c r="E39" s="370"/>
      <c r="F39" s="371"/>
      <c r="G39" s="372"/>
      <c r="H39" s="372"/>
      <c r="I39" s="63" t="str">
        <f t="shared" ref="I39:I65" si="47">A39</f>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41"/>
        <v>0</v>
      </c>
      <c r="S39" s="317">
        <f t="shared" si="42"/>
        <v>0</v>
      </c>
      <c r="T39" s="317">
        <f t="shared" si="7"/>
        <v>0</v>
      </c>
      <c r="U39" s="317">
        <f t="shared" si="8"/>
        <v>0</v>
      </c>
      <c r="V39" s="317">
        <f t="shared" si="43"/>
        <v>0</v>
      </c>
      <c r="W39" s="317">
        <f t="shared" si="44"/>
        <v>0</v>
      </c>
      <c r="X39" s="317">
        <f t="shared" si="9"/>
        <v>0</v>
      </c>
      <c r="Y39" s="317">
        <f t="shared" si="10"/>
        <v>0</v>
      </c>
      <c r="Z39" s="317">
        <f t="shared" si="11"/>
        <v>0</v>
      </c>
      <c r="AA39" s="317">
        <f t="shared" si="12"/>
        <v>0</v>
      </c>
      <c r="AB39" s="317">
        <f t="shared" si="13"/>
        <v>0</v>
      </c>
      <c r="AC39" s="317">
        <f t="shared" si="14"/>
        <v>0</v>
      </c>
      <c r="AD39" s="317">
        <f t="shared" si="15"/>
        <v>0</v>
      </c>
      <c r="AE39" s="317">
        <f t="shared" si="16"/>
        <v>0</v>
      </c>
      <c r="AF39" s="317">
        <f t="shared" si="17"/>
        <v>0</v>
      </c>
      <c r="AG39" s="317">
        <f t="shared" si="18"/>
        <v>0</v>
      </c>
      <c r="AH39" s="317">
        <f t="shared" si="45"/>
        <v>0</v>
      </c>
      <c r="AI39" s="317">
        <f t="shared" si="46"/>
        <v>0</v>
      </c>
      <c r="AJ39" s="317">
        <f t="shared" si="19"/>
        <v>0</v>
      </c>
      <c r="AK39" s="317">
        <f t="shared" si="20"/>
        <v>0</v>
      </c>
      <c r="AL39" s="317">
        <f t="shared" si="21"/>
        <v>0</v>
      </c>
      <c r="AM39" s="317">
        <f t="shared" si="22"/>
        <v>0</v>
      </c>
      <c r="AN39" s="317">
        <f t="shared" si="23"/>
        <v>0</v>
      </c>
      <c r="AO39" s="317">
        <f t="shared" si="24"/>
        <v>0</v>
      </c>
      <c r="AP39" s="317">
        <f t="shared" si="25"/>
        <v>0</v>
      </c>
      <c r="AQ39" s="317">
        <f t="shared" si="26"/>
        <v>0</v>
      </c>
      <c r="AR39" s="317">
        <f t="shared" si="27"/>
        <v>0</v>
      </c>
      <c r="AS39" s="317">
        <f t="shared" si="28"/>
        <v>0</v>
      </c>
      <c r="AT39" s="317">
        <f t="shared" si="29"/>
        <v>0</v>
      </c>
      <c r="AU39" s="317">
        <f t="shared" si="30"/>
        <v>0</v>
      </c>
      <c r="AV39" s="317">
        <f t="shared" si="31"/>
        <v>0</v>
      </c>
      <c r="AW39" s="317">
        <f t="shared" si="32"/>
        <v>0</v>
      </c>
      <c r="AX39" s="317">
        <f t="shared" si="33"/>
        <v>0</v>
      </c>
      <c r="AY39" s="317">
        <f t="shared" si="34"/>
        <v>0</v>
      </c>
      <c r="AZ39" s="317">
        <f t="shared" si="35"/>
        <v>0</v>
      </c>
      <c r="BA39" s="317">
        <f t="shared" si="36"/>
        <v>0</v>
      </c>
      <c r="BB39" s="317">
        <f t="shared" si="37"/>
        <v>0</v>
      </c>
      <c r="BC39" s="317">
        <f t="shared" si="38"/>
        <v>0</v>
      </c>
    </row>
    <row r="40" spans="1:55" s="314" customFormat="1" ht="15" customHeight="1">
      <c r="A40" s="63" t="str">
        <f t="array" ref="A40">IF(C40&lt;&gt;0,SUM(($C$11:C40&lt;&gt;0)*1),"")</f>
        <v/>
      </c>
      <c r="B40" s="315"/>
      <c r="C40" s="315"/>
      <c r="D40" s="315"/>
      <c r="E40" s="370"/>
      <c r="F40" s="371"/>
      <c r="G40" s="372"/>
      <c r="H40" s="372"/>
      <c r="I40" s="63" t="str">
        <f t="shared" si="47"/>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41"/>
        <v>0</v>
      </c>
      <c r="S40" s="317">
        <f t="shared" si="42"/>
        <v>0</v>
      </c>
      <c r="T40" s="317">
        <f t="shared" si="7"/>
        <v>0</v>
      </c>
      <c r="U40" s="317">
        <f t="shared" si="8"/>
        <v>0</v>
      </c>
      <c r="V40" s="317">
        <f t="shared" si="43"/>
        <v>0</v>
      </c>
      <c r="W40" s="317">
        <f t="shared" si="44"/>
        <v>0</v>
      </c>
      <c r="X40" s="317">
        <f t="shared" si="9"/>
        <v>0</v>
      </c>
      <c r="Y40" s="317">
        <f t="shared" si="10"/>
        <v>0</v>
      </c>
      <c r="Z40" s="317">
        <f t="shared" si="11"/>
        <v>0</v>
      </c>
      <c r="AA40" s="317">
        <f t="shared" si="12"/>
        <v>0</v>
      </c>
      <c r="AB40" s="317">
        <f t="shared" si="13"/>
        <v>0</v>
      </c>
      <c r="AC40" s="317">
        <f t="shared" si="14"/>
        <v>0</v>
      </c>
      <c r="AD40" s="317">
        <f t="shared" si="15"/>
        <v>0</v>
      </c>
      <c r="AE40" s="317">
        <f t="shared" si="16"/>
        <v>0</v>
      </c>
      <c r="AF40" s="317">
        <f t="shared" si="17"/>
        <v>0</v>
      </c>
      <c r="AG40" s="317">
        <f t="shared" si="18"/>
        <v>0</v>
      </c>
      <c r="AH40" s="317">
        <f t="shared" si="45"/>
        <v>0</v>
      </c>
      <c r="AI40" s="317">
        <f t="shared" si="46"/>
        <v>0</v>
      </c>
      <c r="AJ40" s="317">
        <f t="shared" si="19"/>
        <v>0</v>
      </c>
      <c r="AK40" s="317">
        <f t="shared" si="20"/>
        <v>0</v>
      </c>
      <c r="AL40" s="317">
        <f t="shared" si="21"/>
        <v>0</v>
      </c>
      <c r="AM40" s="317">
        <f t="shared" si="22"/>
        <v>0</v>
      </c>
      <c r="AN40" s="317">
        <f t="shared" si="23"/>
        <v>0</v>
      </c>
      <c r="AO40" s="317">
        <f t="shared" si="24"/>
        <v>0</v>
      </c>
      <c r="AP40" s="317">
        <f t="shared" si="25"/>
        <v>0</v>
      </c>
      <c r="AQ40" s="317">
        <f t="shared" si="26"/>
        <v>0</v>
      </c>
      <c r="AR40" s="317">
        <f t="shared" si="27"/>
        <v>0</v>
      </c>
      <c r="AS40" s="317">
        <f t="shared" si="28"/>
        <v>0</v>
      </c>
      <c r="AT40" s="317">
        <f t="shared" si="29"/>
        <v>0</v>
      </c>
      <c r="AU40" s="317">
        <f t="shared" si="30"/>
        <v>0</v>
      </c>
      <c r="AV40" s="317">
        <f t="shared" si="31"/>
        <v>0</v>
      </c>
      <c r="AW40" s="317">
        <f t="shared" si="32"/>
        <v>0</v>
      </c>
      <c r="AX40" s="317">
        <f t="shared" si="33"/>
        <v>0</v>
      </c>
      <c r="AY40" s="317">
        <f t="shared" si="34"/>
        <v>0</v>
      </c>
      <c r="AZ40" s="317">
        <f t="shared" si="35"/>
        <v>0</v>
      </c>
      <c r="BA40" s="317">
        <f t="shared" si="36"/>
        <v>0</v>
      </c>
      <c r="BB40" s="317">
        <f t="shared" si="37"/>
        <v>0</v>
      </c>
      <c r="BC40" s="317">
        <f t="shared" si="38"/>
        <v>0</v>
      </c>
    </row>
    <row r="41" spans="1:55" s="314" customFormat="1" ht="15" customHeight="1">
      <c r="A41" s="63" t="str">
        <f t="array" ref="A41">IF(C41&lt;&gt;0,SUM(($C$11:C41&lt;&gt;0)*1),"")</f>
        <v/>
      </c>
      <c r="B41" s="315"/>
      <c r="C41" s="315"/>
      <c r="D41" s="315"/>
      <c r="E41" s="370"/>
      <c r="F41" s="371"/>
      <c r="G41" s="372"/>
      <c r="H41" s="372"/>
      <c r="I41" s="63" t="str">
        <f t="shared" si="47"/>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41"/>
        <v>0</v>
      </c>
      <c r="S41" s="317">
        <f t="shared" si="42"/>
        <v>0</v>
      </c>
      <c r="T41" s="317">
        <f t="shared" si="7"/>
        <v>0</v>
      </c>
      <c r="U41" s="317">
        <f t="shared" si="8"/>
        <v>0</v>
      </c>
      <c r="V41" s="317">
        <f t="shared" si="43"/>
        <v>0</v>
      </c>
      <c r="W41" s="317">
        <f t="shared" si="44"/>
        <v>0</v>
      </c>
      <c r="X41" s="317">
        <f t="shared" si="9"/>
        <v>0</v>
      </c>
      <c r="Y41" s="317">
        <f t="shared" si="10"/>
        <v>0</v>
      </c>
      <c r="Z41" s="317">
        <f t="shared" si="11"/>
        <v>0</v>
      </c>
      <c r="AA41" s="317">
        <f t="shared" si="12"/>
        <v>0</v>
      </c>
      <c r="AB41" s="317">
        <f t="shared" si="13"/>
        <v>0</v>
      </c>
      <c r="AC41" s="317">
        <f t="shared" si="14"/>
        <v>0</v>
      </c>
      <c r="AD41" s="317">
        <f t="shared" si="15"/>
        <v>0</v>
      </c>
      <c r="AE41" s="317">
        <f t="shared" si="16"/>
        <v>0</v>
      </c>
      <c r="AF41" s="317">
        <f t="shared" si="17"/>
        <v>0</v>
      </c>
      <c r="AG41" s="317">
        <f t="shared" si="18"/>
        <v>0</v>
      </c>
      <c r="AH41" s="317">
        <f t="shared" si="45"/>
        <v>0</v>
      </c>
      <c r="AI41" s="317">
        <f t="shared" si="46"/>
        <v>0</v>
      </c>
      <c r="AJ41" s="317">
        <f t="shared" si="19"/>
        <v>0</v>
      </c>
      <c r="AK41" s="317">
        <f t="shared" si="20"/>
        <v>0</v>
      </c>
      <c r="AL41" s="317">
        <f t="shared" si="21"/>
        <v>0</v>
      </c>
      <c r="AM41" s="317">
        <f t="shared" si="22"/>
        <v>0</v>
      </c>
      <c r="AN41" s="317">
        <f t="shared" si="23"/>
        <v>0</v>
      </c>
      <c r="AO41" s="317">
        <f t="shared" si="24"/>
        <v>0</v>
      </c>
      <c r="AP41" s="317">
        <f t="shared" si="25"/>
        <v>0</v>
      </c>
      <c r="AQ41" s="317">
        <f t="shared" si="26"/>
        <v>0</v>
      </c>
      <c r="AR41" s="317">
        <f t="shared" si="27"/>
        <v>0</v>
      </c>
      <c r="AS41" s="317">
        <f t="shared" si="28"/>
        <v>0</v>
      </c>
      <c r="AT41" s="317">
        <f t="shared" si="29"/>
        <v>0</v>
      </c>
      <c r="AU41" s="317">
        <f t="shared" si="30"/>
        <v>0</v>
      </c>
      <c r="AV41" s="317">
        <f t="shared" si="31"/>
        <v>0</v>
      </c>
      <c r="AW41" s="317">
        <f t="shared" si="32"/>
        <v>0</v>
      </c>
      <c r="AX41" s="317">
        <f t="shared" si="33"/>
        <v>0</v>
      </c>
      <c r="AY41" s="317">
        <f t="shared" si="34"/>
        <v>0</v>
      </c>
      <c r="AZ41" s="317">
        <f t="shared" si="35"/>
        <v>0</v>
      </c>
      <c r="BA41" s="317">
        <f t="shared" si="36"/>
        <v>0</v>
      </c>
      <c r="BB41" s="317">
        <f t="shared" si="37"/>
        <v>0</v>
      </c>
      <c r="BC41" s="317">
        <f t="shared" si="38"/>
        <v>0</v>
      </c>
    </row>
    <row r="42" spans="1:55" s="314" customFormat="1" ht="15" customHeight="1">
      <c r="A42" s="63" t="str">
        <f t="array" ref="A42">IF(C42&lt;&gt;0,SUM(($C$11:C42&lt;&gt;0)*1),"")</f>
        <v/>
      </c>
      <c r="B42" s="315"/>
      <c r="C42" s="315"/>
      <c r="D42" s="315"/>
      <c r="E42" s="370"/>
      <c r="F42" s="371"/>
      <c r="G42" s="372"/>
      <c r="H42" s="372"/>
      <c r="I42" s="63" t="str">
        <f t="shared" si="47"/>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41"/>
        <v>0</v>
      </c>
      <c r="S42" s="317">
        <f t="shared" si="42"/>
        <v>0</v>
      </c>
      <c r="T42" s="317">
        <f t="shared" si="7"/>
        <v>0</v>
      </c>
      <c r="U42" s="317">
        <f t="shared" si="8"/>
        <v>0</v>
      </c>
      <c r="V42" s="317">
        <f t="shared" si="43"/>
        <v>0</v>
      </c>
      <c r="W42" s="317">
        <f t="shared" si="44"/>
        <v>0</v>
      </c>
      <c r="X42" s="317">
        <f t="shared" si="9"/>
        <v>0</v>
      </c>
      <c r="Y42" s="317">
        <f t="shared" si="10"/>
        <v>0</v>
      </c>
      <c r="Z42" s="317">
        <f t="shared" si="11"/>
        <v>0</v>
      </c>
      <c r="AA42" s="317">
        <f t="shared" si="12"/>
        <v>0</v>
      </c>
      <c r="AB42" s="317">
        <f t="shared" si="13"/>
        <v>0</v>
      </c>
      <c r="AC42" s="317">
        <f t="shared" si="14"/>
        <v>0</v>
      </c>
      <c r="AD42" s="317">
        <f t="shared" si="15"/>
        <v>0</v>
      </c>
      <c r="AE42" s="317">
        <f t="shared" si="16"/>
        <v>0</v>
      </c>
      <c r="AF42" s="317">
        <f t="shared" si="17"/>
        <v>0</v>
      </c>
      <c r="AG42" s="317">
        <f t="shared" si="18"/>
        <v>0</v>
      </c>
      <c r="AH42" s="317">
        <f t="shared" si="45"/>
        <v>0</v>
      </c>
      <c r="AI42" s="317">
        <f t="shared" si="46"/>
        <v>0</v>
      </c>
      <c r="AJ42" s="317">
        <f t="shared" si="19"/>
        <v>0</v>
      </c>
      <c r="AK42" s="317">
        <f t="shared" si="20"/>
        <v>0</v>
      </c>
      <c r="AL42" s="317">
        <f t="shared" si="21"/>
        <v>0</v>
      </c>
      <c r="AM42" s="317">
        <f t="shared" si="22"/>
        <v>0</v>
      </c>
      <c r="AN42" s="317">
        <f t="shared" si="23"/>
        <v>0</v>
      </c>
      <c r="AO42" s="317">
        <f t="shared" si="24"/>
        <v>0</v>
      </c>
      <c r="AP42" s="317">
        <f t="shared" si="25"/>
        <v>0</v>
      </c>
      <c r="AQ42" s="317">
        <f t="shared" si="26"/>
        <v>0</v>
      </c>
      <c r="AR42" s="317">
        <f t="shared" si="27"/>
        <v>0</v>
      </c>
      <c r="AS42" s="317">
        <f t="shared" si="28"/>
        <v>0</v>
      </c>
      <c r="AT42" s="317">
        <f t="shared" si="29"/>
        <v>0</v>
      </c>
      <c r="AU42" s="317">
        <f t="shared" si="30"/>
        <v>0</v>
      </c>
      <c r="AV42" s="317">
        <f t="shared" si="31"/>
        <v>0</v>
      </c>
      <c r="AW42" s="317">
        <f t="shared" si="32"/>
        <v>0</v>
      </c>
      <c r="AX42" s="317">
        <f t="shared" si="33"/>
        <v>0</v>
      </c>
      <c r="AY42" s="317">
        <f t="shared" si="34"/>
        <v>0</v>
      </c>
      <c r="AZ42" s="317">
        <f t="shared" si="35"/>
        <v>0</v>
      </c>
      <c r="BA42" s="317">
        <f t="shared" si="36"/>
        <v>0</v>
      </c>
      <c r="BB42" s="317">
        <f t="shared" si="37"/>
        <v>0</v>
      </c>
      <c r="BC42" s="317">
        <f t="shared" si="38"/>
        <v>0</v>
      </c>
    </row>
    <row r="43" spans="1:55" s="314" customFormat="1" ht="15" customHeight="1">
      <c r="A43" s="63" t="str">
        <f t="array" ref="A43">IF(C43&lt;&gt;0,SUM(($C$11:C43&lt;&gt;0)*1),"")</f>
        <v/>
      </c>
      <c r="B43" s="315"/>
      <c r="C43" s="315"/>
      <c r="D43" s="315"/>
      <c r="E43" s="370"/>
      <c r="F43" s="371"/>
      <c r="G43" s="372"/>
      <c r="H43" s="372"/>
      <c r="I43" s="63" t="str">
        <f t="shared" si="47"/>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41"/>
        <v>0</v>
      </c>
      <c r="S43" s="317">
        <f t="shared" si="42"/>
        <v>0</v>
      </c>
      <c r="T43" s="317">
        <f t="shared" si="7"/>
        <v>0</v>
      </c>
      <c r="U43" s="317">
        <f t="shared" si="8"/>
        <v>0</v>
      </c>
      <c r="V43" s="317">
        <f t="shared" si="43"/>
        <v>0</v>
      </c>
      <c r="W43" s="317">
        <f t="shared" si="44"/>
        <v>0</v>
      </c>
      <c r="X43" s="317">
        <f t="shared" si="9"/>
        <v>0</v>
      </c>
      <c r="Y43" s="317">
        <f t="shared" si="10"/>
        <v>0</v>
      </c>
      <c r="Z43" s="317">
        <f t="shared" si="11"/>
        <v>0</v>
      </c>
      <c r="AA43" s="317">
        <f t="shared" si="12"/>
        <v>0</v>
      </c>
      <c r="AB43" s="317">
        <f t="shared" si="13"/>
        <v>0</v>
      </c>
      <c r="AC43" s="317">
        <f t="shared" si="14"/>
        <v>0</v>
      </c>
      <c r="AD43" s="317">
        <f t="shared" si="15"/>
        <v>0</v>
      </c>
      <c r="AE43" s="317">
        <f t="shared" si="16"/>
        <v>0</v>
      </c>
      <c r="AF43" s="317">
        <f t="shared" si="17"/>
        <v>0</v>
      </c>
      <c r="AG43" s="317">
        <f t="shared" si="18"/>
        <v>0</v>
      </c>
      <c r="AH43" s="317">
        <f t="shared" si="45"/>
        <v>0</v>
      </c>
      <c r="AI43" s="317">
        <f t="shared" si="46"/>
        <v>0</v>
      </c>
      <c r="AJ43" s="317">
        <f t="shared" si="19"/>
        <v>0</v>
      </c>
      <c r="AK43" s="317">
        <f t="shared" si="20"/>
        <v>0</v>
      </c>
      <c r="AL43" s="317">
        <f t="shared" si="21"/>
        <v>0</v>
      </c>
      <c r="AM43" s="317">
        <f t="shared" si="22"/>
        <v>0</v>
      </c>
      <c r="AN43" s="317">
        <f t="shared" si="23"/>
        <v>0</v>
      </c>
      <c r="AO43" s="317">
        <f t="shared" si="24"/>
        <v>0</v>
      </c>
      <c r="AP43" s="317">
        <f t="shared" si="25"/>
        <v>0</v>
      </c>
      <c r="AQ43" s="317">
        <f t="shared" si="26"/>
        <v>0</v>
      </c>
      <c r="AR43" s="317">
        <f t="shared" si="27"/>
        <v>0</v>
      </c>
      <c r="AS43" s="317">
        <f t="shared" si="28"/>
        <v>0</v>
      </c>
      <c r="AT43" s="317">
        <f t="shared" si="29"/>
        <v>0</v>
      </c>
      <c r="AU43" s="317">
        <f t="shared" si="30"/>
        <v>0</v>
      </c>
      <c r="AV43" s="317">
        <f t="shared" si="31"/>
        <v>0</v>
      </c>
      <c r="AW43" s="317">
        <f t="shared" si="32"/>
        <v>0</v>
      </c>
      <c r="AX43" s="317">
        <f t="shared" si="33"/>
        <v>0</v>
      </c>
      <c r="AY43" s="317">
        <f t="shared" si="34"/>
        <v>0</v>
      </c>
      <c r="AZ43" s="317">
        <f t="shared" si="35"/>
        <v>0</v>
      </c>
      <c r="BA43" s="317">
        <f t="shared" si="36"/>
        <v>0</v>
      </c>
      <c r="BB43" s="317">
        <f t="shared" si="37"/>
        <v>0</v>
      </c>
      <c r="BC43" s="317">
        <f t="shared" si="38"/>
        <v>0</v>
      </c>
    </row>
    <row r="44" spans="1:55" s="314" customFormat="1" ht="15" customHeight="1">
      <c r="A44" s="63" t="str">
        <f t="array" ref="A44">IF(C44&lt;&gt;0,SUM(($C$11:C44&lt;&gt;0)*1),"")</f>
        <v/>
      </c>
      <c r="B44" s="315"/>
      <c r="C44" s="315"/>
      <c r="D44" s="315"/>
      <c r="E44" s="370"/>
      <c r="F44" s="371"/>
      <c r="G44" s="372"/>
      <c r="H44" s="372"/>
      <c r="I44" s="63" t="str">
        <f t="shared" si="47"/>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41"/>
        <v>0</v>
      </c>
      <c r="S44" s="317">
        <f t="shared" si="42"/>
        <v>0</v>
      </c>
      <c r="T44" s="317">
        <f t="shared" si="7"/>
        <v>0</v>
      </c>
      <c r="U44" s="317">
        <f t="shared" si="8"/>
        <v>0</v>
      </c>
      <c r="V44" s="317">
        <f t="shared" si="43"/>
        <v>0</v>
      </c>
      <c r="W44" s="317">
        <f t="shared" si="44"/>
        <v>0</v>
      </c>
      <c r="X44" s="317">
        <f t="shared" si="9"/>
        <v>0</v>
      </c>
      <c r="Y44" s="317">
        <f t="shared" si="10"/>
        <v>0</v>
      </c>
      <c r="Z44" s="317">
        <f t="shared" si="11"/>
        <v>0</v>
      </c>
      <c r="AA44" s="317">
        <f t="shared" si="12"/>
        <v>0</v>
      </c>
      <c r="AB44" s="317">
        <f t="shared" si="13"/>
        <v>0</v>
      </c>
      <c r="AC44" s="317">
        <f t="shared" si="14"/>
        <v>0</v>
      </c>
      <c r="AD44" s="317">
        <f t="shared" si="15"/>
        <v>0</v>
      </c>
      <c r="AE44" s="317">
        <f t="shared" si="16"/>
        <v>0</v>
      </c>
      <c r="AF44" s="317">
        <f t="shared" si="17"/>
        <v>0</v>
      </c>
      <c r="AG44" s="317">
        <f t="shared" si="18"/>
        <v>0</v>
      </c>
      <c r="AH44" s="317">
        <f t="shared" si="45"/>
        <v>0</v>
      </c>
      <c r="AI44" s="317">
        <f t="shared" si="46"/>
        <v>0</v>
      </c>
      <c r="AJ44" s="317">
        <f t="shared" si="19"/>
        <v>0</v>
      </c>
      <c r="AK44" s="317">
        <f t="shared" si="20"/>
        <v>0</v>
      </c>
      <c r="AL44" s="317">
        <f t="shared" si="21"/>
        <v>0</v>
      </c>
      <c r="AM44" s="317">
        <f t="shared" si="22"/>
        <v>0</v>
      </c>
      <c r="AN44" s="317">
        <f t="shared" si="23"/>
        <v>0</v>
      </c>
      <c r="AO44" s="317">
        <f t="shared" si="24"/>
        <v>0</v>
      </c>
      <c r="AP44" s="317">
        <f t="shared" si="25"/>
        <v>0</v>
      </c>
      <c r="AQ44" s="317">
        <f t="shared" si="26"/>
        <v>0</v>
      </c>
      <c r="AR44" s="317">
        <f t="shared" si="27"/>
        <v>0</v>
      </c>
      <c r="AS44" s="317">
        <f t="shared" si="28"/>
        <v>0</v>
      </c>
      <c r="AT44" s="317">
        <f t="shared" si="29"/>
        <v>0</v>
      </c>
      <c r="AU44" s="317">
        <f t="shared" si="30"/>
        <v>0</v>
      </c>
      <c r="AV44" s="317">
        <f t="shared" si="31"/>
        <v>0</v>
      </c>
      <c r="AW44" s="317">
        <f t="shared" si="32"/>
        <v>0</v>
      </c>
      <c r="AX44" s="317">
        <f t="shared" si="33"/>
        <v>0</v>
      </c>
      <c r="AY44" s="317">
        <f t="shared" si="34"/>
        <v>0</v>
      </c>
      <c r="AZ44" s="317">
        <f t="shared" si="35"/>
        <v>0</v>
      </c>
      <c r="BA44" s="317">
        <f t="shared" si="36"/>
        <v>0</v>
      </c>
      <c r="BB44" s="317">
        <f t="shared" si="37"/>
        <v>0</v>
      </c>
      <c r="BC44" s="317">
        <f t="shared" si="38"/>
        <v>0</v>
      </c>
    </row>
    <row r="45" spans="1:55" s="314" customFormat="1" ht="15" customHeight="1">
      <c r="A45" s="63" t="str">
        <f t="array" ref="A45">IF(C45&lt;&gt;0,SUM(($C$11:C45&lt;&gt;0)*1),"")</f>
        <v/>
      </c>
      <c r="B45" s="315"/>
      <c r="C45" s="315"/>
      <c r="D45" s="315"/>
      <c r="E45" s="370"/>
      <c r="F45" s="371"/>
      <c r="G45" s="372"/>
      <c r="H45" s="372"/>
      <c r="I45" s="63" t="str">
        <f t="shared" si="47"/>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41"/>
        <v>0</v>
      </c>
      <c r="S45" s="317">
        <f t="shared" si="42"/>
        <v>0</v>
      </c>
      <c r="T45" s="317">
        <f t="shared" si="7"/>
        <v>0</v>
      </c>
      <c r="U45" s="317">
        <f t="shared" si="8"/>
        <v>0</v>
      </c>
      <c r="V45" s="317">
        <f t="shared" si="43"/>
        <v>0</v>
      </c>
      <c r="W45" s="317">
        <f t="shared" si="44"/>
        <v>0</v>
      </c>
      <c r="X45" s="317">
        <f t="shared" si="9"/>
        <v>0</v>
      </c>
      <c r="Y45" s="317">
        <f t="shared" si="10"/>
        <v>0</v>
      </c>
      <c r="Z45" s="317">
        <f t="shared" si="11"/>
        <v>0</v>
      </c>
      <c r="AA45" s="317">
        <f t="shared" si="12"/>
        <v>0</v>
      </c>
      <c r="AB45" s="317">
        <f t="shared" si="13"/>
        <v>0</v>
      </c>
      <c r="AC45" s="317">
        <f t="shared" si="14"/>
        <v>0</v>
      </c>
      <c r="AD45" s="317">
        <f t="shared" si="15"/>
        <v>0</v>
      </c>
      <c r="AE45" s="317">
        <f t="shared" si="16"/>
        <v>0</v>
      </c>
      <c r="AF45" s="317">
        <f t="shared" si="17"/>
        <v>0</v>
      </c>
      <c r="AG45" s="317">
        <f t="shared" si="18"/>
        <v>0</v>
      </c>
      <c r="AH45" s="317">
        <f t="shared" si="45"/>
        <v>0</v>
      </c>
      <c r="AI45" s="317">
        <f t="shared" si="46"/>
        <v>0</v>
      </c>
      <c r="AJ45" s="317">
        <f t="shared" si="19"/>
        <v>0</v>
      </c>
      <c r="AK45" s="317">
        <f t="shared" si="20"/>
        <v>0</v>
      </c>
      <c r="AL45" s="317">
        <f t="shared" si="21"/>
        <v>0</v>
      </c>
      <c r="AM45" s="317">
        <f t="shared" si="22"/>
        <v>0</v>
      </c>
      <c r="AN45" s="317">
        <f t="shared" si="23"/>
        <v>0</v>
      </c>
      <c r="AO45" s="317">
        <f t="shared" si="24"/>
        <v>0</v>
      </c>
      <c r="AP45" s="317">
        <f t="shared" si="25"/>
        <v>0</v>
      </c>
      <c r="AQ45" s="317">
        <f t="shared" si="26"/>
        <v>0</v>
      </c>
      <c r="AR45" s="317">
        <f t="shared" si="27"/>
        <v>0</v>
      </c>
      <c r="AS45" s="317">
        <f t="shared" si="28"/>
        <v>0</v>
      </c>
      <c r="AT45" s="317">
        <f t="shared" si="29"/>
        <v>0</v>
      </c>
      <c r="AU45" s="317">
        <f t="shared" si="30"/>
        <v>0</v>
      </c>
      <c r="AV45" s="317">
        <f t="shared" si="31"/>
        <v>0</v>
      </c>
      <c r="AW45" s="317">
        <f t="shared" si="32"/>
        <v>0</v>
      </c>
      <c r="AX45" s="317">
        <f t="shared" si="33"/>
        <v>0</v>
      </c>
      <c r="AY45" s="317">
        <f t="shared" si="34"/>
        <v>0</v>
      </c>
      <c r="AZ45" s="317">
        <f t="shared" si="35"/>
        <v>0</v>
      </c>
      <c r="BA45" s="317">
        <f t="shared" si="36"/>
        <v>0</v>
      </c>
      <c r="BB45" s="317">
        <f t="shared" si="37"/>
        <v>0</v>
      </c>
      <c r="BC45" s="317">
        <f t="shared" si="38"/>
        <v>0</v>
      </c>
    </row>
    <row r="46" spans="1:55" s="314" customFormat="1" ht="15" customHeight="1">
      <c r="A46" s="63" t="str">
        <f t="array" ref="A46">IF(C46&lt;&gt;0,SUM(($C$11:C46&lt;&gt;0)*1),"")</f>
        <v/>
      </c>
      <c r="B46" s="315"/>
      <c r="C46" s="315"/>
      <c r="D46" s="315"/>
      <c r="E46" s="370"/>
      <c r="F46" s="371"/>
      <c r="G46" s="372"/>
      <c r="H46" s="372"/>
      <c r="I46" s="63" t="str">
        <f t="shared" si="47"/>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41"/>
        <v>0</v>
      </c>
      <c r="S46" s="317">
        <f t="shared" si="42"/>
        <v>0</v>
      </c>
      <c r="T46" s="317">
        <f t="shared" si="7"/>
        <v>0</v>
      </c>
      <c r="U46" s="317">
        <f t="shared" si="8"/>
        <v>0</v>
      </c>
      <c r="V46" s="317">
        <f t="shared" si="43"/>
        <v>0</v>
      </c>
      <c r="W46" s="317">
        <f t="shared" si="44"/>
        <v>0</v>
      </c>
      <c r="X46" s="317">
        <f t="shared" si="9"/>
        <v>0</v>
      </c>
      <c r="Y46" s="317">
        <f t="shared" si="10"/>
        <v>0</v>
      </c>
      <c r="Z46" s="317">
        <f t="shared" si="11"/>
        <v>0</v>
      </c>
      <c r="AA46" s="317">
        <f t="shared" si="12"/>
        <v>0</v>
      </c>
      <c r="AB46" s="317">
        <f t="shared" si="13"/>
        <v>0</v>
      </c>
      <c r="AC46" s="317">
        <f t="shared" si="14"/>
        <v>0</v>
      </c>
      <c r="AD46" s="317">
        <f t="shared" si="15"/>
        <v>0</v>
      </c>
      <c r="AE46" s="317">
        <f t="shared" si="16"/>
        <v>0</v>
      </c>
      <c r="AF46" s="317">
        <f t="shared" si="17"/>
        <v>0</v>
      </c>
      <c r="AG46" s="317">
        <f t="shared" si="18"/>
        <v>0</v>
      </c>
      <c r="AH46" s="317">
        <f t="shared" si="45"/>
        <v>0</v>
      </c>
      <c r="AI46" s="317">
        <f t="shared" si="46"/>
        <v>0</v>
      </c>
      <c r="AJ46" s="317">
        <f t="shared" si="19"/>
        <v>0</v>
      </c>
      <c r="AK46" s="317">
        <f t="shared" si="20"/>
        <v>0</v>
      </c>
      <c r="AL46" s="317">
        <f t="shared" si="21"/>
        <v>0</v>
      </c>
      <c r="AM46" s="317">
        <f t="shared" si="22"/>
        <v>0</v>
      </c>
      <c r="AN46" s="317">
        <f t="shared" si="23"/>
        <v>0</v>
      </c>
      <c r="AO46" s="317">
        <f t="shared" si="24"/>
        <v>0</v>
      </c>
      <c r="AP46" s="317">
        <f t="shared" si="25"/>
        <v>0</v>
      </c>
      <c r="AQ46" s="317">
        <f t="shared" si="26"/>
        <v>0</v>
      </c>
      <c r="AR46" s="317">
        <f t="shared" si="27"/>
        <v>0</v>
      </c>
      <c r="AS46" s="317">
        <f t="shared" si="28"/>
        <v>0</v>
      </c>
      <c r="AT46" s="317">
        <f t="shared" si="29"/>
        <v>0</v>
      </c>
      <c r="AU46" s="317">
        <f t="shared" si="30"/>
        <v>0</v>
      </c>
      <c r="AV46" s="317">
        <f t="shared" si="31"/>
        <v>0</v>
      </c>
      <c r="AW46" s="317">
        <f t="shared" si="32"/>
        <v>0</v>
      </c>
      <c r="AX46" s="317">
        <f t="shared" si="33"/>
        <v>0</v>
      </c>
      <c r="AY46" s="317">
        <f t="shared" si="34"/>
        <v>0</v>
      </c>
      <c r="AZ46" s="317">
        <f t="shared" si="35"/>
        <v>0</v>
      </c>
      <c r="BA46" s="317">
        <f t="shared" si="36"/>
        <v>0</v>
      </c>
      <c r="BB46" s="317">
        <f t="shared" si="37"/>
        <v>0</v>
      </c>
      <c r="BC46" s="317">
        <f t="shared" si="38"/>
        <v>0</v>
      </c>
    </row>
    <row r="47" spans="1:55" s="314" customFormat="1" ht="15" customHeight="1">
      <c r="A47" s="63" t="str">
        <f t="array" ref="A47">IF(C47&lt;&gt;0,SUM(($C$11:C47&lt;&gt;0)*1),"")</f>
        <v/>
      </c>
      <c r="B47" s="315"/>
      <c r="C47" s="315"/>
      <c r="D47" s="315"/>
      <c r="E47" s="370"/>
      <c r="F47" s="371"/>
      <c r="G47" s="372"/>
      <c r="H47" s="372"/>
      <c r="I47" s="63" t="str">
        <f t="shared" si="47"/>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41"/>
        <v>0</v>
      </c>
      <c r="S47" s="317">
        <f t="shared" si="42"/>
        <v>0</v>
      </c>
      <c r="T47" s="317">
        <f t="shared" si="7"/>
        <v>0</v>
      </c>
      <c r="U47" s="317">
        <f t="shared" si="8"/>
        <v>0</v>
      </c>
      <c r="V47" s="317">
        <f t="shared" si="43"/>
        <v>0</v>
      </c>
      <c r="W47" s="317">
        <f t="shared" si="44"/>
        <v>0</v>
      </c>
      <c r="X47" s="317">
        <f t="shared" si="9"/>
        <v>0</v>
      </c>
      <c r="Y47" s="317">
        <f t="shared" si="10"/>
        <v>0</v>
      </c>
      <c r="Z47" s="317">
        <f t="shared" si="11"/>
        <v>0</v>
      </c>
      <c r="AA47" s="317">
        <f t="shared" si="12"/>
        <v>0</v>
      </c>
      <c r="AB47" s="317">
        <f t="shared" si="13"/>
        <v>0</v>
      </c>
      <c r="AC47" s="317">
        <f t="shared" si="14"/>
        <v>0</v>
      </c>
      <c r="AD47" s="317">
        <f t="shared" si="15"/>
        <v>0</v>
      </c>
      <c r="AE47" s="317">
        <f t="shared" si="16"/>
        <v>0</v>
      </c>
      <c r="AF47" s="317">
        <f t="shared" si="17"/>
        <v>0</v>
      </c>
      <c r="AG47" s="317">
        <f t="shared" si="18"/>
        <v>0</v>
      </c>
      <c r="AH47" s="317">
        <f t="shared" si="45"/>
        <v>0</v>
      </c>
      <c r="AI47" s="317">
        <f t="shared" si="46"/>
        <v>0</v>
      </c>
      <c r="AJ47" s="317">
        <f t="shared" si="19"/>
        <v>0</v>
      </c>
      <c r="AK47" s="317">
        <f t="shared" si="20"/>
        <v>0</v>
      </c>
      <c r="AL47" s="317">
        <f t="shared" si="21"/>
        <v>0</v>
      </c>
      <c r="AM47" s="317">
        <f t="shared" si="22"/>
        <v>0</v>
      </c>
      <c r="AN47" s="317">
        <f t="shared" si="23"/>
        <v>0</v>
      </c>
      <c r="AO47" s="317">
        <f t="shared" si="24"/>
        <v>0</v>
      </c>
      <c r="AP47" s="317">
        <f t="shared" si="25"/>
        <v>0</v>
      </c>
      <c r="AQ47" s="317">
        <f t="shared" si="26"/>
        <v>0</v>
      </c>
      <c r="AR47" s="317">
        <f t="shared" si="27"/>
        <v>0</v>
      </c>
      <c r="AS47" s="317">
        <f t="shared" si="28"/>
        <v>0</v>
      </c>
      <c r="AT47" s="317">
        <f t="shared" si="29"/>
        <v>0</v>
      </c>
      <c r="AU47" s="317">
        <f t="shared" si="30"/>
        <v>0</v>
      </c>
      <c r="AV47" s="317">
        <f t="shared" si="31"/>
        <v>0</v>
      </c>
      <c r="AW47" s="317">
        <f t="shared" si="32"/>
        <v>0</v>
      </c>
      <c r="AX47" s="317">
        <f t="shared" si="33"/>
        <v>0</v>
      </c>
      <c r="AY47" s="317">
        <f t="shared" si="34"/>
        <v>0</v>
      </c>
      <c r="AZ47" s="317">
        <f t="shared" si="35"/>
        <v>0</v>
      </c>
      <c r="BA47" s="317">
        <f t="shared" si="36"/>
        <v>0</v>
      </c>
      <c r="BB47" s="317">
        <f t="shared" si="37"/>
        <v>0</v>
      </c>
      <c r="BC47" s="317">
        <f t="shared" si="38"/>
        <v>0</v>
      </c>
    </row>
    <row r="48" spans="1:55" s="314" customFormat="1" ht="15" customHeight="1">
      <c r="A48" s="63" t="str">
        <f t="array" ref="A48">IF(C48&lt;&gt;0,SUM(($C$11:C48&lt;&gt;0)*1),"")</f>
        <v/>
      </c>
      <c r="B48" s="315"/>
      <c r="C48" s="315"/>
      <c r="D48" s="315"/>
      <c r="E48" s="370"/>
      <c r="F48" s="371"/>
      <c r="G48" s="372"/>
      <c r="H48" s="372"/>
      <c r="I48" s="63" t="str">
        <f t="shared" si="47"/>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41"/>
        <v>0</v>
      </c>
      <c r="S48" s="317">
        <f t="shared" si="42"/>
        <v>0</v>
      </c>
      <c r="T48" s="317">
        <f t="shared" si="7"/>
        <v>0</v>
      </c>
      <c r="U48" s="317">
        <f t="shared" si="8"/>
        <v>0</v>
      </c>
      <c r="V48" s="317">
        <f t="shared" si="43"/>
        <v>0</v>
      </c>
      <c r="W48" s="317">
        <f t="shared" si="44"/>
        <v>0</v>
      </c>
      <c r="X48" s="317">
        <f t="shared" si="9"/>
        <v>0</v>
      </c>
      <c r="Y48" s="317">
        <f t="shared" si="10"/>
        <v>0</v>
      </c>
      <c r="Z48" s="317">
        <f t="shared" si="11"/>
        <v>0</v>
      </c>
      <c r="AA48" s="317">
        <f t="shared" si="12"/>
        <v>0</v>
      </c>
      <c r="AB48" s="317">
        <f t="shared" si="13"/>
        <v>0</v>
      </c>
      <c r="AC48" s="317">
        <f t="shared" si="14"/>
        <v>0</v>
      </c>
      <c r="AD48" s="317">
        <f t="shared" si="15"/>
        <v>0</v>
      </c>
      <c r="AE48" s="317">
        <f t="shared" si="16"/>
        <v>0</v>
      </c>
      <c r="AF48" s="317">
        <f t="shared" si="17"/>
        <v>0</v>
      </c>
      <c r="AG48" s="317">
        <f t="shared" si="18"/>
        <v>0</v>
      </c>
      <c r="AH48" s="317">
        <f t="shared" si="45"/>
        <v>0</v>
      </c>
      <c r="AI48" s="317">
        <f t="shared" si="46"/>
        <v>0</v>
      </c>
      <c r="AJ48" s="317">
        <f t="shared" si="19"/>
        <v>0</v>
      </c>
      <c r="AK48" s="317">
        <f t="shared" si="20"/>
        <v>0</v>
      </c>
      <c r="AL48" s="317">
        <f t="shared" si="21"/>
        <v>0</v>
      </c>
      <c r="AM48" s="317">
        <f t="shared" si="22"/>
        <v>0</v>
      </c>
      <c r="AN48" s="317">
        <f t="shared" si="23"/>
        <v>0</v>
      </c>
      <c r="AO48" s="317">
        <f t="shared" si="24"/>
        <v>0</v>
      </c>
      <c r="AP48" s="317">
        <f t="shared" si="25"/>
        <v>0</v>
      </c>
      <c r="AQ48" s="317">
        <f t="shared" si="26"/>
        <v>0</v>
      </c>
      <c r="AR48" s="317">
        <f t="shared" si="27"/>
        <v>0</v>
      </c>
      <c r="AS48" s="317">
        <f t="shared" si="28"/>
        <v>0</v>
      </c>
      <c r="AT48" s="317">
        <f t="shared" si="29"/>
        <v>0</v>
      </c>
      <c r="AU48" s="317">
        <f t="shared" si="30"/>
        <v>0</v>
      </c>
      <c r="AV48" s="317">
        <f t="shared" si="31"/>
        <v>0</v>
      </c>
      <c r="AW48" s="317">
        <f t="shared" si="32"/>
        <v>0</v>
      </c>
      <c r="AX48" s="317">
        <f t="shared" si="33"/>
        <v>0</v>
      </c>
      <c r="AY48" s="317">
        <f t="shared" si="34"/>
        <v>0</v>
      </c>
      <c r="AZ48" s="317">
        <f t="shared" si="35"/>
        <v>0</v>
      </c>
      <c r="BA48" s="317">
        <f t="shared" si="36"/>
        <v>0</v>
      </c>
      <c r="BB48" s="317">
        <f t="shared" si="37"/>
        <v>0</v>
      </c>
      <c r="BC48" s="317">
        <f t="shared" si="38"/>
        <v>0</v>
      </c>
    </row>
    <row r="49" spans="1:55" s="314" customFormat="1" ht="15" customHeight="1">
      <c r="A49" s="63" t="str">
        <f t="array" ref="A49">IF(C49&lt;&gt;0,SUM(($C$11:C49&lt;&gt;0)*1),"")</f>
        <v/>
      </c>
      <c r="B49" s="315"/>
      <c r="C49" s="315"/>
      <c r="D49" s="315"/>
      <c r="E49" s="370"/>
      <c r="F49" s="371"/>
      <c r="G49" s="372"/>
      <c r="H49" s="372"/>
      <c r="I49" s="63" t="str">
        <f t="shared" si="47"/>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41"/>
        <v>0</v>
      </c>
      <c r="S49" s="317">
        <f t="shared" si="42"/>
        <v>0</v>
      </c>
      <c r="T49" s="317">
        <f t="shared" si="7"/>
        <v>0</v>
      </c>
      <c r="U49" s="317">
        <f t="shared" si="8"/>
        <v>0</v>
      </c>
      <c r="V49" s="317">
        <f t="shared" si="43"/>
        <v>0</v>
      </c>
      <c r="W49" s="317">
        <f t="shared" si="44"/>
        <v>0</v>
      </c>
      <c r="X49" s="317">
        <f t="shared" si="9"/>
        <v>0</v>
      </c>
      <c r="Y49" s="317">
        <f t="shared" si="10"/>
        <v>0</v>
      </c>
      <c r="Z49" s="317">
        <f t="shared" si="11"/>
        <v>0</v>
      </c>
      <c r="AA49" s="317">
        <f t="shared" si="12"/>
        <v>0</v>
      </c>
      <c r="AB49" s="317">
        <f t="shared" si="13"/>
        <v>0</v>
      </c>
      <c r="AC49" s="317">
        <f t="shared" si="14"/>
        <v>0</v>
      </c>
      <c r="AD49" s="317">
        <f t="shared" si="15"/>
        <v>0</v>
      </c>
      <c r="AE49" s="317">
        <f t="shared" si="16"/>
        <v>0</v>
      </c>
      <c r="AF49" s="317">
        <f t="shared" si="17"/>
        <v>0</v>
      </c>
      <c r="AG49" s="317">
        <f t="shared" si="18"/>
        <v>0</v>
      </c>
      <c r="AH49" s="317">
        <f t="shared" si="45"/>
        <v>0</v>
      </c>
      <c r="AI49" s="317">
        <f t="shared" si="46"/>
        <v>0</v>
      </c>
      <c r="AJ49" s="317">
        <f t="shared" si="19"/>
        <v>0</v>
      </c>
      <c r="AK49" s="317">
        <f t="shared" si="20"/>
        <v>0</v>
      </c>
      <c r="AL49" s="317">
        <f t="shared" si="21"/>
        <v>0</v>
      </c>
      <c r="AM49" s="317">
        <f t="shared" si="22"/>
        <v>0</v>
      </c>
      <c r="AN49" s="317">
        <f t="shared" si="23"/>
        <v>0</v>
      </c>
      <c r="AO49" s="317">
        <f t="shared" si="24"/>
        <v>0</v>
      </c>
      <c r="AP49" s="317">
        <f t="shared" si="25"/>
        <v>0</v>
      </c>
      <c r="AQ49" s="317">
        <f t="shared" si="26"/>
        <v>0</v>
      </c>
      <c r="AR49" s="317">
        <f t="shared" si="27"/>
        <v>0</v>
      </c>
      <c r="AS49" s="317">
        <f t="shared" si="28"/>
        <v>0</v>
      </c>
      <c r="AT49" s="317">
        <f t="shared" si="29"/>
        <v>0</v>
      </c>
      <c r="AU49" s="317">
        <f t="shared" si="30"/>
        <v>0</v>
      </c>
      <c r="AV49" s="317">
        <f t="shared" si="31"/>
        <v>0</v>
      </c>
      <c r="AW49" s="317">
        <f t="shared" si="32"/>
        <v>0</v>
      </c>
      <c r="AX49" s="317">
        <f t="shared" si="33"/>
        <v>0</v>
      </c>
      <c r="AY49" s="317">
        <f t="shared" si="34"/>
        <v>0</v>
      </c>
      <c r="AZ49" s="317">
        <f t="shared" si="35"/>
        <v>0</v>
      </c>
      <c r="BA49" s="317">
        <f t="shared" si="36"/>
        <v>0</v>
      </c>
      <c r="BB49" s="317">
        <f t="shared" si="37"/>
        <v>0</v>
      </c>
      <c r="BC49" s="317">
        <f t="shared" si="38"/>
        <v>0</v>
      </c>
    </row>
    <row r="50" spans="1:55" s="314" customFormat="1" ht="15" customHeight="1">
      <c r="A50" s="63" t="str">
        <f t="array" ref="A50">IF(C50&lt;&gt;0,SUM(($C$11:C50&lt;&gt;0)*1),"")</f>
        <v/>
      </c>
      <c r="B50" s="315"/>
      <c r="C50" s="315"/>
      <c r="D50" s="315"/>
      <c r="E50" s="370"/>
      <c r="F50" s="371"/>
      <c r="G50" s="372"/>
      <c r="H50" s="372"/>
      <c r="I50" s="63" t="str">
        <f t="shared" si="47"/>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41"/>
        <v>0</v>
      </c>
      <c r="S50" s="317">
        <f t="shared" si="42"/>
        <v>0</v>
      </c>
      <c r="T50" s="317">
        <f t="shared" si="7"/>
        <v>0</v>
      </c>
      <c r="U50" s="317">
        <f t="shared" si="8"/>
        <v>0</v>
      </c>
      <c r="V50" s="317">
        <f t="shared" si="43"/>
        <v>0</v>
      </c>
      <c r="W50" s="317">
        <f t="shared" si="44"/>
        <v>0</v>
      </c>
      <c r="X50" s="317">
        <f t="shared" si="9"/>
        <v>0</v>
      </c>
      <c r="Y50" s="317">
        <f t="shared" si="10"/>
        <v>0</v>
      </c>
      <c r="Z50" s="317">
        <f t="shared" si="11"/>
        <v>0</v>
      </c>
      <c r="AA50" s="317">
        <f t="shared" si="12"/>
        <v>0</v>
      </c>
      <c r="AB50" s="317">
        <f t="shared" si="13"/>
        <v>0</v>
      </c>
      <c r="AC50" s="317">
        <f t="shared" si="14"/>
        <v>0</v>
      </c>
      <c r="AD50" s="317">
        <f t="shared" si="15"/>
        <v>0</v>
      </c>
      <c r="AE50" s="317">
        <f t="shared" si="16"/>
        <v>0</v>
      </c>
      <c r="AF50" s="317">
        <f t="shared" si="17"/>
        <v>0</v>
      </c>
      <c r="AG50" s="317">
        <f t="shared" si="18"/>
        <v>0</v>
      </c>
      <c r="AH50" s="317">
        <f t="shared" si="45"/>
        <v>0</v>
      </c>
      <c r="AI50" s="317">
        <f t="shared" si="46"/>
        <v>0</v>
      </c>
      <c r="AJ50" s="317">
        <f t="shared" si="19"/>
        <v>0</v>
      </c>
      <c r="AK50" s="317">
        <f t="shared" si="20"/>
        <v>0</v>
      </c>
      <c r="AL50" s="317">
        <f t="shared" si="21"/>
        <v>0</v>
      </c>
      <c r="AM50" s="317">
        <f t="shared" si="22"/>
        <v>0</v>
      </c>
      <c r="AN50" s="317">
        <f t="shared" si="23"/>
        <v>0</v>
      </c>
      <c r="AO50" s="317">
        <f t="shared" si="24"/>
        <v>0</v>
      </c>
      <c r="AP50" s="317">
        <f t="shared" si="25"/>
        <v>0</v>
      </c>
      <c r="AQ50" s="317">
        <f t="shared" si="26"/>
        <v>0</v>
      </c>
      <c r="AR50" s="317">
        <f t="shared" si="27"/>
        <v>0</v>
      </c>
      <c r="AS50" s="317">
        <f t="shared" si="28"/>
        <v>0</v>
      </c>
      <c r="AT50" s="317">
        <f t="shared" si="29"/>
        <v>0</v>
      </c>
      <c r="AU50" s="317">
        <f t="shared" si="30"/>
        <v>0</v>
      </c>
      <c r="AV50" s="317">
        <f t="shared" si="31"/>
        <v>0</v>
      </c>
      <c r="AW50" s="317">
        <f t="shared" si="32"/>
        <v>0</v>
      </c>
      <c r="AX50" s="317">
        <f t="shared" si="33"/>
        <v>0</v>
      </c>
      <c r="AY50" s="317">
        <f t="shared" si="34"/>
        <v>0</v>
      </c>
      <c r="AZ50" s="317">
        <f t="shared" si="35"/>
        <v>0</v>
      </c>
      <c r="BA50" s="317">
        <f t="shared" si="36"/>
        <v>0</v>
      </c>
      <c r="BB50" s="317">
        <f t="shared" si="37"/>
        <v>0</v>
      </c>
      <c r="BC50" s="317">
        <f t="shared" si="38"/>
        <v>0</v>
      </c>
    </row>
    <row r="51" spans="1:55" s="314" customFormat="1" ht="15" customHeight="1">
      <c r="A51" s="63" t="str">
        <f t="array" ref="A51">IF(C51&lt;&gt;0,SUM(($C$11:C51&lt;&gt;0)*1),"")</f>
        <v/>
      </c>
      <c r="B51" s="315"/>
      <c r="C51" s="315"/>
      <c r="D51" s="315"/>
      <c r="E51" s="370"/>
      <c r="F51" s="371"/>
      <c r="G51" s="372"/>
      <c r="H51" s="372"/>
      <c r="I51" s="63" t="str">
        <f t="shared" si="47"/>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41"/>
        <v>0</v>
      </c>
      <c r="S51" s="317">
        <f t="shared" si="42"/>
        <v>0</v>
      </c>
      <c r="T51" s="317">
        <f t="shared" si="7"/>
        <v>0</v>
      </c>
      <c r="U51" s="317">
        <f t="shared" si="8"/>
        <v>0</v>
      </c>
      <c r="V51" s="317">
        <f t="shared" si="43"/>
        <v>0</v>
      </c>
      <c r="W51" s="317">
        <f t="shared" si="44"/>
        <v>0</v>
      </c>
      <c r="X51" s="317">
        <f t="shared" si="9"/>
        <v>0</v>
      </c>
      <c r="Y51" s="317">
        <f t="shared" si="10"/>
        <v>0</v>
      </c>
      <c r="Z51" s="317">
        <f t="shared" si="11"/>
        <v>0</v>
      </c>
      <c r="AA51" s="317">
        <f t="shared" si="12"/>
        <v>0</v>
      </c>
      <c r="AB51" s="317">
        <f t="shared" si="13"/>
        <v>0</v>
      </c>
      <c r="AC51" s="317">
        <f t="shared" si="14"/>
        <v>0</v>
      </c>
      <c r="AD51" s="317">
        <f t="shared" si="15"/>
        <v>0</v>
      </c>
      <c r="AE51" s="317">
        <f t="shared" si="16"/>
        <v>0</v>
      </c>
      <c r="AF51" s="317">
        <f t="shared" si="17"/>
        <v>0</v>
      </c>
      <c r="AG51" s="317">
        <f t="shared" si="18"/>
        <v>0</v>
      </c>
      <c r="AH51" s="317">
        <f t="shared" si="45"/>
        <v>0</v>
      </c>
      <c r="AI51" s="317">
        <f t="shared" si="46"/>
        <v>0</v>
      </c>
      <c r="AJ51" s="317">
        <f t="shared" si="19"/>
        <v>0</v>
      </c>
      <c r="AK51" s="317">
        <f t="shared" si="20"/>
        <v>0</v>
      </c>
      <c r="AL51" s="317">
        <f t="shared" si="21"/>
        <v>0</v>
      </c>
      <c r="AM51" s="317">
        <f t="shared" si="22"/>
        <v>0</v>
      </c>
      <c r="AN51" s="317">
        <f t="shared" si="23"/>
        <v>0</v>
      </c>
      <c r="AO51" s="317">
        <f t="shared" si="24"/>
        <v>0</v>
      </c>
      <c r="AP51" s="317">
        <f t="shared" si="25"/>
        <v>0</v>
      </c>
      <c r="AQ51" s="317">
        <f t="shared" si="26"/>
        <v>0</v>
      </c>
      <c r="AR51" s="317">
        <f t="shared" si="27"/>
        <v>0</v>
      </c>
      <c r="AS51" s="317">
        <f t="shared" si="28"/>
        <v>0</v>
      </c>
      <c r="AT51" s="317">
        <f t="shared" si="29"/>
        <v>0</v>
      </c>
      <c r="AU51" s="317">
        <f t="shared" si="30"/>
        <v>0</v>
      </c>
      <c r="AV51" s="317">
        <f t="shared" si="31"/>
        <v>0</v>
      </c>
      <c r="AW51" s="317">
        <f t="shared" si="32"/>
        <v>0</v>
      </c>
      <c r="AX51" s="317">
        <f t="shared" si="33"/>
        <v>0</v>
      </c>
      <c r="AY51" s="317">
        <f t="shared" si="34"/>
        <v>0</v>
      </c>
      <c r="AZ51" s="317">
        <f t="shared" si="35"/>
        <v>0</v>
      </c>
      <c r="BA51" s="317">
        <f t="shared" si="36"/>
        <v>0</v>
      </c>
      <c r="BB51" s="317">
        <f t="shared" si="37"/>
        <v>0</v>
      </c>
      <c r="BC51" s="317">
        <f t="shared" si="38"/>
        <v>0</v>
      </c>
    </row>
    <row r="52" spans="1:55" s="314" customFormat="1" ht="15" customHeight="1">
      <c r="A52" s="63" t="str">
        <f t="array" ref="A52">IF(C52&lt;&gt;0,SUM(($C$11:C52&lt;&gt;0)*1),"")</f>
        <v/>
      </c>
      <c r="B52" s="315"/>
      <c r="C52" s="315"/>
      <c r="D52" s="315"/>
      <c r="E52" s="370"/>
      <c r="F52" s="371"/>
      <c r="G52" s="372"/>
      <c r="H52" s="372"/>
      <c r="I52" s="63" t="str">
        <f t="shared" si="47"/>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41"/>
        <v>0</v>
      </c>
      <c r="S52" s="317">
        <f t="shared" si="42"/>
        <v>0</v>
      </c>
      <c r="T52" s="317">
        <f t="shared" si="7"/>
        <v>0</v>
      </c>
      <c r="U52" s="317">
        <f t="shared" si="8"/>
        <v>0</v>
      </c>
      <c r="V52" s="317">
        <f t="shared" si="43"/>
        <v>0</v>
      </c>
      <c r="W52" s="317">
        <f t="shared" si="44"/>
        <v>0</v>
      </c>
      <c r="X52" s="317">
        <f t="shared" si="9"/>
        <v>0</v>
      </c>
      <c r="Y52" s="317">
        <f t="shared" si="10"/>
        <v>0</v>
      </c>
      <c r="Z52" s="317">
        <f t="shared" si="11"/>
        <v>0</v>
      </c>
      <c r="AA52" s="317">
        <f t="shared" si="12"/>
        <v>0</v>
      </c>
      <c r="AB52" s="317">
        <f t="shared" si="13"/>
        <v>0</v>
      </c>
      <c r="AC52" s="317">
        <f t="shared" si="14"/>
        <v>0</v>
      </c>
      <c r="AD52" s="317">
        <f t="shared" si="15"/>
        <v>0</v>
      </c>
      <c r="AE52" s="317">
        <f t="shared" si="16"/>
        <v>0</v>
      </c>
      <c r="AF52" s="317">
        <f t="shared" si="17"/>
        <v>0</v>
      </c>
      <c r="AG52" s="317">
        <f t="shared" si="18"/>
        <v>0</v>
      </c>
      <c r="AH52" s="317">
        <f t="shared" si="45"/>
        <v>0</v>
      </c>
      <c r="AI52" s="317">
        <f t="shared" si="46"/>
        <v>0</v>
      </c>
      <c r="AJ52" s="317">
        <f t="shared" si="19"/>
        <v>0</v>
      </c>
      <c r="AK52" s="317">
        <f t="shared" si="20"/>
        <v>0</v>
      </c>
      <c r="AL52" s="317">
        <f t="shared" si="21"/>
        <v>0</v>
      </c>
      <c r="AM52" s="317">
        <f t="shared" si="22"/>
        <v>0</v>
      </c>
      <c r="AN52" s="317">
        <f t="shared" si="23"/>
        <v>0</v>
      </c>
      <c r="AO52" s="317">
        <f t="shared" si="24"/>
        <v>0</v>
      </c>
      <c r="AP52" s="317">
        <f t="shared" si="25"/>
        <v>0</v>
      </c>
      <c r="AQ52" s="317">
        <f t="shared" si="26"/>
        <v>0</v>
      </c>
      <c r="AR52" s="317">
        <f t="shared" si="27"/>
        <v>0</v>
      </c>
      <c r="AS52" s="317">
        <f t="shared" si="28"/>
        <v>0</v>
      </c>
      <c r="AT52" s="317">
        <f t="shared" si="29"/>
        <v>0</v>
      </c>
      <c r="AU52" s="317">
        <f t="shared" si="30"/>
        <v>0</v>
      </c>
      <c r="AV52" s="317">
        <f t="shared" si="31"/>
        <v>0</v>
      </c>
      <c r="AW52" s="317">
        <f t="shared" si="32"/>
        <v>0</v>
      </c>
      <c r="AX52" s="317">
        <f t="shared" si="33"/>
        <v>0</v>
      </c>
      <c r="AY52" s="317">
        <f t="shared" si="34"/>
        <v>0</v>
      </c>
      <c r="AZ52" s="317">
        <f t="shared" si="35"/>
        <v>0</v>
      </c>
      <c r="BA52" s="317">
        <f t="shared" si="36"/>
        <v>0</v>
      </c>
      <c r="BB52" s="317">
        <f t="shared" si="37"/>
        <v>0</v>
      </c>
      <c r="BC52" s="317">
        <f t="shared" si="38"/>
        <v>0</v>
      </c>
    </row>
    <row r="53" spans="1:55" s="314" customFormat="1" ht="15" customHeight="1">
      <c r="A53" s="63" t="str">
        <f t="array" ref="A53">IF(C53&lt;&gt;0,SUM(($C$11:C53&lt;&gt;0)*1),"")</f>
        <v/>
      </c>
      <c r="B53" s="315"/>
      <c r="C53" s="315"/>
      <c r="D53" s="315"/>
      <c r="E53" s="370"/>
      <c r="F53" s="371"/>
      <c r="G53" s="372"/>
      <c r="H53" s="372"/>
      <c r="I53" s="63" t="str">
        <f t="shared" si="47"/>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41"/>
        <v>0</v>
      </c>
      <c r="S53" s="317">
        <f t="shared" si="42"/>
        <v>0</v>
      </c>
      <c r="T53" s="317">
        <f t="shared" si="7"/>
        <v>0</v>
      </c>
      <c r="U53" s="317">
        <f t="shared" si="8"/>
        <v>0</v>
      </c>
      <c r="V53" s="317">
        <f t="shared" si="43"/>
        <v>0</v>
      </c>
      <c r="W53" s="317">
        <f t="shared" si="44"/>
        <v>0</v>
      </c>
      <c r="X53" s="317">
        <f t="shared" si="9"/>
        <v>0</v>
      </c>
      <c r="Y53" s="317">
        <f t="shared" si="10"/>
        <v>0</v>
      </c>
      <c r="Z53" s="317">
        <f t="shared" si="11"/>
        <v>0</v>
      </c>
      <c r="AA53" s="317">
        <f t="shared" si="12"/>
        <v>0</v>
      </c>
      <c r="AB53" s="317">
        <f t="shared" si="13"/>
        <v>0</v>
      </c>
      <c r="AC53" s="317">
        <f t="shared" si="14"/>
        <v>0</v>
      </c>
      <c r="AD53" s="317">
        <f t="shared" si="15"/>
        <v>0</v>
      </c>
      <c r="AE53" s="317">
        <f t="shared" si="16"/>
        <v>0</v>
      </c>
      <c r="AF53" s="317">
        <f t="shared" si="17"/>
        <v>0</v>
      </c>
      <c r="AG53" s="317">
        <f t="shared" si="18"/>
        <v>0</v>
      </c>
      <c r="AH53" s="317">
        <f t="shared" si="45"/>
        <v>0</v>
      </c>
      <c r="AI53" s="317">
        <f t="shared" si="46"/>
        <v>0</v>
      </c>
      <c r="AJ53" s="317">
        <f t="shared" si="19"/>
        <v>0</v>
      </c>
      <c r="AK53" s="317">
        <f t="shared" si="20"/>
        <v>0</v>
      </c>
      <c r="AL53" s="317">
        <f t="shared" si="21"/>
        <v>0</v>
      </c>
      <c r="AM53" s="317">
        <f t="shared" si="22"/>
        <v>0</v>
      </c>
      <c r="AN53" s="317">
        <f t="shared" si="23"/>
        <v>0</v>
      </c>
      <c r="AO53" s="317">
        <f t="shared" si="24"/>
        <v>0</v>
      </c>
      <c r="AP53" s="317">
        <f t="shared" si="25"/>
        <v>0</v>
      </c>
      <c r="AQ53" s="317">
        <f t="shared" si="26"/>
        <v>0</v>
      </c>
      <c r="AR53" s="317">
        <f t="shared" si="27"/>
        <v>0</v>
      </c>
      <c r="AS53" s="317">
        <f t="shared" si="28"/>
        <v>0</v>
      </c>
      <c r="AT53" s="317">
        <f t="shared" si="29"/>
        <v>0</v>
      </c>
      <c r="AU53" s="317">
        <f t="shared" si="30"/>
        <v>0</v>
      </c>
      <c r="AV53" s="317">
        <f t="shared" si="31"/>
        <v>0</v>
      </c>
      <c r="AW53" s="317">
        <f t="shared" si="32"/>
        <v>0</v>
      </c>
      <c r="AX53" s="317">
        <f t="shared" si="33"/>
        <v>0</v>
      </c>
      <c r="AY53" s="317">
        <f t="shared" si="34"/>
        <v>0</v>
      </c>
      <c r="AZ53" s="317">
        <f t="shared" si="35"/>
        <v>0</v>
      </c>
      <c r="BA53" s="317">
        <f t="shared" si="36"/>
        <v>0</v>
      </c>
      <c r="BB53" s="317">
        <f t="shared" si="37"/>
        <v>0</v>
      </c>
      <c r="BC53" s="317">
        <f t="shared" si="38"/>
        <v>0</v>
      </c>
    </row>
    <row r="54" spans="1:55" s="314" customFormat="1" ht="15" customHeight="1">
      <c r="A54" s="63" t="str">
        <f t="array" ref="A54">IF(C54&lt;&gt;0,SUM(($C$11:C54&lt;&gt;0)*1),"")</f>
        <v/>
      </c>
      <c r="B54" s="315"/>
      <c r="C54" s="315"/>
      <c r="D54" s="315"/>
      <c r="E54" s="370"/>
      <c r="F54" s="371"/>
      <c r="G54" s="372"/>
      <c r="H54" s="372"/>
      <c r="I54" s="63" t="str">
        <f t="shared" si="47"/>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41"/>
        <v>0</v>
      </c>
      <c r="S54" s="317">
        <f t="shared" si="42"/>
        <v>0</v>
      </c>
      <c r="T54" s="317">
        <f t="shared" si="7"/>
        <v>0</v>
      </c>
      <c r="U54" s="317">
        <f t="shared" si="8"/>
        <v>0</v>
      </c>
      <c r="V54" s="317">
        <f t="shared" si="43"/>
        <v>0</v>
      </c>
      <c r="W54" s="317">
        <f t="shared" si="44"/>
        <v>0</v>
      </c>
      <c r="X54" s="317">
        <f t="shared" si="9"/>
        <v>0</v>
      </c>
      <c r="Y54" s="317">
        <f t="shared" si="10"/>
        <v>0</v>
      </c>
      <c r="Z54" s="317">
        <f t="shared" si="11"/>
        <v>0</v>
      </c>
      <c r="AA54" s="317">
        <f t="shared" si="12"/>
        <v>0</v>
      </c>
      <c r="AB54" s="317">
        <f t="shared" si="13"/>
        <v>0</v>
      </c>
      <c r="AC54" s="317">
        <f t="shared" si="14"/>
        <v>0</v>
      </c>
      <c r="AD54" s="317">
        <f t="shared" si="15"/>
        <v>0</v>
      </c>
      <c r="AE54" s="317">
        <f t="shared" si="16"/>
        <v>0</v>
      </c>
      <c r="AF54" s="317">
        <f t="shared" si="17"/>
        <v>0</v>
      </c>
      <c r="AG54" s="317">
        <f t="shared" si="18"/>
        <v>0</v>
      </c>
      <c r="AH54" s="317">
        <f t="shared" si="45"/>
        <v>0</v>
      </c>
      <c r="AI54" s="317">
        <f t="shared" si="46"/>
        <v>0</v>
      </c>
      <c r="AJ54" s="317">
        <f t="shared" si="19"/>
        <v>0</v>
      </c>
      <c r="AK54" s="317">
        <f t="shared" si="20"/>
        <v>0</v>
      </c>
      <c r="AL54" s="317">
        <f t="shared" si="21"/>
        <v>0</v>
      </c>
      <c r="AM54" s="317">
        <f t="shared" si="22"/>
        <v>0</v>
      </c>
      <c r="AN54" s="317">
        <f t="shared" si="23"/>
        <v>0</v>
      </c>
      <c r="AO54" s="317">
        <f t="shared" si="24"/>
        <v>0</v>
      </c>
      <c r="AP54" s="317">
        <f t="shared" si="25"/>
        <v>0</v>
      </c>
      <c r="AQ54" s="317">
        <f t="shared" si="26"/>
        <v>0</v>
      </c>
      <c r="AR54" s="317">
        <f t="shared" si="27"/>
        <v>0</v>
      </c>
      <c r="AS54" s="317">
        <f t="shared" si="28"/>
        <v>0</v>
      </c>
      <c r="AT54" s="317">
        <f t="shared" si="29"/>
        <v>0</v>
      </c>
      <c r="AU54" s="317">
        <f t="shared" si="30"/>
        <v>0</v>
      </c>
      <c r="AV54" s="317">
        <f t="shared" si="31"/>
        <v>0</v>
      </c>
      <c r="AW54" s="317">
        <f t="shared" si="32"/>
        <v>0</v>
      </c>
      <c r="AX54" s="317">
        <f t="shared" si="33"/>
        <v>0</v>
      </c>
      <c r="AY54" s="317">
        <f t="shared" si="34"/>
        <v>0</v>
      </c>
      <c r="AZ54" s="317">
        <f t="shared" si="35"/>
        <v>0</v>
      </c>
      <c r="BA54" s="317">
        <f t="shared" si="36"/>
        <v>0</v>
      </c>
      <c r="BB54" s="317">
        <f t="shared" si="37"/>
        <v>0</v>
      </c>
      <c r="BC54" s="317">
        <f t="shared" si="38"/>
        <v>0</v>
      </c>
    </row>
    <row r="55" spans="1:55" s="314" customFormat="1" ht="15" customHeight="1">
      <c r="A55" s="63" t="str">
        <f t="array" ref="A55">IF(C55&lt;&gt;0,SUM(($C$11:C55&lt;&gt;0)*1),"")</f>
        <v/>
      </c>
      <c r="B55" s="315"/>
      <c r="C55" s="315"/>
      <c r="D55" s="315"/>
      <c r="E55" s="370"/>
      <c r="F55" s="371"/>
      <c r="G55" s="372"/>
      <c r="H55" s="372"/>
      <c r="I55" s="63" t="str">
        <f t="shared" si="47"/>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41"/>
        <v>0</v>
      </c>
      <c r="S55" s="317">
        <f t="shared" si="42"/>
        <v>0</v>
      </c>
      <c r="T55" s="317">
        <f t="shared" si="7"/>
        <v>0</v>
      </c>
      <c r="U55" s="317">
        <f t="shared" si="8"/>
        <v>0</v>
      </c>
      <c r="V55" s="317">
        <f t="shared" si="43"/>
        <v>0</v>
      </c>
      <c r="W55" s="317">
        <f t="shared" si="44"/>
        <v>0</v>
      </c>
      <c r="X55" s="317">
        <f t="shared" si="9"/>
        <v>0</v>
      </c>
      <c r="Y55" s="317">
        <f t="shared" si="10"/>
        <v>0</v>
      </c>
      <c r="Z55" s="317">
        <f t="shared" si="11"/>
        <v>0</v>
      </c>
      <c r="AA55" s="317">
        <f t="shared" si="12"/>
        <v>0</v>
      </c>
      <c r="AB55" s="317">
        <f t="shared" si="13"/>
        <v>0</v>
      </c>
      <c r="AC55" s="317">
        <f t="shared" si="14"/>
        <v>0</v>
      </c>
      <c r="AD55" s="317">
        <f t="shared" si="15"/>
        <v>0</v>
      </c>
      <c r="AE55" s="317">
        <f t="shared" si="16"/>
        <v>0</v>
      </c>
      <c r="AF55" s="317">
        <f t="shared" si="17"/>
        <v>0</v>
      </c>
      <c r="AG55" s="317">
        <f t="shared" si="18"/>
        <v>0</v>
      </c>
      <c r="AH55" s="317">
        <f t="shared" si="45"/>
        <v>0</v>
      </c>
      <c r="AI55" s="317">
        <f t="shared" si="46"/>
        <v>0</v>
      </c>
      <c r="AJ55" s="317">
        <f t="shared" si="19"/>
        <v>0</v>
      </c>
      <c r="AK55" s="317">
        <f t="shared" si="20"/>
        <v>0</v>
      </c>
      <c r="AL55" s="317">
        <f t="shared" si="21"/>
        <v>0</v>
      </c>
      <c r="AM55" s="317">
        <f t="shared" si="22"/>
        <v>0</v>
      </c>
      <c r="AN55" s="317">
        <f t="shared" si="23"/>
        <v>0</v>
      </c>
      <c r="AO55" s="317">
        <f t="shared" si="24"/>
        <v>0</v>
      </c>
      <c r="AP55" s="317">
        <f t="shared" si="25"/>
        <v>0</v>
      </c>
      <c r="AQ55" s="317">
        <f t="shared" si="26"/>
        <v>0</v>
      </c>
      <c r="AR55" s="317">
        <f t="shared" si="27"/>
        <v>0</v>
      </c>
      <c r="AS55" s="317">
        <f t="shared" si="28"/>
        <v>0</v>
      </c>
      <c r="AT55" s="317">
        <f t="shared" si="29"/>
        <v>0</v>
      </c>
      <c r="AU55" s="317">
        <f t="shared" si="30"/>
        <v>0</v>
      </c>
      <c r="AV55" s="317">
        <f t="shared" si="31"/>
        <v>0</v>
      </c>
      <c r="AW55" s="317">
        <f t="shared" si="32"/>
        <v>0</v>
      </c>
      <c r="AX55" s="317">
        <f t="shared" si="33"/>
        <v>0</v>
      </c>
      <c r="AY55" s="317">
        <f t="shared" si="34"/>
        <v>0</v>
      </c>
      <c r="AZ55" s="317">
        <f t="shared" si="35"/>
        <v>0</v>
      </c>
      <c r="BA55" s="317">
        <f t="shared" si="36"/>
        <v>0</v>
      </c>
      <c r="BB55" s="317">
        <f t="shared" si="37"/>
        <v>0</v>
      </c>
      <c r="BC55" s="317">
        <f t="shared" si="38"/>
        <v>0</v>
      </c>
    </row>
    <row r="56" spans="1:55" s="314" customFormat="1" ht="15" customHeight="1">
      <c r="A56" s="63" t="str">
        <f t="array" ref="A56">IF(C56&lt;&gt;0,SUM(($C$11:C56&lt;&gt;0)*1),"")</f>
        <v/>
      </c>
      <c r="B56" s="315"/>
      <c r="C56" s="315"/>
      <c r="D56" s="315"/>
      <c r="E56" s="370"/>
      <c r="F56" s="371"/>
      <c r="G56" s="372"/>
      <c r="H56" s="372"/>
      <c r="I56" s="63" t="str">
        <f t="shared" si="47"/>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41"/>
        <v>0</v>
      </c>
      <c r="S56" s="317">
        <f t="shared" si="42"/>
        <v>0</v>
      </c>
      <c r="T56" s="317">
        <f t="shared" si="7"/>
        <v>0</v>
      </c>
      <c r="U56" s="317">
        <f t="shared" si="8"/>
        <v>0</v>
      </c>
      <c r="V56" s="317">
        <f t="shared" si="43"/>
        <v>0</v>
      </c>
      <c r="W56" s="317">
        <f t="shared" si="44"/>
        <v>0</v>
      </c>
      <c r="X56" s="317">
        <f t="shared" si="9"/>
        <v>0</v>
      </c>
      <c r="Y56" s="317">
        <f t="shared" si="10"/>
        <v>0</v>
      </c>
      <c r="Z56" s="317">
        <f t="shared" si="11"/>
        <v>0</v>
      </c>
      <c r="AA56" s="317">
        <f t="shared" si="12"/>
        <v>0</v>
      </c>
      <c r="AB56" s="317">
        <f t="shared" si="13"/>
        <v>0</v>
      </c>
      <c r="AC56" s="317">
        <f t="shared" si="14"/>
        <v>0</v>
      </c>
      <c r="AD56" s="317">
        <f t="shared" si="15"/>
        <v>0</v>
      </c>
      <c r="AE56" s="317">
        <f t="shared" si="16"/>
        <v>0</v>
      </c>
      <c r="AF56" s="317">
        <f t="shared" si="17"/>
        <v>0</v>
      </c>
      <c r="AG56" s="317">
        <f t="shared" si="18"/>
        <v>0</v>
      </c>
      <c r="AH56" s="317">
        <f t="shared" si="45"/>
        <v>0</v>
      </c>
      <c r="AI56" s="317">
        <f t="shared" si="46"/>
        <v>0</v>
      </c>
      <c r="AJ56" s="317">
        <f t="shared" si="19"/>
        <v>0</v>
      </c>
      <c r="AK56" s="317">
        <f t="shared" si="20"/>
        <v>0</v>
      </c>
      <c r="AL56" s="317">
        <f t="shared" si="21"/>
        <v>0</v>
      </c>
      <c r="AM56" s="317">
        <f t="shared" si="22"/>
        <v>0</v>
      </c>
      <c r="AN56" s="317">
        <f t="shared" si="23"/>
        <v>0</v>
      </c>
      <c r="AO56" s="317">
        <f t="shared" si="24"/>
        <v>0</v>
      </c>
      <c r="AP56" s="317">
        <f t="shared" si="25"/>
        <v>0</v>
      </c>
      <c r="AQ56" s="317">
        <f t="shared" si="26"/>
        <v>0</v>
      </c>
      <c r="AR56" s="317">
        <f t="shared" si="27"/>
        <v>0</v>
      </c>
      <c r="AS56" s="317">
        <f t="shared" si="28"/>
        <v>0</v>
      </c>
      <c r="AT56" s="317">
        <f t="shared" si="29"/>
        <v>0</v>
      </c>
      <c r="AU56" s="317">
        <f t="shared" si="30"/>
        <v>0</v>
      </c>
      <c r="AV56" s="317">
        <f t="shared" si="31"/>
        <v>0</v>
      </c>
      <c r="AW56" s="317">
        <f t="shared" si="32"/>
        <v>0</v>
      </c>
      <c r="AX56" s="317">
        <f t="shared" si="33"/>
        <v>0</v>
      </c>
      <c r="AY56" s="317">
        <f t="shared" si="34"/>
        <v>0</v>
      </c>
      <c r="AZ56" s="317">
        <f t="shared" si="35"/>
        <v>0</v>
      </c>
      <c r="BA56" s="317">
        <f t="shared" si="36"/>
        <v>0</v>
      </c>
      <c r="BB56" s="317">
        <f t="shared" si="37"/>
        <v>0</v>
      </c>
      <c r="BC56" s="317">
        <f t="shared" si="38"/>
        <v>0</v>
      </c>
    </row>
    <row r="57" spans="1:55" s="314" customFormat="1" ht="15" customHeight="1">
      <c r="A57" s="63" t="str">
        <f t="array" ref="A57">IF(C57&lt;&gt;0,SUM(($C$11:C57&lt;&gt;0)*1),"")</f>
        <v/>
      </c>
      <c r="B57" s="315"/>
      <c r="C57" s="315"/>
      <c r="D57" s="315"/>
      <c r="E57" s="370"/>
      <c r="F57" s="371"/>
      <c r="G57" s="372"/>
      <c r="H57" s="372"/>
      <c r="I57" s="63" t="str">
        <f t="shared" si="47"/>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41"/>
        <v>0</v>
      </c>
      <c r="S57" s="317">
        <f t="shared" si="42"/>
        <v>0</v>
      </c>
      <c r="T57" s="317">
        <f t="shared" si="7"/>
        <v>0</v>
      </c>
      <c r="U57" s="317">
        <f t="shared" si="8"/>
        <v>0</v>
      </c>
      <c r="V57" s="317">
        <f t="shared" si="43"/>
        <v>0</v>
      </c>
      <c r="W57" s="317">
        <f t="shared" si="44"/>
        <v>0</v>
      </c>
      <c r="X57" s="317">
        <f t="shared" si="9"/>
        <v>0</v>
      </c>
      <c r="Y57" s="317">
        <f t="shared" si="10"/>
        <v>0</v>
      </c>
      <c r="Z57" s="317">
        <f t="shared" si="11"/>
        <v>0</v>
      </c>
      <c r="AA57" s="317">
        <f t="shared" si="12"/>
        <v>0</v>
      </c>
      <c r="AB57" s="317">
        <f t="shared" si="13"/>
        <v>0</v>
      </c>
      <c r="AC57" s="317">
        <f t="shared" si="14"/>
        <v>0</v>
      </c>
      <c r="AD57" s="317">
        <f t="shared" si="15"/>
        <v>0</v>
      </c>
      <c r="AE57" s="317">
        <f t="shared" si="16"/>
        <v>0</v>
      </c>
      <c r="AF57" s="317">
        <f t="shared" si="17"/>
        <v>0</v>
      </c>
      <c r="AG57" s="317">
        <f t="shared" si="18"/>
        <v>0</v>
      </c>
      <c r="AH57" s="317">
        <f t="shared" si="45"/>
        <v>0</v>
      </c>
      <c r="AI57" s="317">
        <f t="shared" si="46"/>
        <v>0</v>
      </c>
      <c r="AJ57" s="317">
        <f t="shared" si="19"/>
        <v>0</v>
      </c>
      <c r="AK57" s="317">
        <f t="shared" si="20"/>
        <v>0</v>
      </c>
      <c r="AL57" s="317">
        <f t="shared" si="21"/>
        <v>0</v>
      </c>
      <c r="AM57" s="317">
        <f t="shared" si="22"/>
        <v>0</v>
      </c>
      <c r="AN57" s="317">
        <f t="shared" si="23"/>
        <v>0</v>
      </c>
      <c r="AO57" s="317">
        <f t="shared" si="24"/>
        <v>0</v>
      </c>
      <c r="AP57" s="317">
        <f t="shared" si="25"/>
        <v>0</v>
      </c>
      <c r="AQ57" s="317">
        <f t="shared" si="26"/>
        <v>0</v>
      </c>
      <c r="AR57" s="317">
        <f t="shared" si="27"/>
        <v>0</v>
      </c>
      <c r="AS57" s="317">
        <f t="shared" si="28"/>
        <v>0</v>
      </c>
      <c r="AT57" s="317">
        <f t="shared" si="29"/>
        <v>0</v>
      </c>
      <c r="AU57" s="317">
        <f t="shared" si="30"/>
        <v>0</v>
      </c>
      <c r="AV57" s="317">
        <f t="shared" si="31"/>
        <v>0</v>
      </c>
      <c r="AW57" s="317">
        <f t="shared" si="32"/>
        <v>0</v>
      </c>
      <c r="AX57" s="317">
        <f t="shared" si="33"/>
        <v>0</v>
      </c>
      <c r="AY57" s="317">
        <f t="shared" si="34"/>
        <v>0</v>
      </c>
      <c r="AZ57" s="317">
        <f t="shared" si="35"/>
        <v>0</v>
      </c>
      <c r="BA57" s="317">
        <f t="shared" si="36"/>
        <v>0</v>
      </c>
      <c r="BB57" s="317">
        <f t="shared" si="37"/>
        <v>0</v>
      </c>
      <c r="BC57" s="317">
        <f t="shared" si="38"/>
        <v>0</v>
      </c>
    </row>
    <row r="58" spans="1:55" s="314" customFormat="1" ht="15" customHeight="1">
      <c r="A58" s="63" t="str">
        <f t="array" ref="A58">IF(C58&lt;&gt;0,SUM(($C$11:C58&lt;&gt;0)*1),"")</f>
        <v/>
      </c>
      <c r="B58" s="315"/>
      <c r="C58" s="315"/>
      <c r="D58" s="315"/>
      <c r="E58" s="370"/>
      <c r="F58" s="371"/>
      <c r="G58" s="372"/>
      <c r="H58" s="372"/>
      <c r="I58" s="63" t="str">
        <f t="shared" si="47"/>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41"/>
        <v>0</v>
      </c>
      <c r="S58" s="317">
        <f t="shared" si="42"/>
        <v>0</v>
      </c>
      <c r="T58" s="317">
        <f t="shared" si="7"/>
        <v>0</v>
      </c>
      <c r="U58" s="317">
        <f t="shared" si="8"/>
        <v>0</v>
      </c>
      <c r="V58" s="317">
        <f t="shared" si="43"/>
        <v>0</v>
      </c>
      <c r="W58" s="317">
        <f t="shared" si="44"/>
        <v>0</v>
      </c>
      <c r="X58" s="317">
        <f t="shared" si="9"/>
        <v>0</v>
      </c>
      <c r="Y58" s="317">
        <f t="shared" si="10"/>
        <v>0</v>
      </c>
      <c r="Z58" s="317">
        <f t="shared" si="11"/>
        <v>0</v>
      </c>
      <c r="AA58" s="317">
        <f t="shared" si="12"/>
        <v>0</v>
      </c>
      <c r="AB58" s="317">
        <f t="shared" si="13"/>
        <v>0</v>
      </c>
      <c r="AC58" s="317">
        <f t="shared" si="14"/>
        <v>0</v>
      </c>
      <c r="AD58" s="317">
        <f t="shared" si="15"/>
        <v>0</v>
      </c>
      <c r="AE58" s="317">
        <f t="shared" si="16"/>
        <v>0</v>
      </c>
      <c r="AF58" s="317">
        <f t="shared" si="17"/>
        <v>0</v>
      </c>
      <c r="AG58" s="317">
        <f t="shared" si="18"/>
        <v>0</v>
      </c>
      <c r="AH58" s="317">
        <f t="shared" si="45"/>
        <v>0</v>
      </c>
      <c r="AI58" s="317">
        <f t="shared" si="46"/>
        <v>0</v>
      </c>
      <c r="AJ58" s="317">
        <f t="shared" si="19"/>
        <v>0</v>
      </c>
      <c r="AK58" s="317">
        <f t="shared" si="20"/>
        <v>0</v>
      </c>
      <c r="AL58" s="317">
        <f t="shared" si="21"/>
        <v>0</v>
      </c>
      <c r="AM58" s="317">
        <f t="shared" si="22"/>
        <v>0</v>
      </c>
      <c r="AN58" s="317">
        <f t="shared" si="23"/>
        <v>0</v>
      </c>
      <c r="AO58" s="317">
        <f t="shared" si="24"/>
        <v>0</v>
      </c>
      <c r="AP58" s="317">
        <f t="shared" si="25"/>
        <v>0</v>
      </c>
      <c r="AQ58" s="317">
        <f t="shared" si="26"/>
        <v>0</v>
      </c>
      <c r="AR58" s="317">
        <f t="shared" si="27"/>
        <v>0</v>
      </c>
      <c r="AS58" s="317">
        <f t="shared" si="28"/>
        <v>0</v>
      </c>
      <c r="AT58" s="317">
        <f t="shared" si="29"/>
        <v>0</v>
      </c>
      <c r="AU58" s="317">
        <f t="shared" si="30"/>
        <v>0</v>
      </c>
      <c r="AV58" s="317">
        <f t="shared" si="31"/>
        <v>0</v>
      </c>
      <c r="AW58" s="317">
        <f t="shared" si="32"/>
        <v>0</v>
      </c>
      <c r="AX58" s="317">
        <f t="shared" si="33"/>
        <v>0</v>
      </c>
      <c r="AY58" s="317">
        <f t="shared" si="34"/>
        <v>0</v>
      </c>
      <c r="AZ58" s="317">
        <f t="shared" si="35"/>
        <v>0</v>
      </c>
      <c r="BA58" s="317">
        <f t="shared" si="36"/>
        <v>0</v>
      </c>
      <c r="BB58" s="317">
        <f t="shared" si="37"/>
        <v>0</v>
      </c>
      <c r="BC58" s="317">
        <f t="shared" si="38"/>
        <v>0</v>
      </c>
    </row>
    <row r="59" spans="1:55" s="314" customFormat="1" ht="15" customHeight="1">
      <c r="A59" s="63" t="str">
        <f t="array" ref="A59">IF(C59&lt;&gt;0,SUM(($C$11:C59&lt;&gt;0)*1),"")</f>
        <v/>
      </c>
      <c r="B59" s="315"/>
      <c r="C59" s="315"/>
      <c r="D59" s="315"/>
      <c r="E59" s="370"/>
      <c r="F59" s="371"/>
      <c r="G59" s="372"/>
      <c r="H59" s="372"/>
      <c r="I59" s="63" t="str">
        <f t="shared" si="47"/>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41"/>
        <v>0</v>
      </c>
      <c r="S59" s="317">
        <f t="shared" si="42"/>
        <v>0</v>
      </c>
      <c r="T59" s="317">
        <f t="shared" si="7"/>
        <v>0</v>
      </c>
      <c r="U59" s="317">
        <f t="shared" si="8"/>
        <v>0</v>
      </c>
      <c r="V59" s="317">
        <f t="shared" si="43"/>
        <v>0</v>
      </c>
      <c r="W59" s="317">
        <f t="shared" si="44"/>
        <v>0</v>
      </c>
      <c r="X59" s="317">
        <f t="shared" si="9"/>
        <v>0</v>
      </c>
      <c r="Y59" s="317">
        <f t="shared" si="10"/>
        <v>0</v>
      </c>
      <c r="Z59" s="317">
        <f t="shared" si="11"/>
        <v>0</v>
      </c>
      <c r="AA59" s="317">
        <f t="shared" si="12"/>
        <v>0</v>
      </c>
      <c r="AB59" s="317">
        <f t="shared" si="13"/>
        <v>0</v>
      </c>
      <c r="AC59" s="317">
        <f t="shared" si="14"/>
        <v>0</v>
      </c>
      <c r="AD59" s="317">
        <f t="shared" si="15"/>
        <v>0</v>
      </c>
      <c r="AE59" s="317">
        <f t="shared" si="16"/>
        <v>0</v>
      </c>
      <c r="AF59" s="317">
        <f t="shared" si="17"/>
        <v>0</v>
      </c>
      <c r="AG59" s="317">
        <f t="shared" si="18"/>
        <v>0</v>
      </c>
      <c r="AH59" s="317">
        <f t="shared" si="45"/>
        <v>0</v>
      </c>
      <c r="AI59" s="317">
        <f t="shared" si="46"/>
        <v>0</v>
      </c>
      <c r="AJ59" s="317">
        <f t="shared" si="19"/>
        <v>0</v>
      </c>
      <c r="AK59" s="317">
        <f t="shared" si="20"/>
        <v>0</v>
      </c>
      <c r="AL59" s="317">
        <f t="shared" si="21"/>
        <v>0</v>
      </c>
      <c r="AM59" s="317">
        <f t="shared" si="22"/>
        <v>0</v>
      </c>
      <c r="AN59" s="317">
        <f t="shared" si="23"/>
        <v>0</v>
      </c>
      <c r="AO59" s="317">
        <f t="shared" si="24"/>
        <v>0</v>
      </c>
      <c r="AP59" s="317">
        <f t="shared" si="25"/>
        <v>0</v>
      </c>
      <c r="AQ59" s="317">
        <f t="shared" si="26"/>
        <v>0</v>
      </c>
      <c r="AR59" s="317">
        <f t="shared" si="27"/>
        <v>0</v>
      </c>
      <c r="AS59" s="317">
        <f t="shared" si="28"/>
        <v>0</v>
      </c>
      <c r="AT59" s="317">
        <f t="shared" si="29"/>
        <v>0</v>
      </c>
      <c r="AU59" s="317">
        <f t="shared" si="30"/>
        <v>0</v>
      </c>
      <c r="AV59" s="317">
        <f t="shared" si="31"/>
        <v>0</v>
      </c>
      <c r="AW59" s="317">
        <f t="shared" si="32"/>
        <v>0</v>
      </c>
      <c r="AX59" s="317">
        <f t="shared" si="33"/>
        <v>0</v>
      </c>
      <c r="AY59" s="317">
        <f t="shared" si="34"/>
        <v>0</v>
      </c>
      <c r="AZ59" s="317">
        <f t="shared" si="35"/>
        <v>0</v>
      </c>
      <c r="BA59" s="317">
        <f t="shared" si="36"/>
        <v>0</v>
      </c>
      <c r="BB59" s="317">
        <f t="shared" si="37"/>
        <v>0</v>
      </c>
      <c r="BC59" s="317">
        <f t="shared" si="38"/>
        <v>0</v>
      </c>
    </row>
    <row r="60" spans="1:55" s="314" customFormat="1" ht="15" customHeight="1">
      <c r="A60" s="63" t="str">
        <f t="array" ref="A60">IF(C60&lt;&gt;0,SUM(($C$11:C60&lt;&gt;0)*1),"")</f>
        <v/>
      </c>
      <c r="B60" s="315"/>
      <c r="C60" s="315"/>
      <c r="D60" s="315"/>
      <c r="E60" s="370"/>
      <c r="F60" s="371"/>
      <c r="G60" s="372"/>
      <c r="H60" s="372"/>
      <c r="I60" s="63" t="str">
        <f t="shared" si="47"/>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41"/>
        <v>0</v>
      </c>
      <c r="S60" s="317">
        <f t="shared" si="42"/>
        <v>0</v>
      </c>
      <c r="T60" s="317">
        <f t="shared" si="7"/>
        <v>0</v>
      </c>
      <c r="U60" s="317">
        <f t="shared" si="8"/>
        <v>0</v>
      </c>
      <c r="V60" s="317">
        <f t="shared" si="43"/>
        <v>0</v>
      </c>
      <c r="W60" s="317">
        <f t="shared" si="44"/>
        <v>0</v>
      </c>
      <c r="X60" s="317">
        <f t="shared" si="9"/>
        <v>0</v>
      </c>
      <c r="Y60" s="317">
        <f t="shared" si="10"/>
        <v>0</v>
      </c>
      <c r="Z60" s="317">
        <f t="shared" si="11"/>
        <v>0</v>
      </c>
      <c r="AA60" s="317">
        <f t="shared" si="12"/>
        <v>0</v>
      </c>
      <c r="AB60" s="317">
        <f t="shared" si="13"/>
        <v>0</v>
      </c>
      <c r="AC60" s="317">
        <f t="shared" si="14"/>
        <v>0</v>
      </c>
      <c r="AD60" s="317">
        <f t="shared" si="15"/>
        <v>0</v>
      </c>
      <c r="AE60" s="317">
        <f t="shared" si="16"/>
        <v>0</v>
      </c>
      <c r="AF60" s="317">
        <f t="shared" si="17"/>
        <v>0</v>
      </c>
      <c r="AG60" s="317">
        <f t="shared" si="18"/>
        <v>0</v>
      </c>
      <c r="AH60" s="317">
        <f t="shared" si="45"/>
        <v>0</v>
      </c>
      <c r="AI60" s="317">
        <f t="shared" si="46"/>
        <v>0</v>
      </c>
      <c r="AJ60" s="317">
        <f t="shared" si="19"/>
        <v>0</v>
      </c>
      <c r="AK60" s="317">
        <f t="shared" si="20"/>
        <v>0</v>
      </c>
      <c r="AL60" s="317">
        <f t="shared" si="21"/>
        <v>0</v>
      </c>
      <c r="AM60" s="317">
        <f t="shared" si="22"/>
        <v>0</v>
      </c>
      <c r="AN60" s="317">
        <f t="shared" si="23"/>
        <v>0</v>
      </c>
      <c r="AO60" s="317">
        <f t="shared" si="24"/>
        <v>0</v>
      </c>
      <c r="AP60" s="317">
        <f t="shared" si="25"/>
        <v>0</v>
      </c>
      <c r="AQ60" s="317">
        <f t="shared" si="26"/>
        <v>0</v>
      </c>
      <c r="AR60" s="317">
        <f t="shared" si="27"/>
        <v>0</v>
      </c>
      <c r="AS60" s="317">
        <f t="shared" si="28"/>
        <v>0</v>
      </c>
      <c r="AT60" s="317">
        <f t="shared" si="29"/>
        <v>0</v>
      </c>
      <c r="AU60" s="317">
        <f t="shared" si="30"/>
        <v>0</v>
      </c>
      <c r="AV60" s="317">
        <f t="shared" si="31"/>
        <v>0</v>
      </c>
      <c r="AW60" s="317">
        <f t="shared" si="32"/>
        <v>0</v>
      </c>
      <c r="AX60" s="317">
        <f t="shared" si="33"/>
        <v>0</v>
      </c>
      <c r="AY60" s="317">
        <f t="shared" si="34"/>
        <v>0</v>
      </c>
      <c r="AZ60" s="317">
        <f t="shared" si="35"/>
        <v>0</v>
      </c>
      <c r="BA60" s="317">
        <f t="shared" si="36"/>
        <v>0</v>
      </c>
      <c r="BB60" s="317">
        <f t="shared" si="37"/>
        <v>0</v>
      </c>
      <c r="BC60" s="317">
        <f t="shared" si="38"/>
        <v>0</v>
      </c>
    </row>
    <row r="61" spans="1:55" s="314" customFormat="1" ht="15" customHeight="1">
      <c r="A61" s="63" t="str">
        <f t="array" ref="A61">IF(C61&lt;&gt;0,SUM(($C$11:C61&lt;&gt;0)*1),"")</f>
        <v/>
      </c>
      <c r="B61" s="315"/>
      <c r="C61" s="315"/>
      <c r="D61" s="315"/>
      <c r="E61" s="370"/>
      <c r="F61" s="371"/>
      <c r="G61" s="372"/>
      <c r="H61" s="372"/>
      <c r="I61" s="63" t="str">
        <f t="shared" si="47"/>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41"/>
        <v>0</v>
      </c>
      <c r="S61" s="317">
        <f t="shared" si="42"/>
        <v>0</v>
      </c>
      <c r="T61" s="317">
        <f t="shared" si="7"/>
        <v>0</v>
      </c>
      <c r="U61" s="317">
        <f t="shared" si="8"/>
        <v>0</v>
      </c>
      <c r="V61" s="317">
        <f t="shared" si="43"/>
        <v>0</v>
      </c>
      <c r="W61" s="317">
        <f t="shared" si="44"/>
        <v>0</v>
      </c>
      <c r="X61" s="317">
        <f t="shared" si="9"/>
        <v>0</v>
      </c>
      <c r="Y61" s="317">
        <f t="shared" si="10"/>
        <v>0</v>
      </c>
      <c r="Z61" s="317">
        <f t="shared" si="11"/>
        <v>0</v>
      </c>
      <c r="AA61" s="317">
        <f t="shared" si="12"/>
        <v>0</v>
      </c>
      <c r="AB61" s="317">
        <f t="shared" si="13"/>
        <v>0</v>
      </c>
      <c r="AC61" s="317">
        <f t="shared" si="14"/>
        <v>0</v>
      </c>
      <c r="AD61" s="317">
        <f t="shared" si="15"/>
        <v>0</v>
      </c>
      <c r="AE61" s="317">
        <f t="shared" si="16"/>
        <v>0</v>
      </c>
      <c r="AF61" s="317">
        <f t="shared" si="17"/>
        <v>0</v>
      </c>
      <c r="AG61" s="317">
        <f t="shared" si="18"/>
        <v>0</v>
      </c>
      <c r="AH61" s="317">
        <f t="shared" si="45"/>
        <v>0</v>
      </c>
      <c r="AI61" s="317">
        <f t="shared" si="46"/>
        <v>0</v>
      </c>
      <c r="AJ61" s="317">
        <f t="shared" si="19"/>
        <v>0</v>
      </c>
      <c r="AK61" s="317">
        <f t="shared" si="20"/>
        <v>0</v>
      </c>
      <c r="AL61" s="317">
        <f t="shared" si="21"/>
        <v>0</v>
      </c>
      <c r="AM61" s="317">
        <f t="shared" si="22"/>
        <v>0</v>
      </c>
      <c r="AN61" s="317">
        <f t="shared" si="23"/>
        <v>0</v>
      </c>
      <c r="AO61" s="317">
        <f t="shared" si="24"/>
        <v>0</v>
      </c>
      <c r="AP61" s="317">
        <f t="shared" si="25"/>
        <v>0</v>
      </c>
      <c r="AQ61" s="317">
        <f t="shared" si="26"/>
        <v>0</v>
      </c>
      <c r="AR61" s="317">
        <f t="shared" si="27"/>
        <v>0</v>
      </c>
      <c r="AS61" s="317">
        <f t="shared" si="28"/>
        <v>0</v>
      </c>
      <c r="AT61" s="317">
        <f t="shared" si="29"/>
        <v>0</v>
      </c>
      <c r="AU61" s="317">
        <f t="shared" si="30"/>
        <v>0</v>
      </c>
      <c r="AV61" s="317">
        <f t="shared" si="31"/>
        <v>0</v>
      </c>
      <c r="AW61" s="317">
        <f t="shared" si="32"/>
        <v>0</v>
      </c>
      <c r="AX61" s="317">
        <f t="shared" si="33"/>
        <v>0</v>
      </c>
      <c r="AY61" s="317">
        <f t="shared" si="34"/>
        <v>0</v>
      </c>
      <c r="AZ61" s="317">
        <f t="shared" si="35"/>
        <v>0</v>
      </c>
      <c r="BA61" s="317">
        <f t="shared" si="36"/>
        <v>0</v>
      </c>
      <c r="BB61" s="317">
        <f t="shared" si="37"/>
        <v>0</v>
      </c>
      <c r="BC61" s="317">
        <f t="shared" si="38"/>
        <v>0</v>
      </c>
    </row>
    <row r="62" spans="1:55" s="314" customFormat="1" ht="15" customHeight="1">
      <c r="A62" s="63" t="str">
        <f t="array" ref="A62">IF(C62&lt;&gt;0,SUM(($C$11:C62&lt;&gt;0)*1),"")</f>
        <v/>
      </c>
      <c r="B62" s="315"/>
      <c r="C62" s="315"/>
      <c r="D62" s="315"/>
      <c r="E62" s="370"/>
      <c r="F62" s="371"/>
      <c r="G62" s="372"/>
      <c r="H62" s="372"/>
      <c r="I62" s="63" t="str">
        <f t="shared" si="47"/>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41"/>
        <v>0</v>
      </c>
      <c r="S62" s="317">
        <f t="shared" si="42"/>
        <v>0</v>
      </c>
      <c r="T62" s="317">
        <f t="shared" si="7"/>
        <v>0</v>
      </c>
      <c r="U62" s="317">
        <f t="shared" si="8"/>
        <v>0</v>
      </c>
      <c r="V62" s="317">
        <f t="shared" si="43"/>
        <v>0</v>
      </c>
      <c r="W62" s="317">
        <f t="shared" si="44"/>
        <v>0</v>
      </c>
      <c r="X62" s="317">
        <f t="shared" si="9"/>
        <v>0</v>
      </c>
      <c r="Y62" s="317">
        <f t="shared" si="10"/>
        <v>0</v>
      </c>
      <c r="Z62" s="317">
        <f t="shared" si="11"/>
        <v>0</v>
      </c>
      <c r="AA62" s="317">
        <f t="shared" si="12"/>
        <v>0</v>
      </c>
      <c r="AB62" s="317">
        <f t="shared" si="13"/>
        <v>0</v>
      </c>
      <c r="AC62" s="317">
        <f t="shared" si="14"/>
        <v>0</v>
      </c>
      <c r="AD62" s="317">
        <f t="shared" si="15"/>
        <v>0</v>
      </c>
      <c r="AE62" s="317">
        <f t="shared" si="16"/>
        <v>0</v>
      </c>
      <c r="AF62" s="317">
        <f t="shared" si="17"/>
        <v>0</v>
      </c>
      <c r="AG62" s="317">
        <f t="shared" si="18"/>
        <v>0</v>
      </c>
      <c r="AH62" s="317">
        <f t="shared" si="45"/>
        <v>0</v>
      </c>
      <c r="AI62" s="317">
        <f t="shared" si="46"/>
        <v>0</v>
      </c>
      <c r="AJ62" s="317">
        <f t="shared" si="19"/>
        <v>0</v>
      </c>
      <c r="AK62" s="317">
        <f t="shared" si="20"/>
        <v>0</v>
      </c>
      <c r="AL62" s="317">
        <f t="shared" si="21"/>
        <v>0</v>
      </c>
      <c r="AM62" s="317">
        <f t="shared" si="22"/>
        <v>0</v>
      </c>
      <c r="AN62" s="317">
        <f t="shared" si="23"/>
        <v>0</v>
      </c>
      <c r="AO62" s="317">
        <f t="shared" si="24"/>
        <v>0</v>
      </c>
      <c r="AP62" s="317">
        <f t="shared" si="25"/>
        <v>0</v>
      </c>
      <c r="AQ62" s="317">
        <f t="shared" si="26"/>
        <v>0</v>
      </c>
      <c r="AR62" s="317">
        <f t="shared" si="27"/>
        <v>0</v>
      </c>
      <c r="AS62" s="317">
        <f t="shared" si="28"/>
        <v>0</v>
      </c>
      <c r="AT62" s="317">
        <f t="shared" si="29"/>
        <v>0</v>
      </c>
      <c r="AU62" s="317">
        <f t="shared" si="30"/>
        <v>0</v>
      </c>
      <c r="AV62" s="317">
        <f t="shared" si="31"/>
        <v>0</v>
      </c>
      <c r="AW62" s="317">
        <f t="shared" si="32"/>
        <v>0</v>
      </c>
      <c r="AX62" s="317">
        <f t="shared" si="33"/>
        <v>0</v>
      </c>
      <c r="AY62" s="317">
        <f t="shared" si="34"/>
        <v>0</v>
      </c>
      <c r="AZ62" s="317">
        <f t="shared" si="35"/>
        <v>0</v>
      </c>
      <c r="BA62" s="317">
        <f t="shared" si="36"/>
        <v>0</v>
      </c>
      <c r="BB62" s="317">
        <f t="shared" si="37"/>
        <v>0</v>
      </c>
      <c r="BC62" s="317">
        <f t="shared" si="38"/>
        <v>0</v>
      </c>
    </row>
    <row r="63" spans="1:55" s="314" customFormat="1" ht="15" customHeight="1">
      <c r="A63" s="63" t="str">
        <f t="array" ref="A63">IF(C63&lt;&gt;0,SUM(($C$11:C63&lt;&gt;0)*1),"")</f>
        <v/>
      </c>
      <c r="B63" s="315"/>
      <c r="C63" s="315"/>
      <c r="D63" s="315"/>
      <c r="E63" s="370"/>
      <c r="F63" s="371"/>
      <c r="G63" s="372"/>
      <c r="H63" s="372"/>
      <c r="I63" s="63" t="str">
        <f t="shared" si="47"/>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41"/>
        <v>0</v>
      </c>
      <c r="S63" s="317">
        <f t="shared" si="42"/>
        <v>0</v>
      </c>
      <c r="T63" s="317">
        <f t="shared" si="7"/>
        <v>0</v>
      </c>
      <c r="U63" s="317">
        <f t="shared" si="8"/>
        <v>0</v>
      </c>
      <c r="V63" s="317">
        <f t="shared" si="43"/>
        <v>0</v>
      </c>
      <c r="W63" s="317">
        <f t="shared" si="44"/>
        <v>0</v>
      </c>
      <c r="X63" s="317">
        <f t="shared" si="9"/>
        <v>0</v>
      </c>
      <c r="Y63" s="317">
        <f t="shared" si="10"/>
        <v>0</v>
      </c>
      <c r="Z63" s="317">
        <f t="shared" si="11"/>
        <v>0</v>
      </c>
      <c r="AA63" s="317">
        <f t="shared" si="12"/>
        <v>0</v>
      </c>
      <c r="AB63" s="317">
        <f t="shared" si="13"/>
        <v>0</v>
      </c>
      <c r="AC63" s="317">
        <f t="shared" si="14"/>
        <v>0</v>
      </c>
      <c r="AD63" s="317">
        <f t="shared" si="15"/>
        <v>0</v>
      </c>
      <c r="AE63" s="317">
        <f t="shared" si="16"/>
        <v>0</v>
      </c>
      <c r="AF63" s="317">
        <f t="shared" si="17"/>
        <v>0</v>
      </c>
      <c r="AG63" s="317">
        <f t="shared" si="18"/>
        <v>0</v>
      </c>
      <c r="AH63" s="317">
        <f t="shared" si="45"/>
        <v>0</v>
      </c>
      <c r="AI63" s="317">
        <f t="shared" si="46"/>
        <v>0</v>
      </c>
      <c r="AJ63" s="317">
        <f t="shared" si="19"/>
        <v>0</v>
      </c>
      <c r="AK63" s="317">
        <f t="shared" si="20"/>
        <v>0</v>
      </c>
      <c r="AL63" s="317">
        <f t="shared" si="21"/>
        <v>0</v>
      </c>
      <c r="AM63" s="317">
        <f t="shared" si="22"/>
        <v>0</v>
      </c>
      <c r="AN63" s="317">
        <f t="shared" si="23"/>
        <v>0</v>
      </c>
      <c r="AO63" s="317">
        <f t="shared" si="24"/>
        <v>0</v>
      </c>
      <c r="AP63" s="317">
        <f t="shared" si="25"/>
        <v>0</v>
      </c>
      <c r="AQ63" s="317">
        <f t="shared" si="26"/>
        <v>0</v>
      </c>
      <c r="AR63" s="317">
        <f t="shared" si="27"/>
        <v>0</v>
      </c>
      <c r="AS63" s="317">
        <f t="shared" si="28"/>
        <v>0</v>
      </c>
      <c r="AT63" s="317">
        <f t="shared" si="29"/>
        <v>0</v>
      </c>
      <c r="AU63" s="317">
        <f t="shared" si="30"/>
        <v>0</v>
      </c>
      <c r="AV63" s="317">
        <f t="shared" si="31"/>
        <v>0</v>
      </c>
      <c r="AW63" s="317">
        <f t="shared" si="32"/>
        <v>0</v>
      </c>
      <c r="AX63" s="317">
        <f t="shared" si="33"/>
        <v>0</v>
      </c>
      <c r="AY63" s="317">
        <f t="shared" si="34"/>
        <v>0</v>
      </c>
      <c r="AZ63" s="317">
        <f t="shared" si="35"/>
        <v>0</v>
      </c>
      <c r="BA63" s="317">
        <f t="shared" si="36"/>
        <v>0</v>
      </c>
      <c r="BB63" s="317">
        <f t="shared" si="37"/>
        <v>0</v>
      </c>
      <c r="BC63" s="317">
        <f t="shared" si="38"/>
        <v>0</v>
      </c>
    </row>
    <row r="64" spans="1:55" s="314" customFormat="1" ht="15" customHeight="1">
      <c r="A64" s="63" t="str">
        <f t="array" ref="A64">IF(C64&lt;&gt;0,SUM(($C$11:C64&lt;&gt;0)*1),"")</f>
        <v/>
      </c>
      <c r="B64" s="315"/>
      <c r="C64" s="315"/>
      <c r="D64" s="315"/>
      <c r="E64" s="370"/>
      <c r="F64" s="371"/>
      <c r="G64" s="372"/>
      <c r="H64" s="372"/>
      <c r="I64" s="63" t="str">
        <f t="shared" si="47"/>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41"/>
        <v>0</v>
      </c>
      <c r="S64" s="317">
        <f t="shared" si="42"/>
        <v>0</v>
      </c>
      <c r="T64" s="317">
        <f t="shared" si="7"/>
        <v>0</v>
      </c>
      <c r="U64" s="317">
        <f t="shared" si="8"/>
        <v>0</v>
      </c>
      <c r="V64" s="317">
        <f t="shared" si="43"/>
        <v>0</v>
      </c>
      <c r="W64" s="317">
        <f t="shared" si="44"/>
        <v>0</v>
      </c>
      <c r="X64" s="317">
        <f t="shared" si="9"/>
        <v>0</v>
      </c>
      <c r="Y64" s="317">
        <f t="shared" si="10"/>
        <v>0</v>
      </c>
      <c r="Z64" s="317">
        <f t="shared" si="11"/>
        <v>0</v>
      </c>
      <c r="AA64" s="317">
        <f t="shared" si="12"/>
        <v>0</v>
      </c>
      <c r="AB64" s="317">
        <f t="shared" si="13"/>
        <v>0</v>
      </c>
      <c r="AC64" s="317">
        <f t="shared" si="14"/>
        <v>0</v>
      </c>
      <c r="AD64" s="317">
        <f t="shared" si="15"/>
        <v>0</v>
      </c>
      <c r="AE64" s="317">
        <f t="shared" si="16"/>
        <v>0</v>
      </c>
      <c r="AF64" s="317">
        <f t="shared" si="17"/>
        <v>0</v>
      </c>
      <c r="AG64" s="317">
        <f t="shared" si="18"/>
        <v>0</v>
      </c>
      <c r="AH64" s="317">
        <f t="shared" si="45"/>
        <v>0</v>
      </c>
      <c r="AI64" s="317">
        <f t="shared" si="46"/>
        <v>0</v>
      </c>
      <c r="AJ64" s="317">
        <f t="shared" si="19"/>
        <v>0</v>
      </c>
      <c r="AK64" s="317">
        <f t="shared" si="20"/>
        <v>0</v>
      </c>
      <c r="AL64" s="317">
        <f t="shared" si="21"/>
        <v>0</v>
      </c>
      <c r="AM64" s="317">
        <f t="shared" si="22"/>
        <v>0</v>
      </c>
      <c r="AN64" s="317">
        <f t="shared" si="23"/>
        <v>0</v>
      </c>
      <c r="AO64" s="317">
        <f t="shared" si="24"/>
        <v>0</v>
      </c>
      <c r="AP64" s="317">
        <f t="shared" si="25"/>
        <v>0</v>
      </c>
      <c r="AQ64" s="317">
        <f t="shared" si="26"/>
        <v>0</v>
      </c>
      <c r="AR64" s="317">
        <f t="shared" si="27"/>
        <v>0</v>
      </c>
      <c r="AS64" s="317">
        <f t="shared" si="28"/>
        <v>0</v>
      </c>
      <c r="AT64" s="317">
        <f t="shared" si="29"/>
        <v>0</v>
      </c>
      <c r="AU64" s="317">
        <f t="shared" si="30"/>
        <v>0</v>
      </c>
      <c r="AV64" s="317">
        <f t="shared" si="31"/>
        <v>0</v>
      </c>
      <c r="AW64" s="317">
        <f t="shared" si="32"/>
        <v>0</v>
      </c>
      <c r="AX64" s="317">
        <f t="shared" si="33"/>
        <v>0</v>
      </c>
      <c r="AY64" s="317">
        <f t="shared" si="34"/>
        <v>0</v>
      </c>
      <c r="AZ64" s="317">
        <f t="shared" si="35"/>
        <v>0</v>
      </c>
      <c r="BA64" s="317">
        <f t="shared" si="36"/>
        <v>0</v>
      </c>
      <c r="BB64" s="317">
        <f t="shared" si="37"/>
        <v>0</v>
      </c>
      <c r="BC64" s="317">
        <f t="shared" si="38"/>
        <v>0</v>
      </c>
    </row>
    <row r="65" spans="1:55" s="314" customFormat="1" ht="15" customHeight="1">
      <c r="A65" s="63" t="str">
        <f t="array" ref="A65">IF(C65&lt;&gt;0,SUM(($C$11:C65&lt;&gt;0)*1),"")</f>
        <v/>
      </c>
      <c r="B65" s="315"/>
      <c r="C65" s="315"/>
      <c r="D65" s="315"/>
      <c r="E65" s="370"/>
      <c r="F65" s="371"/>
      <c r="G65" s="372"/>
      <c r="H65" s="372"/>
      <c r="I65" s="63" t="str">
        <f t="shared" si="47"/>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41"/>
        <v>0</v>
      </c>
      <c r="S65" s="317">
        <f t="shared" si="42"/>
        <v>0</v>
      </c>
      <c r="T65" s="317">
        <f t="shared" si="7"/>
        <v>0</v>
      </c>
      <c r="U65" s="317">
        <f t="shared" si="8"/>
        <v>0</v>
      </c>
      <c r="V65" s="317">
        <f t="shared" si="43"/>
        <v>0</v>
      </c>
      <c r="W65" s="317">
        <f t="shared" si="44"/>
        <v>0</v>
      </c>
      <c r="X65" s="317">
        <f t="shared" si="9"/>
        <v>0</v>
      </c>
      <c r="Y65" s="317">
        <f t="shared" si="10"/>
        <v>0</v>
      </c>
      <c r="Z65" s="317">
        <f t="shared" si="11"/>
        <v>0</v>
      </c>
      <c r="AA65" s="317">
        <f t="shared" si="12"/>
        <v>0</v>
      </c>
      <c r="AB65" s="317">
        <f t="shared" si="13"/>
        <v>0</v>
      </c>
      <c r="AC65" s="317">
        <f t="shared" si="14"/>
        <v>0</v>
      </c>
      <c r="AD65" s="317">
        <f t="shared" si="15"/>
        <v>0</v>
      </c>
      <c r="AE65" s="317">
        <f t="shared" si="16"/>
        <v>0</v>
      </c>
      <c r="AF65" s="317">
        <f t="shared" si="17"/>
        <v>0</v>
      </c>
      <c r="AG65" s="317">
        <f t="shared" si="18"/>
        <v>0</v>
      </c>
      <c r="AH65" s="317">
        <f t="shared" si="45"/>
        <v>0</v>
      </c>
      <c r="AI65" s="317">
        <f t="shared" si="46"/>
        <v>0</v>
      </c>
      <c r="AJ65" s="317">
        <f t="shared" si="19"/>
        <v>0</v>
      </c>
      <c r="AK65" s="317">
        <f t="shared" si="20"/>
        <v>0</v>
      </c>
      <c r="AL65" s="317">
        <f t="shared" si="21"/>
        <v>0</v>
      </c>
      <c r="AM65" s="317">
        <f t="shared" si="22"/>
        <v>0</v>
      </c>
      <c r="AN65" s="317">
        <f t="shared" si="23"/>
        <v>0</v>
      </c>
      <c r="AO65" s="317">
        <f t="shared" si="24"/>
        <v>0</v>
      </c>
      <c r="AP65" s="317">
        <f t="shared" si="25"/>
        <v>0</v>
      </c>
      <c r="AQ65" s="317">
        <f t="shared" si="26"/>
        <v>0</v>
      </c>
      <c r="AR65" s="317">
        <f t="shared" si="27"/>
        <v>0</v>
      </c>
      <c r="AS65" s="317">
        <f t="shared" si="28"/>
        <v>0</v>
      </c>
      <c r="AT65" s="317">
        <f t="shared" si="29"/>
        <v>0</v>
      </c>
      <c r="AU65" s="317">
        <f t="shared" si="30"/>
        <v>0</v>
      </c>
      <c r="AV65" s="317">
        <f t="shared" si="31"/>
        <v>0</v>
      </c>
      <c r="AW65" s="317">
        <f t="shared" si="32"/>
        <v>0</v>
      </c>
      <c r="AX65" s="317">
        <f t="shared" si="33"/>
        <v>0</v>
      </c>
      <c r="AY65" s="317">
        <f t="shared" si="34"/>
        <v>0</v>
      </c>
      <c r="AZ65" s="317">
        <f t="shared" si="35"/>
        <v>0</v>
      </c>
      <c r="BA65" s="317">
        <f t="shared" si="36"/>
        <v>0</v>
      </c>
      <c r="BB65" s="317">
        <f t="shared" si="37"/>
        <v>0</v>
      </c>
      <c r="BC65" s="317">
        <f t="shared" si="38"/>
        <v>0</v>
      </c>
    </row>
    <row r="66" spans="1:55" s="314" customFormat="1" ht="15" customHeight="1">
      <c r="A66" s="63">
        <f t="array" aca="1" ref="A66" ca="1">IF(C66&lt;&gt;0,SUM(($C$11:C66&lt;&gt;0)*1),"")</f>
        <v>2</v>
      </c>
      <c r="B66" s="315">
        <v>42094</v>
      </c>
      <c r="C66" s="318" t="s">
        <v>150</v>
      </c>
      <c r="D66" s="318">
        <f t="shared" ref="D66:D72" si="48">B66</f>
        <v>42094</v>
      </c>
      <c r="E66" s="319" t="s">
        <v>305</v>
      </c>
      <c r="F66" s="85">
        <f>AN10</f>
        <v>359476733</v>
      </c>
      <c r="G66" s="320" t="s">
        <v>127</v>
      </c>
      <c r="H66" s="320" t="s">
        <v>129</v>
      </c>
      <c r="I66" s="63">
        <f ca="1">A66</f>
        <v>2</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41"/>
        <v>0</v>
      </c>
      <c r="S66" s="317">
        <f t="shared" si="42"/>
        <v>0</v>
      </c>
      <c r="T66" s="317">
        <f t="shared" si="7"/>
        <v>0</v>
      </c>
      <c r="U66" s="317">
        <f t="shared" si="8"/>
        <v>0</v>
      </c>
      <c r="V66" s="317">
        <f t="shared" si="43"/>
        <v>0</v>
      </c>
      <c r="W66" s="317">
        <f t="shared" si="44"/>
        <v>0</v>
      </c>
      <c r="X66" s="317">
        <f t="shared" si="9"/>
        <v>0</v>
      </c>
      <c r="Y66" s="317">
        <f t="shared" si="10"/>
        <v>0</v>
      </c>
      <c r="Z66" s="317">
        <f t="shared" si="11"/>
        <v>0</v>
      </c>
      <c r="AA66" s="317">
        <f t="shared" si="12"/>
        <v>0</v>
      </c>
      <c r="AB66" s="317">
        <f t="shared" si="13"/>
        <v>0</v>
      </c>
      <c r="AC66" s="317">
        <f t="shared" si="14"/>
        <v>0</v>
      </c>
      <c r="AD66" s="317">
        <f t="shared" si="15"/>
        <v>0</v>
      </c>
      <c r="AE66" s="317">
        <f t="shared" si="16"/>
        <v>0</v>
      </c>
      <c r="AF66" s="317">
        <f t="shared" si="17"/>
        <v>0</v>
      </c>
      <c r="AG66" s="317">
        <f t="shared" si="18"/>
        <v>0</v>
      </c>
      <c r="AH66" s="317">
        <f t="shared" si="45"/>
        <v>0</v>
      </c>
      <c r="AI66" s="317">
        <f t="shared" si="46"/>
        <v>0</v>
      </c>
      <c r="AJ66" s="317">
        <f t="shared" si="19"/>
        <v>0</v>
      </c>
      <c r="AK66" s="317">
        <f t="shared" si="20"/>
        <v>0</v>
      </c>
      <c r="AL66" s="317">
        <f t="shared" si="21"/>
        <v>359476733</v>
      </c>
      <c r="AM66" s="317">
        <f t="shared" si="22"/>
        <v>0</v>
      </c>
      <c r="AN66" s="317">
        <f t="shared" si="23"/>
        <v>0</v>
      </c>
      <c r="AO66" s="317">
        <f t="shared" si="24"/>
        <v>359476733</v>
      </c>
      <c r="AP66" s="317">
        <f t="shared" si="25"/>
        <v>0</v>
      </c>
      <c r="AQ66" s="317">
        <f t="shared" si="26"/>
        <v>0</v>
      </c>
      <c r="AR66" s="317">
        <f t="shared" si="27"/>
        <v>0</v>
      </c>
      <c r="AS66" s="317">
        <f t="shared" si="28"/>
        <v>0</v>
      </c>
      <c r="AT66" s="317">
        <f t="shared" si="29"/>
        <v>0</v>
      </c>
      <c r="AU66" s="317">
        <f t="shared" si="30"/>
        <v>0</v>
      </c>
      <c r="AV66" s="317">
        <f t="shared" si="31"/>
        <v>0</v>
      </c>
      <c r="AW66" s="317">
        <f t="shared" si="32"/>
        <v>0</v>
      </c>
      <c r="AX66" s="317">
        <f t="shared" si="33"/>
        <v>0</v>
      </c>
      <c r="AY66" s="317">
        <f t="shared" si="34"/>
        <v>0</v>
      </c>
      <c r="AZ66" s="317">
        <f t="shared" si="35"/>
        <v>0</v>
      </c>
      <c r="BA66" s="317">
        <f t="shared" si="36"/>
        <v>0</v>
      </c>
      <c r="BB66" s="317">
        <f t="shared" si="37"/>
        <v>0</v>
      </c>
      <c r="BC66" s="317">
        <f t="shared" si="38"/>
        <v>0</v>
      </c>
    </row>
    <row r="67" spans="1:55" s="314" customFormat="1" ht="15" customHeight="1">
      <c r="A67" s="63">
        <f t="array" aca="1" ref="A67" ca="1">IF(C67&lt;&gt;0,SUM(($C$11:C67&lt;&gt;0)*1),"")</f>
        <v>3</v>
      </c>
      <c r="B67" s="315">
        <v>42094</v>
      </c>
      <c r="C67" s="318" t="s">
        <v>150</v>
      </c>
      <c r="D67" s="318">
        <f t="shared" si="48"/>
        <v>42094</v>
      </c>
      <c r="E67" s="319" t="s">
        <v>151</v>
      </c>
      <c r="F67" s="85">
        <f ca="1">AR74</f>
        <v>0</v>
      </c>
      <c r="G67" s="320" t="s">
        <v>243</v>
      </c>
      <c r="H67" s="320" t="s">
        <v>134</v>
      </c>
      <c r="I67" s="63">
        <f t="shared" ref="I67:I73" ca="1" si="49">A67</f>
        <v>3</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41"/>
        <v>0</v>
      </c>
      <c r="S67" s="317">
        <f t="shared" si="42"/>
        <v>0</v>
      </c>
      <c r="T67" s="317">
        <f t="shared" si="7"/>
        <v>0</v>
      </c>
      <c r="U67" s="317">
        <f t="shared" si="8"/>
        <v>0</v>
      </c>
      <c r="V67" s="317">
        <f t="shared" ca="1" si="43"/>
        <v>0</v>
      </c>
      <c r="W67" s="317">
        <f t="shared" si="44"/>
        <v>0</v>
      </c>
      <c r="X67" s="317">
        <f t="shared" si="9"/>
        <v>0</v>
      </c>
      <c r="Y67" s="317">
        <f t="shared" si="10"/>
        <v>0</v>
      </c>
      <c r="Z67" s="317">
        <f t="shared" si="11"/>
        <v>0</v>
      </c>
      <c r="AA67" s="317">
        <f t="shared" si="12"/>
        <v>0</v>
      </c>
      <c r="AB67" s="317">
        <f t="shared" si="13"/>
        <v>0</v>
      </c>
      <c r="AC67" s="317">
        <f t="shared" si="14"/>
        <v>0</v>
      </c>
      <c r="AD67" s="317">
        <f t="shared" si="15"/>
        <v>0</v>
      </c>
      <c r="AE67" s="317">
        <f t="shared" si="16"/>
        <v>0</v>
      </c>
      <c r="AF67" s="317">
        <f t="shared" si="17"/>
        <v>0</v>
      </c>
      <c r="AG67" s="317">
        <f t="shared" si="18"/>
        <v>0</v>
      </c>
      <c r="AH67" s="317">
        <f t="shared" si="45"/>
        <v>0</v>
      </c>
      <c r="AI67" s="317">
        <f t="shared" si="46"/>
        <v>0</v>
      </c>
      <c r="AJ67" s="317">
        <f t="shared" si="19"/>
        <v>0</v>
      </c>
      <c r="AK67" s="317">
        <f t="shared" si="20"/>
        <v>0</v>
      </c>
      <c r="AL67" s="317">
        <f t="shared" si="21"/>
        <v>0</v>
      </c>
      <c r="AM67" s="317">
        <f t="shared" si="22"/>
        <v>0</v>
      </c>
      <c r="AN67" s="317">
        <f t="shared" si="23"/>
        <v>0</v>
      </c>
      <c r="AO67" s="317">
        <f t="shared" si="24"/>
        <v>0</v>
      </c>
      <c r="AP67" s="317">
        <f t="shared" si="25"/>
        <v>0</v>
      </c>
      <c r="AQ67" s="317">
        <f t="shared" si="26"/>
        <v>0</v>
      </c>
      <c r="AR67" s="317">
        <f t="shared" si="27"/>
        <v>0</v>
      </c>
      <c r="AS67" s="317">
        <f t="shared" ca="1" si="28"/>
        <v>0</v>
      </c>
      <c r="AT67" s="317">
        <f t="shared" si="29"/>
        <v>0</v>
      </c>
      <c r="AU67" s="317">
        <f t="shared" si="30"/>
        <v>0</v>
      </c>
      <c r="AV67" s="317">
        <f t="shared" si="31"/>
        <v>0</v>
      </c>
      <c r="AW67" s="317">
        <f t="shared" si="32"/>
        <v>0</v>
      </c>
      <c r="AX67" s="317">
        <f t="shared" si="33"/>
        <v>0</v>
      </c>
      <c r="AY67" s="317">
        <f t="shared" si="34"/>
        <v>0</v>
      </c>
      <c r="AZ67" s="317">
        <f t="shared" si="35"/>
        <v>0</v>
      </c>
      <c r="BA67" s="317">
        <f t="shared" si="36"/>
        <v>0</v>
      </c>
      <c r="BB67" s="317">
        <f t="shared" si="37"/>
        <v>0</v>
      </c>
      <c r="BC67" s="317">
        <f t="shared" si="38"/>
        <v>0</v>
      </c>
    </row>
    <row r="68" spans="1:55" s="314" customFormat="1" ht="15" customHeight="1">
      <c r="A68" s="63">
        <f t="array" aca="1" ref="A68" ca="1">IF(C68&lt;&gt;0,SUM(($C$11:C68&lt;&gt;0)*1),"")</f>
        <v>4</v>
      </c>
      <c r="B68" s="315">
        <v>42094</v>
      </c>
      <c r="C68" s="318" t="s">
        <v>150</v>
      </c>
      <c r="D68" s="318">
        <f t="shared" si="48"/>
        <v>42094</v>
      </c>
      <c r="E68" s="319" t="s">
        <v>152</v>
      </c>
      <c r="F68" s="85">
        <f ca="1">AT74</f>
        <v>10490880</v>
      </c>
      <c r="G68" s="320" t="s">
        <v>144</v>
      </c>
      <c r="H68" s="320" t="s">
        <v>136</v>
      </c>
      <c r="I68" s="63">
        <f t="shared" ca="1" si="49"/>
        <v>4</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41"/>
        <v>0</v>
      </c>
      <c r="S68" s="317">
        <f t="shared" si="42"/>
        <v>0</v>
      </c>
      <c r="T68" s="317">
        <f t="shared" si="7"/>
        <v>0</v>
      </c>
      <c r="U68" s="317">
        <f t="shared" si="8"/>
        <v>0</v>
      </c>
      <c r="V68" s="317">
        <f t="shared" si="43"/>
        <v>0</v>
      </c>
      <c r="W68" s="317">
        <f t="shared" si="44"/>
        <v>0</v>
      </c>
      <c r="X68" s="317">
        <f t="shared" si="9"/>
        <v>0</v>
      </c>
      <c r="Y68" s="317">
        <f t="shared" si="10"/>
        <v>0</v>
      </c>
      <c r="Z68" s="317">
        <f t="shared" si="11"/>
        <v>0</v>
      </c>
      <c r="AA68" s="317">
        <f t="shared" si="12"/>
        <v>0</v>
      </c>
      <c r="AB68" s="317">
        <f t="shared" si="13"/>
        <v>0</v>
      </c>
      <c r="AC68" s="317">
        <f t="shared" si="14"/>
        <v>0</v>
      </c>
      <c r="AD68" s="317">
        <f t="shared" si="15"/>
        <v>0</v>
      </c>
      <c r="AE68" s="317">
        <f t="shared" si="16"/>
        <v>0</v>
      </c>
      <c r="AF68" s="317">
        <f t="shared" si="17"/>
        <v>0</v>
      </c>
      <c r="AG68" s="317">
        <f t="shared" si="18"/>
        <v>0</v>
      </c>
      <c r="AH68" s="317">
        <f t="shared" si="45"/>
        <v>0</v>
      </c>
      <c r="AI68" s="317">
        <f t="shared" si="46"/>
        <v>0</v>
      </c>
      <c r="AJ68" s="317">
        <f t="shared" si="19"/>
        <v>0</v>
      </c>
      <c r="AK68" s="317">
        <f t="shared" si="20"/>
        <v>0</v>
      </c>
      <c r="AL68" s="317">
        <f t="shared" si="21"/>
        <v>0</v>
      </c>
      <c r="AM68" s="317">
        <f t="shared" si="22"/>
        <v>0</v>
      </c>
      <c r="AN68" s="317">
        <f t="shared" si="23"/>
        <v>0</v>
      </c>
      <c r="AO68" s="317">
        <f t="shared" si="24"/>
        <v>0</v>
      </c>
      <c r="AP68" s="317">
        <f t="shared" si="25"/>
        <v>0</v>
      </c>
      <c r="AQ68" s="317">
        <f t="shared" si="26"/>
        <v>0</v>
      </c>
      <c r="AR68" s="317">
        <f t="shared" si="27"/>
        <v>0</v>
      </c>
      <c r="AS68" s="317">
        <f t="shared" si="28"/>
        <v>0</v>
      </c>
      <c r="AT68" s="317">
        <f t="shared" si="29"/>
        <v>0</v>
      </c>
      <c r="AU68" s="317">
        <f t="shared" ca="1" si="30"/>
        <v>10490880</v>
      </c>
      <c r="AV68" s="317">
        <f t="shared" si="31"/>
        <v>0</v>
      </c>
      <c r="AW68" s="317">
        <f t="shared" si="32"/>
        <v>0</v>
      </c>
      <c r="AX68" s="317">
        <f t="shared" si="33"/>
        <v>0</v>
      </c>
      <c r="AY68" s="317">
        <f t="shared" si="34"/>
        <v>0</v>
      </c>
      <c r="AZ68" s="317">
        <f t="shared" si="35"/>
        <v>0</v>
      </c>
      <c r="BA68" s="317">
        <f t="shared" si="36"/>
        <v>0</v>
      </c>
      <c r="BB68" s="317">
        <f t="shared" ca="1" si="37"/>
        <v>10490880</v>
      </c>
      <c r="BC68" s="317">
        <f t="shared" si="38"/>
        <v>0</v>
      </c>
    </row>
    <row r="69" spans="1:55" s="314" customFormat="1" ht="15" customHeight="1">
      <c r="A69" s="63">
        <f t="array" aca="1" ref="A69" ca="1">IF(C69&lt;&gt;0,SUM(($C$11:C69&lt;&gt;0)*1),"")</f>
        <v>5</v>
      </c>
      <c r="B69" s="315">
        <v>42094</v>
      </c>
      <c r="C69" s="318" t="s">
        <v>150</v>
      </c>
      <c r="D69" s="318">
        <f t="shared" si="48"/>
        <v>42094</v>
      </c>
      <c r="E69" s="319" t="s">
        <v>306</v>
      </c>
      <c r="F69" s="85">
        <v>2440859</v>
      </c>
      <c r="G69" s="320" t="s">
        <v>129</v>
      </c>
      <c r="H69" s="320" t="s">
        <v>144</v>
      </c>
      <c r="I69" s="63">
        <f t="shared" ca="1" si="49"/>
        <v>5</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41"/>
        <v>0</v>
      </c>
      <c r="S69" s="317">
        <f t="shared" si="42"/>
        <v>0</v>
      </c>
      <c r="T69" s="317">
        <f t="shared" si="7"/>
        <v>0</v>
      </c>
      <c r="U69" s="317">
        <f t="shared" si="8"/>
        <v>0</v>
      </c>
      <c r="V69" s="317">
        <f t="shared" si="43"/>
        <v>0</v>
      </c>
      <c r="W69" s="317">
        <f t="shared" si="44"/>
        <v>0</v>
      </c>
      <c r="X69" s="317">
        <f t="shared" si="9"/>
        <v>0</v>
      </c>
      <c r="Y69" s="317">
        <f t="shared" si="10"/>
        <v>0</v>
      </c>
      <c r="Z69" s="317">
        <f t="shared" si="11"/>
        <v>0</v>
      </c>
      <c r="AA69" s="317">
        <f t="shared" si="12"/>
        <v>0</v>
      </c>
      <c r="AB69" s="317">
        <f t="shared" si="13"/>
        <v>0</v>
      </c>
      <c r="AC69" s="317">
        <f t="shared" si="14"/>
        <v>0</v>
      </c>
      <c r="AD69" s="317">
        <f t="shared" si="15"/>
        <v>0</v>
      </c>
      <c r="AE69" s="317">
        <f t="shared" si="16"/>
        <v>0</v>
      </c>
      <c r="AF69" s="317">
        <f t="shared" si="17"/>
        <v>0</v>
      </c>
      <c r="AG69" s="317">
        <f t="shared" si="18"/>
        <v>0</v>
      </c>
      <c r="AH69" s="317">
        <f t="shared" si="45"/>
        <v>0</v>
      </c>
      <c r="AI69" s="317">
        <f t="shared" si="46"/>
        <v>0</v>
      </c>
      <c r="AJ69" s="317">
        <f t="shared" si="19"/>
        <v>0</v>
      </c>
      <c r="AK69" s="317">
        <f t="shared" si="20"/>
        <v>0</v>
      </c>
      <c r="AL69" s="317">
        <f t="shared" si="21"/>
        <v>0</v>
      </c>
      <c r="AM69" s="317">
        <f t="shared" si="22"/>
        <v>0</v>
      </c>
      <c r="AN69" s="317">
        <f t="shared" si="23"/>
        <v>2440859</v>
      </c>
      <c r="AO69" s="317">
        <f t="shared" si="24"/>
        <v>0</v>
      </c>
      <c r="AP69" s="317">
        <f t="shared" si="25"/>
        <v>0</v>
      </c>
      <c r="AQ69" s="317">
        <f t="shared" si="26"/>
        <v>0</v>
      </c>
      <c r="AR69" s="317">
        <f t="shared" si="27"/>
        <v>0</v>
      </c>
      <c r="AS69" s="317">
        <f t="shared" si="28"/>
        <v>0</v>
      </c>
      <c r="AT69" s="317">
        <f t="shared" si="29"/>
        <v>0</v>
      </c>
      <c r="AU69" s="317">
        <f t="shared" si="30"/>
        <v>0</v>
      </c>
      <c r="AV69" s="317">
        <f t="shared" si="31"/>
        <v>0</v>
      </c>
      <c r="AW69" s="317">
        <f t="shared" si="32"/>
        <v>0</v>
      </c>
      <c r="AX69" s="317">
        <f t="shared" si="33"/>
        <v>0</v>
      </c>
      <c r="AY69" s="317">
        <f t="shared" si="34"/>
        <v>0</v>
      </c>
      <c r="AZ69" s="317">
        <f t="shared" si="35"/>
        <v>0</v>
      </c>
      <c r="BA69" s="317">
        <f t="shared" si="36"/>
        <v>0</v>
      </c>
      <c r="BB69" s="317">
        <f t="shared" si="37"/>
        <v>0</v>
      </c>
      <c r="BC69" s="317">
        <f t="shared" si="38"/>
        <v>2440859</v>
      </c>
    </row>
    <row r="70" spans="1:55" s="314" customFormat="1" ht="15" customHeight="1">
      <c r="A70" s="63">
        <f t="array" aca="1" ref="A70" ca="1">IF(C70&lt;&gt;0,SUM(($C$11:C70&lt;&gt;0)*1),"")</f>
        <v>6</v>
      </c>
      <c r="B70" s="315">
        <v>42094</v>
      </c>
      <c r="C70" s="318" t="s">
        <v>150</v>
      </c>
      <c r="D70" s="318">
        <f t="shared" si="48"/>
        <v>42094</v>
      </c>
      <c r="E70" s="319" t="s">
        <v>154</v>
      </c>
      <c r="F70" s="85">
        <f ca="1">AQ74</f>
        <v>0</v>
      </c>
      <c r="G70" s="320" t="s">
        <v>59</v>
      </c>
      <c r="H70" s="320" t="s">
        <v>144</v>
      </c>
      <c r="I70" s="63">
        <f t="shared" ca="1" si="49"/>
        <v>6</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41"/>
        <v>0</v>
      </c>
      <c r="S70" s="317">
        <f t="shared" si="42"/>
        <v>0</v>
      </c>
      <c r="T70" s="317">
        <f t="shared" si="7"/>
        <v>0</v>
      </c>
      <c r="U70" s="317">
        <f t="shared" si="8"/>
        <v>0</v>
      </c>
      <c r="V70" s="317">
        <f t="shared" si="43"/>
        <v>0</v>
      </c>
      <c r="W70" s="317">
        <f t="shared" si="44"/>
        <v>0</v>
      </c>
      <c r="X70" s="317">
        <f t="shared" si="9"/>
        <v>0</v>
      </c>
      <c r="Y70" s="317">
        <f t="shared" si="10"/>
        <v>0</v>
      </c>
      <c r="Z70" s="317">
        <f t="shared" si="11"/>
        <v>0</v>
      </c>
      <c r="AA70" s="317">
        <f t="shared" si="12"/>
        <v>0</v>
      </c>
      <c r="AB70" s="317">
        <f t="shared" si="13"/>
        <v>0</v>
      </c>
      <c r="AC70" s="317">
        <f t="shared" si="14"/>
        <v>0</v>
      </c>
      <c r="AD70" s="317">
        <f t="shared" si="15"/>
        <v>0</v>
      </c>
      <c r="AE70" s="317">
        <f t="shared" si="16"/>
        <v>0</v>
      </c>
      <c r="AF70" s="317">
        <f t="shared" si="17"/>
        <v>0</v>
      </c>
      <c r="AG70" s="317">
        <f t="shared" si="18"/>
        <v>0</v>
      </c>
      <c r="AH70" s="317">
        <f t="shared" si="45"/>
        <v>0</v>
      </c>
      <c r="AI70" s="317">
        <f t="shared" si="46"/>
        <v>0</v>
      </c>
      <c r="AJ70" s="317">
        <f t="shared" si="19"/>
        <v>0</v>
      </c>
      <c r="AK70" s="317">
        <f t="shared" si="20"/>
        <v>0</v>
      </c>
      <c r="AL70" s="317">
        <f t="shared" si="21"/>
        <v>0</v>
      </c>
      <c r="AM70" s="317">
        <f t="shared" si="22"/>
        <v>0</v>
      </c>
      <c r="AN70" s="317">
        <f t="shared" si="23"/>
        <v>0</v>
      </c>
      <c r="AO70" s="317">
        <f t="shared" si="24"/>
        <v>0</v>
      </c>
      <c r="AP70" s="317">
        <f t="shared" ca="1" si="25"/>
        <v>0</v>
      </c>
      <c r="AQ70" s="317">
        <f t="shared" si="26"/>
        <v>0</v>
      </c>
      <c r="AR70" s="317">
        <f t="shared" si="27"/>
        <v>0</v>
      </c>
      <c r="AS70" s="317">
        <f t="shared" si="28"/>
        <v>0</v>
      </c>
      <c r="AT70" s="317">
        <f t="shared" si="29"/>
        <v>0</v>
      </c>
      <c r="AU70" s="317">
        <f t="shared" si="30"/>
        <v>0</v>
      </c>
      <c r="AV70" s="317">
        <f t="shared" si="31"/>
        <v>0</v>
      </c>
      <c r="AW70" s="317">
        <f t="shared" si="32"/>
        <v>0</v>
      </c>
      <c r="AX70" s="317">
        <f t="shared" si="33"/>
        <v>0</v>
      </c>
      <c r="AY70" s="317">
        <f t="shared" si="34"/>
        <v>0</v>
      </c>
      <c r="AZ70" s="317">
        <f t="shared" si="35"/>
        <v>0</v>
      </c>
      <c r="BA70" s="317">
        <f t="shared" si="36"/>
        <v>0</v>
      </c>
      <c r="BB70" s="317">
        <f t="shared" si="37"/>
        <v>0</v>
      </c>
      <c r="BC70" s="317">
        <f t="shared" ca="1" si="38"/>
        <v>0</v>
      </c>
    </row>
    <row r="71" spans="1:55" s="314" customFormat="1" ht="15" customHeight="1">
      <c r="A71" s="63">
        <f t="array" aca="1" ref="A71" ca="1">IF(C71&lt;&gt;0,SUM(($C$11:C71&lt;&gt;0)*1),"")</f>
        <v>7</v>
      </c>
      <c r="B71" s="315">
        <v>42094</v>
      </c>
      <c r="C71" s="318" t="s">
        <v>150</v>
      </c>
      <c r="D71" s="318">
        <f t="shared" si="48"/>
        <v>42094</v>
      </c>
      <c r="E71" s="319" t="s">
        <v>155</v>
      </c>
      <c r="F71" s="85">
        <f ca="1">AW74</f>
        <v>0</v>
      </c>
      <c r="G71" s="320" t="s">
        <v>138</v>
      </c>
      <c r="H71" s="320" t="s">
        <v>144</v>
      </c>
      <c r="I71" s="63">
        <f t="shared" ca="1" si="49"/>
        <v>7</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41"/>
        <v>0</v>
      </c>
      <c r="S71" s="317">
        <f t="shared" si="42"/>
        <v>0</v>
      </c>
      <c r="T71" s="317">
        <f t="shared" si="7"/>
        <v>0</v>
      </c>
      <c r="U71" s="317">
        <f t="shared" si="8"/>
        <v>0</v>
      </c>
      <c r="V71" s="317">
        <f t="shared" si="43"/>
        <v>0</v>
      </c>
      <c r="W71" s="317">
        <f t="shared" si="44"/>
        <v>0</v>
      </c>
      <c r="X71" s="317">
        <f t="shared" si="9"/>
        <v>0</v>
      </c>
      <c r="Y71" s="317">
        <f t="shared" si="10"/>
        <v>0</v>
      </c>
      <c r="Z71" s="317">
        <f t="shared" si="11"/>
        <v>0</v>
      </c>
      <c r="AA71" s="317">
        <f t="shared" si="12"/>
        <v>0</v>
      </c>
      <c r="AB71" s="317">
        <f t="shared" si="13"/>
        <v>0</v>
      </c>
      <c r="AC71" s="317">
        <f t="shared" si="14"/>
        <v>0</v>
      </c>
      <c r="AD71" s="317">
        <f t="shared" si="15"/>
        <v>0</v>
      </c>
      <c r="AE71" s="317">
        <f t="shared" si="16"/>
        <v>0</v>
      </c>
      <c r="AF71" s="317">
        <f t="shared" si="17"/>
        <v>0</v>
      </c>
      <c r="AG71" s="317">
        <f t="shared" si="18"/>
        <v>0</v>
      </c>
      <c r="AH71" s="317">
        <f t="shared" si="45"/>
        <v>0</v>
      </c>
      <c r="AI71" s="317">
        <f t="shared" si="46"/>
        <v>0</v>
      </c>
      <c r="AJ71" s="317">
        <f t="shared" si="19"/>
        <v>0</v>
      </c>
      <c r="AK71" s="317">
        <f t="shared" si="20"/>
        <v>0</v>
      </c>
      <c r="AL71" s="317">
        <f t="shared" si="21"/>
        <v>0</v>
      </c>
      <c r="AM71" s="317">
        <f t="shared" si="22"/>
        <v>0</v>
      </c>
      <c r="AN71" s="317">
        <f t="shared" si="23"/>
        <v>0</v>
      </c>
      <c r="AO71" s="317">
        <f t="shared" si="24"/>
        <v>0</v>
      </c>
      <c r="AP71" s="317">
        <f t="shared" si="25"/>
        <v>0</v>
      </c>
      <c r="AQ71" s="317">
        <f t="shared" si="26"/>
        <v>0</v>
      </c>
      <c r="AR71" s="317">
        <f t="shared" si="27"/>
        <v>0</v>
      </c>
      <c r="AS71" s="317">
        <f t="shared" si="28"/>
        <v>0</v>
      </c>
      <c r="AT71" s="317">
        <f t="shared" si="29"/>
        <v>0</v>
      </c>
      <c r="AU71" s="317">
        <f t="shared" si="30"/>
        <v>0</v>
      </c>
      <c r="AV71" s="317">
        <f t="shared" ca="1" si="31"/>
        <v>0</v>
      </c>
      <c r="AW71" s="317">
        <f t="shared" si="32"/>
        <v>0</v>
      </c>
      <c r="AX71" s="317">
        <f t="shared" si="33"/>
        <v>0</v>
      </c>
      <c r="AY71" s="317">
        <f t="shared" si="34"/>
        <v>0</v>
      </c>
      <c r="AZ71" s="317">
        <f t="shared" si="35"/>
        <v>0</v>
      </c>
      <c r="BA71" s="317">
        <f t="shared" si="36"/>
        <v>0</v>
      </c>
      <c r="BB71" s="317">
        <f t="shared" si="37"/>
        <v>0</v>
      </c>
      <c r="BC71" s="317">
        <f t="shared" ca="1" si="38"/>
        <v>0</v>
      </c>
    </row>
    <row r="72" spans="1:55" s="314" customFormat="1" ht="15" customHeight="1">
      <c r="A72" s="63">
        <f t="array" aca="1" ref="A72" ca="1">IF(C72&lt;&gt;0,SUM(($C$11:C72&lt;&gt;0)*1),"")</f>
        <v>8</v>
      </c>
      <c r="B72" s="315">
        <v>42094</v>
      </c>
      <c r="C72" s="318" t="s">
        <v>150</v>
      </c>
      <c r="D72" s="318">
        <f t="shared" si="48"/>
        <v>42094</v>
      </c>
      <c r="E72" s="319" t="s">
        <v>156</v>
      </c>
      <c r="F72" s="85">
        <f ca="1">AX74</f>
        <v>0</v>
      </c>
      <c r="G72" s="320" t="s">
        <v>144</v>
      </c>
      <c r="H72" s="320" t="s">
        <v>140</v>
      </c>
      <c r="I72" s="63">
        <f t="shared" ca="1" si="49"/>
        <v>8</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41"/>
        <v>0</v>
      </c>
      <c r="S72" s="317">
        <f t="shared" si="42"/>
        <v>0</v>
      </c>
      <c r="T72" s="317">
        <f t="shared" si="7"/>
        <v>0</v>
      </c>
      <c r="U72" s="317">
        <f t="shared" si="8"/>
        <v>0</v>
      </c>
      <c r="V72" s="317">
        <f t="shared" si="43"/>
        <v>0</v>
      </c>
      <c r="W72" s="317">
        <f t="shared" si="44"/>
        <v>0</v>
      </c>
      <c r="X72" s="317">
        <f t="shared" si="9"/>
        <v>0</v>
      </c>
      <c r="Y72" s="317">
        <f t="shared" si="10"/>
        <v>0</v>
      </c>
      <c r="Z72" s="317">
        <f t="shared" si="11"/>
        <v>0</v>
      </c>
      <c r="AA72" s="317">
        <f t="shared" si="12"/>
        <v>0</v>
      </c>
      <c r="AB72" s="317">
        <f t="shared" si="13"/>
        <v>0</v>
      </c>
      <c r="AC72" s="317">
        <f t="shared" si="14"/>
        <v>0</v>
      </c>
      <c r="AD72" s="317">
        <f t="shared" si="15"/>
        <v>0</v>
      </c>
      <c r="AE72" s="317">
        <f t="shared" si="16"/>
        <v>0</v>
      </c>
      <c r="AF72" s="317">
        <f t="shared" si="17"/>
        <v>0</v>
      </c>
      <c r="AG72" s="317">
        <f t="shared" si="18"/>
        <v>0</v>
      </c>
      <c r="AH72" s="317">
        <f t="shared" si="45"/>
        <v>0</v>
      </c>
      <c r="AI72" s="317">
        <f t="shared" si="46"/>
        <v>0</v>
      </c>
      <c r="AJ72" s="317">
        <f t="shared" si="19"/>
        <v>0</v>
      </c>
      <c r="AK72" s="317">
        <f t="shared" si="20"/>
        <v>0</v>
      </c>
      <c r="AL72" s="317">
        <f t="shared" si="21"/>
        <v>0</v>
      </c>
      <c r="AM72" s="317">
        <f t="shared" si="22"/>
        <v>0</v>
      </c>
      <c r="AN72" s="317">
        <f t="shared" si="23"/>
        <v>0</v>
      </c>
      <c r="AO72" s="317">
        <f t="shared" si="24"/>
        <v>0</v>
      </c>
      <c r="AP72" s="317">
        <f t="shared" si="25"/>
        <v>0</v>
      </c>
      <c r="AQ72" s="317">
        <f t="shared" si="26"/>
        <v>0</v>
      </c>
      <c r="AR72" s="317">
        <f t="shared" si="27"/>
        <v>0</v>
      </c>
      <c r="AS72" s="317">
        <f t="shared" si="28"/>
        <v>0</v>
      </c>
      <c r="AT72" s="317">
        <f t="shared" si="29"/>
        <v>0</v>
      </c>
      <c r="AU72" s="317">
        <f t="shared" si="30"/>
        <v>0</v>
      </c>
      <c r="AV72" s="317">
        <f t="shared" si="31"/>
        <v>0</v>
      </c>
      <c r="AW72" s="317">
        <f t="shared" si="32"/>
        <v>0</v>
      </c>
      <c r="AX72" s="317">
        <f t="shared" si="33"/>
        <v>0</v>
      </c>
      <c r="AY72" s="317">
        <f t="shared" ca="1" si="34"/>
        <v>0</v>
      </c>
      <c r="AZ72" s="317">
        <f t="shared" si="35"/>
        <v>0</v>
      </c>
      <c r="BA72" s="317">
        <f t="shared" si="36"/>
        <v>0</v>
      </c>
      <c r="BB72" s="317">
        <f t="shared" ca="1" si="37"/>
        <v>0</v>
      </c>
      <c r="BC72" s="317">
        <f t="shared" si="38"/>
        <v>0</v>
      </c>
    </row>
    <row r="73" spans="1:55" s="314" customFormat="1" ht="15" customHeight="1">
      <c r="A73" s="63" t="str">
        <f t="array" ref="A73">IF(C73&lt;&gt;0,SUM(($C$11:C73&lt;&gt;0)*1),"")</f>
        <v/>
      </c>
      <c r="B73" s="278"/>
      <c r="C73" s="321"/>
      <c r="D73" s="278"/>
      <c r="E73" s="316"/>
      <c r="F73" s="65"/>
      <c r="G73" s="322"/>
      <c r="H73" s="322"/>
      <c r="I73" s="63" t="str">
        <f t="shared" si="49"/>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41"/>
        <v>0</v>
      </c>
      <c r="S73" s="317">
        <f t="shared" si="42"/>
        <v>0</v>
      </c>
      <c r="T73" s="317">
        <f t="shared" si="7"/>
        <v>0</v>
      </c>
      <c r="U73" s="317">
        <f t="shared" si="8"/>
        <v>0</v>
      </c>
      <c r="V73" s="317">
        <f t="shared" si="43"/>
        <v>0</v>
      </c>
      <c r="W73" s="317">
        <f t="shared" si="44"/>
        <v>0</v>
      </c>
      <c r="X73" s="317">
        <f t="shared" si="9"/>
        <v>0</v>
      </c>
      <c r="Y73" s="317">
        <f t="shared" si="10"/>
        <v>0</v>
      </c>
      <c r="Z73" s="317">
        <f t="shared" si="11"/>
        <v>0</v>
      </c>
      <c r="AA73" s="317">
        <f t="shared" si="12"/>
        <v>0</v>
      </c>
      <c r="AB73" s="317">
        <f t="shared" si="13"/>
        <v>0</v>
      </c>
      <c r="AC73" s="317">
        <f t="shared" si="14"/>
        <v>0</v>
      </c>
      <c r="AD73" s="317">
        <f t="shared" si="15"/>
        <v>0</v>
      </c>
      <c r="AE73" s="317">
        <f t="shared" si="16"/>
        <v>0</v>
      </c>
      <c r="AF73" s="317">
        <f t="shared" si="17"/>
        <v>0</v>
      </c>
      <c r="AG73" s="317">
        <f t="shared" si="18"/>
        <v>0</v>
      </c>
      <c r="AH73" s="317">
        <f t="shared" si="45"/>
        <v>0</v>
      </c>
      <c r="AI73" s="317">
        <f t="shared" si="46"/>
        <v>0</v>
      </c>
      <c r="AJ73" s="317">
        <f t="shared" si="19"/>
        <v>0</v>
      </c>
      <c r="AK73" s="317">
        <f t="shared" si="20"/>
        <v>0</v>
      </c>
      <c r="AL73" s="317">
        <f t="shared" si="21"/>
        <v>0</v>
      </c>
      <c r="AM73" s="317">
        <f t="shared" si="22"/>
        <v>0</v>
      </c>
      <c r="AN73" s="317">
        <f t="shared" si="23"/>
        <v>0</v>
      </c>
      <c r="AO73" s="317">
        <f t="shared" si="24"/>
        <v>0</v>
      </c>
      <c r="AP73" s="317">
        <f t="shared" si="25"/>
        <v>0</v>
      </c>
      <c r="AQ73" s="317">
        <f t="shared" si="26"/>
        <v>0</v>
      </c>
      <c r="AR73" s="317">
        <f t="shared" si="27"/>
        <v>0</v>
      </c>
      <c r="AS73" s="317">
        <f t="shared" si="28"/>
        <v>0</v>
      </c>
      <c r="AT73" s="317">
        <f t="shared" si="29"/>
        <v>0</v>
      </c>
      <c r="AU73" s="317">
        <f t="shared" si="30"/>
        <v>0</v>
      </c>
      <c r="AV73" s="317">
        <f t="shared" si="31"/>
        <v>0</v>
      </c>
      <c r="AW73" s="317">
        <f t="shared" si="32"/>
        <v>0</v>
      </c>
      <c r="AX73" s="317">
        <f t="shared" si="33"/>
        <v>0</v>
      </c>
      <c r="AY73" s="317">
        <f t="shared" si="34"/>
        <v>0</v>
      </c>
      <c r="AZ73" s="317">
        <f t="shared" si="35"/>
        <v>0</v>
      </c>
      <c r="BA73" s="317">
        <f t="shared" si="36"/>
        <v>0</v>
      </c>
      <c r="BB73" s="317">
        <f t="shared" si="37"/>
        <v>0</v>
      </c>
      <c r="BC73" s="317">
        <f t="shared" si="38"/>
        <v>0</v>
      </c>
    </row>
    <row r="74" spans="1:55" s="314" customFormat="1" ht="15" customHeight="1">
      <c r="A74" s="63" t="str">
        <f t="array" ref="A74">IF(C74&lt;&gt;0,SUM(($C$11:C74&lt;&gt;0)*1),"")</f>
        <v/>
      </c>
      <c r="B74" s="323"/>
      <c r="C74" s="323"/>
      <c r="D74" s="323"/>
      <c r="E74" s="316" t="s">
        <v>264</v>
      </c>
      <c r="F74" s="323"/>
      <c r="G74" s="322"/>
      <c r="H74" s="322"/>
      <c r="I74" s="323"/>
      <c r="J74" s="317">
        <f t="shared" ref="J74:BC74" ca="1" si="50">SUM(J11:J73)</f>
        <v>0</v>
      </c>
      <c r="K74" s="317">
        <f t="shared" ca="1" si="50"/>
        <v>0</v>
      </c>
      <c r="L74" s="317">
        <f t="shared" ca="1" si="50"/>
        <v>0</v>
      </c>
      <c r="M74" s="317">
        <f t="shared" ca="1" si="50"/>
        <v>0</v>
      </c>
      <c r="N74" s="317">
        <f ca="1">SUM(N11:N73)</f>
        <v>0</v>
      </c>
      <c r="O74" s="317">
        <f ca="1">SUM(O11:O73)</f>
        <v>0</v>
      </c>
      <c r="P74" s="317">
        <f t="shared" ca="1" si="50"/>
        <v>0</v>
      </c>
      <c r="Q74" s="317">
        <f t="shared" ca="1" si="50"/>
        <v>0</v>
      </c>
      <c r="R74" s="317">
        <f t="shared" si="41"/>
        <v>0</v>
      </c>
      <c r="S74" s="317">
        <f t="shared" si="42"/>
        <v>0</v>
      </c>
      <c r="T74" s="317">
        <f t="shared" ca="1" si="50"/>
        <v>0</v>
      </c>
      <c r="U74" s="317">
        <f t="shared" ca="1" si="50"/>
        <v>0</v>
      </c>
      <c r="V74" s="317">
        <f t="shared" ca="1" si="50"/>
        <v>0</v>
      </c>
      <c r="W74" s="317">
        <f t="shared" ca="1" si="50"/>
        <v>0</v>
      </c>
      <c r="X74" s="317">
        <f t="shared" ca="1" si="50"/>
        <v>0</v>
      </c>
      <c r="Y74" s="317">
        <f t="shared" ca="1" si="50"/>
        <v>10490880</v>
      </c>
      <c r="Z74" s="317">
        <f t="shared" ca="1" si="50"/>
        <v>0</v>
      </c>
      <c r="AA74" s="317">
        <f t="shared" ca="1" si="50"/>
        <v>0</v>
      </c>
      <c r="AB74" s="317">
        <f t="shared" ca="1" si="50"/>
        <v>0</v>
      </c>
      <c r="AC74" s="317">
        <f t="shared" ca="1" si="50"/>
        <v>0</v>
      </c>
      <c r="AD74" s="317">
        <f t="shared" ca="1" si="50"/>
        <v>0</v>
      </c>
      <c r="AE74" s="317">
        <f t="shared" ca="1" si="50"/>
        <v>0</v>
      </c>
      <c r="AF74" s="317">
        <f t="shared" ca="1" si="50"/>
        <v>0</v>
      </c>
      <c r="AG74" s="317">
        <f t="shared" ca="1" si="50"/>
        <v>0</v>
      </c>
      <c r="AH74" s="317">
        <f ca="1">SUM(AH11:AH73)</f>
        <v>0</v>
      </c>
      <c r="AI74" s="317">
        <f ca="1">SUM(AI11:AI73)</f>
        <v>0</v>
      </c>
      <c r="AJ74" s="317">
        <f t="shared" ca="1" si="50"/>
        <v>0</v>
      </c>
      <c r="AK74" s="317">
        <f t="shared" ca="1" si="50"/>
        <v>0</v>
      </c>
      <c r="AL74" s="317">
        <f t="shared" ca="1" si="50"/>
        <v>359476733</v>
      </c>
      <c r="AM74" s="317">
        <f t="shared" ca="1" si="50"/>
        <v>0</v>
      </c>
      <c r="AN74" s="317">
        <f t="shared" ca="1" si="50"/>
        <v>2440859</v>
      </c>
      <c r="AO74" s="317">
        <f t="shared" ca="1" si="50"/>
        <v>359476733</v>
      </c>
      <c r="AP74" s="317">
        <f t="shared" ca="1" si="50"/>
        <v>0</v>
      </c>
      <c r="AQ74" s="317">
        <f t="shared" ca="1" si="50"/>
        <v>0</v>
      </c>
      <c r="AR74" s="317">
        <f t="shared" ca="1" si="50"/>
        <v>0</v>
      </c>
      <c r="AS74" s="317">
        <f t="shared" ca="1" si="50"/>
        <v>0</v>
      </c>
      <c r="AT74" s="317">
        <f t="shared" ca="1" si="50"/>
        <v>10490880</v>
      </c>
      <c r="AU74" s="317">
        <f t="shared" ca="1" si="50"/>
        <v>10490880</v>
      </c>
      <c r="AV74" s="317">
        <f t="shared" ca="1" si="50"/>
        <v>0</v>
      </c>
      <c r="AW74" s="317">
        <f t="shared" ca="1" si="50"/>
        <v>0</v>
      </c>
      <c r="AX74" s="317">
        <f t="shared" ca="1" si="50"/>
        <v>0</v>
      </c>
      <c r="AY74" s="317">
        <f t="shared" ca="1" si="50"/>
        <v>0</v>
      </c>
      <c r="AZ74" s="317">
        <f t="shared" ca="1" si="50"/>
        <v>0</v>
      </c>
      <c r="BA74" s="317">
        <f t="shared" ca="1" si="50"/>
        <v>0</v>
      </c>
      <c r="BB74" s="317">
        <f t="shared" ca="1" si="50"/>
        <v>10490880</v>
      </c>
      <c r="BC74" s="317">
        <f t="shared" ca="1" si="50"/>
        <v>2440859</v>
      </c>
    </row>
    <row r="75" spans="1:55" s="314" customFormat="1" ht="15" customHeight="1">
      <c r="A75" s="324"/>
      <c r="B75" s="324"/>
      <c r="C75" s="324"/>
      <c r="D75" s="324"/>
      <c r="E75" s="325" t="s">
        <v>307</v>
      </c>
      <c r="F75" s="324"/>
      <c r="G75" s="326"/>
      <c r="H75" s="326"/>
      <c r="I75" s="324"/>
      <c r="J75" s="327">
        <f ca="1">MAX(J10+J74-K10-K74,0)</f>
        <v>1342165410</v>
      </c>
      <c r="K75" s="327">
        <f ca="1">MAX(K10+K74-J10-J74,0)</f>
        <v>0</v>
      </c>
      <c r="L75" s="327">
        <f ca="1">MAX(L10+L74-M10-M74,0)</f>
        <v>1694774692</v>
      </c>
      <c r="M75" s="327">
        <f ca="1">MAX(M10+M74-L10-L74,0)</f>
        <v>0</v>
      </c>
      <c r="N75" s="327">
        <f ca="1">MAX(N10+N74-O10-O74,0)</f>
        <v>0</v>
      </c>
      <c r="O75" s="327">
        <f ca="1">MAX(O10+O74-N10-N74,0)</f>
        <v>0</v>
      </c>
      <c r="P75" s="327">
        <f ca="1">MAX(P10+P74-Q10-Q74,0)</f>
        <v>0</v>
      </c>
      <c r="Q75" s="327">
        <f ca="1">MAX(Q10+Q74-P10-P74,0)</f>
        <v>0</v>
      </c>
      <c r="R75" s="327">
        <f>MAX(R10+R74-S10-S74,0)</f>
        <v>452614594</v>
      </c>
      <c r="S75" s="327">
        <f>MAX(S10+S74-R10-R74,0)</f>
        <v>0</v>
      </c>
      <c r="T75" s="327">
        <f ca="1">MAX(T10+T74-U10-U74,0)</f>
        <v>0</v>
      </c>
      <c r="U75" s="327">
        <f ca="1">MAX(U10+U74-T10-T74,0)</f>
        <v>0</v>
      </c>
      <c r="V75" s="327">
        <f ca="1">MAX(V10+V74-W10-W74,0)</f>
        <v>22599987302</v>
      </c>
      <c r="W75" s="327">
        <f ca="1">MAX(W10+W74-V10-V74,0)</f>
        <v>0</v>
      </c>
      <c r="X75" s="327">
        <f ca="1">MAX(X10+X74-Y10-Y74,0)</f>
        <v>4299540884</v>
      </c>
      <c r="Y75" s="327">
        <f ca="1">MAX(Y10+Y74-X10-X74,0)</f>
        <v>0</v>
      </c>
      <c r="Z75" s="327">
        <f ca="1">MAX(Z10+Z74-AA10-AA74,0)</f>
        <v>0</v>
      </c>
      <c r="AA75" s="327">
        <f ca="1">MAX(AA10+AA74-Z10-Z74,0)</f>
        <v>0</v>
      </c>
      <c r="AB75" s="327">
        <f ca="1">MAX(AB10+AB74-AC10-AC74,0)</f>
        <v>0</v>
      </c>
      <c r="AC75" s="327">
        <f ca="1">MAX(AC10+AC74-AB10-AB74,0)</f>
        <v>0</v>
      </c>
      <c r="AD75" s="327">
        <f ca="1">MAX(AD10+AD74-AE10-AE74,0)</f>
        <v>0</v>
      </c>
      <c r="AE75" s="327">
        <f ca="1">MAX(AE10+AE74-AD10-AD74,0)</f>
        <v>5000000000</v>
      </c>
      <c r="AF75" s="327">
        <f ca="1">MAX(AF10+AF74-AG10-AG74,0)</f>
        <v>0</v>
      </c>
      <c r="AG75" s="327">
        <f ca="1">MAX(AG10+AG74-AF10-AF74,0)</f>
        <v>20000000000</v>
      </c>
      <c r="AH75" s="327">
        <f ca="1">MAX(AH10+AH74-AI10-AI74,0)</f>
        <v>0</v>
      </c>
      <c r="AI75" s="327">
        <f ca="1">MAX(AI10+AI74-AH10-AH74,0)</f>
        <v>1982640000</v>
      </c>
      <c r="AJ75" s="327">
        <f ca="1">MAX(AJ10+AJ74-AK10-AK74,0)</f>
        <v>0</v>
      </c>
      <c r="AK75" s="327">
        <f ca="1">MAX(AK10+AK74-AJ10-AJ74,0)</f>
        <v>4000000000</v>
      </c>
      <c r="AL75" s="327">
        <f ca="1">MAX(AL10+AL74-AM10-AM74,0)</f>
        <v>583066238</v>
      </c>
      <c r="AM75" s="327">
        <f ca="1">MAX(AM10+AM74-AL10-AL74,0)</f>
        <v>0</v>
      </c>
      <c r="AN75" s="327">
        <f ca="1">MAX(AN10+AN74-AO10-AO74,0)</f>
        <v>2440859</v>
      </c>
      <c r="AO75" s="327">
        <f ca="1">MAX(AO10+AO74-AN10-AN74,0)</f>
        <v>0</v>
      </c>
      <c r="AP75" s="327">
        <f ca="1">MAX(AP10+AP74-AQ10-AQ74,0)</f>
        <v>0</v>
      </c>
      <c r="AQ75" s="327">
        <f ca="1">MAX(AQ10+AQ74-AP10-AP74,0)</f>
        <v>0</v>
      </c>
      <c r="AR75" s="327">
        <f ca="1">MAX(AR10+AR74-AS10-AS74,0)</f>
        <v>0</v>
      </c>
      <c r="AS75" s="327">
        <f ca="1">MAX(AS10+AS74-AR10-AR74,0)</f>
        <v>0</v>
      </c>
      <c r="AT75" s="327">
        <f ca="1">MAX(AT10+AT74-AU10-AU74,0)</f>
        <v>0</v>
      </c>
      <c r="AU75" s="327">
        <f ca="1">MAX(AU10+AU74-AT10-AT74,0)</f>
        <v>0</v>
      </c>
      <c r="AV75" s="327">
        <f ca="1">MAX(AV10+AV74-AW10-AW74,0)</f>
        <v>0</v>
      </c>
      <c r="AW75" s="327">
        <f ca="1">MAX(AW10+AW74-AV10-AV74,0)</f>
        <v>0</v>
      </c>
      <c r="AX75" s="327">
        <f ca="1">MAX(AX10+AX74-AY10-AY74,0)</f>
        <v>0</v>
      </c>
      <c r="AY75" s="327">
        <f ca="1">MAX(AY10+AY74-AX10-AX74,0)</f>
        <v>0</v>
      </c>
      <c r="AZ75" s="327">
        <f ca="1">MAX(AZ10+AZ74-BA10-BA74,0)</f>
        <v>0</v>
      </c>
      <c r="BA75" s="327">
        <f ca="1">MAX(BA10+BA74-AZ10-AZ74,0)</f>
        <v>0</v>
      </c>
      <c r="BB75" s="327">
        <f ca="1">MAX(BB10+BB74-BC10-BC74,0)</f>
        <v>8050021</v>
      </c>
      <c r="BC75" s="327">
        <f ca="1">MAX(BC10+BC74-BB10-BB74,0)</f>
        <v>0</v>
      </c>
    </row>
    <row r="76" spans="1:55" s="314" customFormat="1" ht="15" customHeight="1">
      <c r="A76" s="328"/>
      <c r="B76" s="328"/>
      <c r="C76" s="329"/>
      <c r="D76" s="328"/>
      <c r="E76" s="330" t="s">
        <v>308</v>
      </c>
      <c r="F76" s="328"/>
      <c r="G76" s="331"/>
      <c r="H76" s="331"/>
      <c r="I76" s="328"/>
      <c r="J76" s="332">
        <f ca="1">J74</f>
        <v>0</v>
      </c>
      <c r="K76" s="332">
        <f ca="1">K74</f>
        <v>0</v>
      </c>
      <c r="L76" s="332">
        <f t="shared" ref="L76:BC76" ca="1" si="51">L74</f>
        <v>0</v>
      </c>
      <c r="M76" s="332">
        <f t="shared" ca="1" si="51"/>
        <v>0</v>
      </c>
      <c r="N76" s="332">
        <f ca="1">N74</f>
        <v>0</v>
      </c>
      <c r="O76" s="332">
        <f ca="1">O74</f>
        <v>0</v>
      </c>
      <c r="P76" s="332">
        <f t="shared" ca="1" si="51"/>
        <v>0</v>
      </c>
      <c r="Q76" s="332">
        <f t="shared" ca="1" si="51"/>
        <v>0</v>
      </c>
      <c r="R76" s="332">
        <f t="shared" ref="R76:S76" si="52">R74</f>
        <v>0</v>
      </c>
      <c r="S76" s="332">
        <f t="shared" si="52"/>
        <v>0</v>
      </c>
      <c r="T76" s="332">
        <f t="shared" ca="1" si="51"/>
        <v>0</v>
      </c>
      <c r="U76" s="332">
        <f t="shared" ca="1" si="51"/>
        <v>0</v>
      </c>
      <c r="V76" s="332">
        <f t="shared" ca="1" si="51"/>
        <v>0</v>
      </c>
      <c r="W76" s="332">
        <f t="shared" ca="1" si="51"/>
        <v>0</v>
      </c>
      <c r="X76" s="332">
        <f t="shared" ca="1" si="51"/>
        <v>0</v>
      </c>
      <c r="Y76" s="332">
        <f t="shared" ca="1" si="51"/>
        <v>10490880</v>
      </c>
      <c r="Z76" s="332">
        <f t="shared" ca="1" si="51"/>
        <v>0</v>
      </c>
      <c r="AA76" s="332">
        <f t="shared" ca="1" si="51"/>
        <v>0</v>
      </c>
      <c r="AB76" s="332">
        <f t="shared" ca="1" si="51"/>
        <v>0</v>
      </c>
      <c r="AC76" s="332">
        <f t="shared" ca="1" si="51"/>
        <v>0</v>
      </c>
      <c r="AD76" s="332">
        <f ca="1">AD74</f>
        <v>0</v>
      </c>
      <c r="AE76" s="332">
        <f t="shared" ca="1" si="51"/>
        <v>0</v>
      </c>
      <c r="AF76" s="332">
        <f t="shared" ca="1" si="51"/>
        <v>0</v>
      </c>
      <c r="AG76" s="332">
        <f t="shared" ca="1" si="51"/>
        <v>0</v>
      </c>
      <c r="AH76" s="332">
        <f ca="1">AH74</f>
        <v>0</v>
      </c>
      <c r="AI76" s="332">
        <f ca="1">AI74</f>
        <v>0</v>
      </c>
      <c r="AJ76" s="332">
        <f t="shared" ca="1" si="51"/>
        <v>0</v>
      </c>
      <c r="AK76" s="332">
        <f t="shared" ca="1" si="51"/>
        <v>0</v>
      </c>
      <c r="AL76" s="332">
        <f t="shared" ca="1" si="51"/>
        <v>359476733</v>
      </c>
      <c r="AM76" s="332">
        <f t="shared" ca="1" si="51"/>
        <v>0</v>
      </c>
      <c r="AN76" s="332">
        <f t="shared" ca="1" si="51"/>
        <v>2440859</v>
      </c>
      <c r="AO76" s="332">
        <f t="shared" ca="1" si="51"/>
        <v>359476733</v>
      </c>
      <c r="AP76" s="332">
        <f t="shared" ca="1" si="51"/>
        <v>0</v>
      </c>
      <c r="AQ76" s="332">
        <f t="shared" ca="1" si="51"/>
        <v>0</v>
      </c>
      <c r="AR76" s="332">
        <f t="shared" ca="1" si="51"/>
        <v>0</v>
      </c>
      <c r="AS76" s="332">
        <f t="shared" ca="1" si="51"/>
        <v>0</v>
      </c>
      <c r="AT76" s="332">
        <f t="shared" ca="1" si="51"/>
        <v>10490880</v>
      </c>
      <c r="AU76" s="332">
        <f t="shared" ca="1" si="51"/>
        <v>10490880</v>
      </c>
      <c r="AV76" s="332">
        <f t="shared" ca="1" si="51"/>
        <v>0</v>
      </c>
      <c r="AW76" s="332">
        <f t="shared" ca="1" si="51"/>
        <v>0</v>
      </c>
      <c r="AX76" s="332">
        <f t="shared" ca="1" si="51"/>
        <v>0</v>
      </c>
      <c r="AY76" s="332">
        <f t="shared" ca="1" si="51"/>
        <v>0</v>
      </c>
      <c r="AZ76" s="332">
        <f ca="1">AZ74</f>
        <v>0</v>
      </c>
      <c r="BA76" s="332">
        <f ca="1">BA74</f>
        <v>0</v>
      </c>
      <c r="BB76" s="332">
        <f t="shared" ca="1" si="51"/>
        <v>10490880</v>
      </c>
      <c r="BC76" s="332">
        <f t="shared" ca="1" si="51"/>
        <v>2440859</v>
      </c>
    </row>
    <row r="77" spans="1:55" ht="12" customHeight="1">
      <c r="B77" s="333"/>
      <c r="C77" s="334"/>
      <c r="D77" s="334"/>
      <c r="E77" s="334"/>
      <c r="F77" s="334"/>
      <c r="G77" s="335"/>
      <c r="H77" s="335"/>
      <c r="I77" s="334"/>
      <c r="J77" s="334"/>
      <c r="K77" s="334"/>
    </row>
    <row r="78" spans="1:55">
      <c r="F78" s="336"/>
      <c r="M78" s="336"/>
      <c r="O78" s="336"/>
      <c r="Q78" s="336"/>
      <c r="S78" s="336"/>
      <c r="T78" s="336"/>
      <c r="U78" s="336"/>
      <c r="V78" s="336"/>
      <c r="W78" s="336"/>
      <c r="X78" s="336"/>
      <c r="AP78" s="337" t="s">
        <v>309</v>
      </c>
      <c r="AQ78" s="338"/>
      <c r="AR78" s="338"/>
      <c r="AS78" s="338"/>
      <c r="AT78" s="339"/>
      <c r="AU78" s="339"/>
      <c r="AV78" s="338"/>
    </row>
    <row r="79" spans="1:55">
      <c r="F79" s="336"/>
      <c r="M79" s="336"/>
      <c r="O79" s="336"/>
      <c r="Q79" s="336"/>
      <c r="S79" s="336"/>
      <c r="T79" s="336"/>
      <c r="U79" s="336"/>
      <c r="V79" s="336"/>
      <c r="W79" s="336"/>
      <c r="X79" s="336"/>
      <c r="AP79" s="340" t="s">
        <v>310</v>
      </c>
      <c r="AQ79" s="338"/>
      <c r="AR79" s="338"/>
      <c r="AS79" s="338"/>
      <c r="AT79" s="339"/>
      <c r="AU79" s="339"/>
      <c r="AV79" s="338"/>
    </row>
    <row r="80" spans="1:55">
      <c r="F80" s="336"/>
      <c r="M80" s="336"/>
      <c r="O80" s="336"/>
      <c r="Q80" s="336"/>
      <c r="S80" s="336"/>
      <c r="T80" s="336"/>
      <c r="U80" s="336"/>
      <c r="V80" s="336"/>
      <c r="W80" s="336"/>
      <c r="X80" s="336"/>
      <c r="AP80" s="338"/>
      <c r="AQ80" s="338"/>
      <c r="AR80" s="338"/>
      <c r="AS80" s="338"/>
      <c r="AT80" s="338"/>
      <c r="AU80" s="338"/>
      <c r="AV80" s="339"/>
    </row>
    <row r="81" spans="6:54">
      <c r="F81" s="336"/>
      <c r="AP81" s="338"/>
      <c r="AQ81" s="338"/>
      <c r="AR81" s="338"/>
      <c r="AS81" s="338"/>
      <c r="AT81" s="338"/>
      <c r="AU81" s="338"/>
      <c r="AV81" s="339"/>
      <c r="BB81" s="341" t="str">
        <f>"Ngày 31 tháng 03 năm 2015 "</f>
        <v xml:space="preserve">Ngày 31 tháng 03 năm 2015 </v>
      </c>
    </row>
    <row r="82" spans="6:54">
      <c r="F82" s="336"/>
      <c r="M82" s="336"/>
      <c r="O82" s="336"/>
      <c r="Q82" s="336"/>
      <c r="S82" s="336"/>
      <c r="T82" s="336"/>
      <c r="U82" s="336"/>
      <c r="V82" s="336"/>
      <c r="W82" s="336"/>
      <c r="X82" s="336"/>
      <c r="AP82" s="338"/>
      <c r="AQ82" s="342" t="s">
        <v>14</v>
      </c>
      <c r="AR82" s="338"/>
      <c r="AS82" s="338"/>
      <c r="AT82" s="338"/>
      <c r="AU82" s="343" t="s">
        <v>15</v>
      </c>
      <c r="AV82" s="339"/>
      <c r="BB82" s="342" t="s">
        <v>206</v>
      </c>
    </row>
    <row r="83" spans="6:54">
      <c r="F83" s="336"/>
      <c r="M83" s="336"/>
      <c r="O83" s="336"/>
      <c r="Q83" s="336"/>
      <c r="S83" s="336"/>
      <c r="T83" s="336"/>
      <c r="U83" s="336"/>
      <c r="V83" s="336"/>
      <c r="W83" s="336"/>
      <c r="X83" s="336"/>
      <c r="AP83" s="338"/>
      <c r="AQ83" s="344" t="s">
        <v>16</v>
      </c>
      <c r="AR83" s="338"/>
      <c r="AS83" s="338"/>
      <c r="AT83" s="338"/>
      <c r="AU83" s="345" t="s">
        <v>16</v>
      </c>
      <c r="AV83" s="339"/>
      <c r="BB83" s="344" t="s">
        <v>241</v>
      </c>
    </row>
    <row r="84" spans="6:54">
      <c r="F84" s="336"/>
      <c r="M84" s="336"/>
      <c r="O84" s="336"/>
      <c r="Q84" s="336"/>
      <c r="S84" s="336"/>
      <c r="T84" s="336"/>
      <c r="U84" s="336"/>
      <c r="V84" s="336"/>
      <c r="W84" s="336"/>
      <c r="X84" s="336"/>
      <c r="AN84" s="338"/>
      <c r="AO84" s="338"/>
      <c r="AP84" s="338"/>
      <c r="AQ84" s="338"/>
      <c r="AR84" s="338"/>
      <c r="AS84" s="338"/>
      <c r="AT84" s="338"/>
      <c r="AU84" s="338"/>
      <c r="AV84" s="339"/>
      <c r="BB84" s="338"/>
    </row>
    <row r="85" spans="6:54">
      <c r="F85" s="336"/>
      <c r="M85" s="336"/>
      <c r="O85" s="336"/>
      <c r="Q85" s="336"/>
      <c r="S85" s="336"/>
      <c r="T85" s="336"/>
      <c r="U85" s="336"/>
      <c r="V85" s="336"/>
      <c r="W85" s="336"/>
      <c r="X85" s="336"/>
      <c r="BB85" s="338"/>
    </row>
    <row r="86" spans="6:54">
      <c r="F86" s="336"/>
      <c r="M86" s="336"/>
      <c r="O86" s="336"/>
      <c r="Q86" s="336"/>
      <c r="S86" s="336"/>
      <c r="T86" s="336"/>
      <c r="U86" s="336"/>
      <c r="V86" s="336"/>
      <c r="W86" s="336"/>
      <c r="X86" s="336"/>
    </row>
    <row r="87" spans="6:54">
      <c r="F87" s="336"/>
      <c r="M87" s="336"/>
      <c r="O87" s="336"/>
      <c r="Q87" s="336"/>
      <c r="S87" s="336"/>
      <c r="T87" s="336"/>
      <c r="U87" s="336"/>
      <c r="V87" s="336"/>
      <c r="W87" s="336"/>
      <c r="X87" s="336"/>
    </row>
    <row r="88" spans="6:54">
      <c r="F88" s="336"/>
    </row>
    <row r="89" spans="6:54">
      <c r="F89" s="336"/>
      <c r="M89" s="336"/>
      <c r="O89" s="336"/>
      <c r="Q89" s="336"/>
      <c r="S89" s="336"/>
      <c r="T89" s="336"/>
      <c r="U89" s="336"/>
      <c r="V89" s="336"/>
      <c r="W89" s="336"/>
      <c r="X89" s="336"/>
    </row>
    <row r="90" spans="6:54">
      <c r="F90" s="336"/>
      <c r="M90" s="336"/>
      <c r="O90" s="336"/>
      <c r="Q90" s="336"/>
      <c r="S90" s="336"/>
      <c r="T90" s="336"/>
      <c r="U90" s="336"/>
      <c r="V90" s="336"/>
      <c r="W90" s="336"/>
      <c r="X90" s="336"/>
    </row>
    <row r="91" spans="6:54">
      <c r="F91" s="336"/>
      <c r="M91" s="336"/>
      <c r="O91" s="336"/>
      <c r="Q91" s="336"/>
      <c r="S91" s="336"/>
      <c r="T91" s="336"/>
      <c r="U91" s="336"/>
      <c r="V91" s="336"/>
      <c r="W91" s="336"/>
      <c r="X91" s="336"/>
    </row>
    <row r="92" spans="6:54">
      <c r="F92" s="336"/>
      <c r="M92" s="336"/>
      <c r="O92" s="336"/>
      <c r="Q92" s="336"/>
      <c r="S92" s="336"/>
      <c r="T92" s="336"/>
      <c r="U92" s="336"/>
      <c r="V92" s="336"/>
      <c r="W92" s="336"/>
      <c r="X92" s="336"/>
    </row>
    <row r="93" spans="6:54">
      <c r="F93" s="336"/>
      <c r="M93" s="336"/>
      <c r="O93" s="336"/>
      <c r="Q93" s="336"/>
      <c r="S93" s="336"/>
      <c r="T93" s="336"/>
      <c r="U93" s="336"/>
      <c r="V93" s="336"/>
      <c r="W93" s="336"/>
      <c r="X93" s="336"/>
    </row>
    <row r="94" spans="6:54">
      <c r="F94" s="336"/>
      <c r="M94" s="336"/>
      <c r="O94" s="336"/>
      <c r="Q94" s="336"/>
      <c r="S94" s="336"/>
      <c r="T94" s="336"/>
      <c r="U94" s="336"/>
      <c r="V94" s="336"/>
      <c r="W94" s="336"/>
      <c r="X94" s="336"/>
    </row>
    <row r="95" spans="6:54">
      <c r="F95" s="336"/>
      <c r="M95" s="336"/>
      <c r="O95" s="336"/>
      <c r="Q95" s="336"/>
      <c r="S95" s="336"/>
      <c r="T95" s="336"/>
      <c r="U95" s="336"/>
      <c r="V95" s="336"/>
      <c r="W95" s="336"/>
      <c r="X95" s="336"/>
    </row>
    <row r="96" spans="6:54">
      <c r="F96" s="336"/>
      <c r="M96" s="336"/>
      <c r="O96" s="336"/>
      <c r="Q96" s="336"/>
      <c r="S96" s="336"/>
      <c r="T96" s="336"/>
      <c r="U96" s="336"/>
      <c r="V96" s="336"/>
      <c r="W96" s="336"/>
      <c r="X96" s="336"/>
    </row>
    <row r="97" spans="6:24">
      <c r="F97" s="336"/>
      <c r="M97" s="336"/>
      <c r="O97" s="336"/>
      <c r="Q97" s="336"/>
      <c r="S97" s="336"/>
      <c r="T97" s="336"/>
      <c r="U97" s="336"/>
      <c r="V97" s="336"/>
      <c r="W97" s="336"/>
      <c r="X97" s="336"/>
    </row>
    <row r="98" spans="6:24">
      <c r="F98" s="336"/>
      <c r="M98" s="336"/>
      <c r="O98" s="336"/>
      <c r="Q98" s="336"/>
      <c r="S98" s="336"/>
      <c r="T98" s="336"/>
      <c r="U98" s="336"/>
      <c r="V98" s="336"/>
      <c r="W98" s="336"/>
      <c r="X98" s="336"/>
    </row>
    <row r="99" spans="6:24">
      <c r="F99" s="336"/>
      <c r="M99" s="336"/>
      <c r="O99" s="336"/>
      <c r="Q99" s="336"/>
      <c r="S99" s="336"/>
      <c r="T99" s="336"/>
      <c r="U99" s="336"/>
      <c r="V99" s="336"/>
      <c r="W99" s="336"/>
      <c r="X99" s="336"/>
    </row>
    <row r="100" spans="6:24">
      <c r="F100" s="336"/>
      <c r="M100" s="336"/>
      <c r="O100" s="336"/>
      <c r="Q100" s="336"/>
      <c r="S100" s="336"/>
      <c r="T100" s="336"/>
      <c r="U100" s="336"/>
      <c r="V100" s="336"/>
      <c r="W100" s="336"/>
      <c r="X100" s="336"/>
    </row>
    <row r="101" spans="6:24">
      <c r="F101" s="336"/>
      <c r="M101" s="336"/>
      <c r="O101" s="336"/>
      <c r="Q101" s="336"/>
      <c r="S101" s="336"/>
      <c r="T101" s="336"/>
      <c r="U101" s="336"/>
      <c r="V101" s="336"/>
      <c r="W101" s="336"/>
      <c r="X101" s="336"/>
    </row>
    <row r="102" spans="6:24">
      <c r="F102" s="336"/>
      <c r="M102" s="336"/>
      <c r="O102" s="336"/>
      <c r="Q102" s="336"/>
      <c r="S102" s="336"/>
      <c r="T102" s="336"/>
      <c r="U102" s="336"/>
      <c r="V102" s="336"/>
      <c r="W102" s="336"/>
      <c r="X102" s="336"/>
    </row>
    <row r="103" spans="6:24">
      <c r="F103" s="336"/>
      <c r="M103" s="336"/>
      <c r="O103" s="336"/>
      <c r="Q103" s="336"/>
      <c r="S103" s="336"/>
      <c r="T103" s="336"/>
      <c r="U103" s="336"/>
      <c r="V103" s="336"/>
      <c r="W103" s="336"/>
      <c r="X103" s="336"/>
    </row>
    <row r="104" spans="6:24">
      <c r="F104" s="336"/>
      <c r="M104" s="336"/>
      <c r="O104" s="336"/>
      <c r="Q104" s="336"/>
      <c r="S104" s="336"/>
      <c r="T104" s="336"/>
      <c r="U104" s="336"/>
      <c r="V104" s="336"/>
      <c r="W104" s="336"/>
      <c r="X104" s="336"/>
    </row>
    <row r="105" spans="6:24">
      <c r="F105" s="336"/>
      <c r="M105" s="336"/>
      <c r="O105" s="336"/>
      <c r="Q105" s="336"/>
      <c r="S105" s="336"/>
      <c r="T105" s="336"/>
      <c r="U105" s="336"/>
      <c r="V105" s="336"/>
      <c r="W105" s="336"/>
      <c r="X105" s="336"/>
    </row>
    <row r="106" spans="6:24">
      <c r="F106" s="336"/>
      <c r="M106" s="336"/>
      <c r="O106" s="336"/>
      <c r="Q106" s="336"/>
      <c r="S106" s="336"/>
      <c r="T106" s="336"/>
      <c r="U106" s="336"/>
      <c r="V106" s="336"/>
      <c r="W106" s="336"/>
      <c r="X106" s="336"/>
    </row>
    <row r="107" spans="6:24">
      <c r="F107" s="336"/>
      <c r="M107" s="336"/>
      <c r="O107" s="336"/>
      <c r="Q107" s="336"/>
      <c r="S107" s="336"/>
      <c r="T107" s="336"/>
      <c r="U107" s="336"/>
      <c r="V107" s="336"/>
      <c r="W107" s="336"/>
      <c r="X107" s="336"/>
    </row>
    <row r="108" spans="6:24">
      <c r="F108" s="336"/>
      <c r="M108" s="336"/>
      <c r="O108" s="336"/>
      <c r="Q108" s="336"/>
      <c r="S108" s="336"/>
      <c r="T108" s="336"/>
      <c r="U108" s="336"/>
      <c r="V108" s="336"/>
      <c r="W108" s="336"/>
      <c r="X108" s="336"/>
    </row>
    <row r="109" spans="6:24">
      <c r="F109" s="336"/>
      <c r="M109" s="336"/>
      <c r="O109" s="336"/>
      <c r="Q109" s="336"/>
      <c r="S109" s="336"/>
      <c r="T109" s="336"/>
      <c r="U109" s="336"/>
      <c r="V109" s="336"/>
      <c r="W109" s="336"/>
      <c r="X109" s="336"/>
    </row>
    <row r="110" spans="6:24">
      <c r="F110" s="336"/>
      <c r="M110" s="336"/>
      <c r="O110" s="336"/>
      <c r="Q110" s="336"/>
      <c r="S110" s="336"/>
      <c r="T110" s="336"/>
      <c r="U110" s="336"/>
      <c r="V110" s="336"/>
      <c r="W110" s="336"/>
      <c r="X110" s="336"/>
    </row>
    <row r="111" spans="6:24">
      <c r="F111" s="336"/>
      <c r="M111" s="336"/>
      <c r="O111" s="336"/>
      <c r="Q111" s="336"/>
      <c r="S111" s="336"/>
      <c r="T111" s="336"/>
      <c r="U111" s="336"/>
      <c r="V111" s="336"/>
      <c r="W111" s="336"/>
      <c r="X111" s="336"/>
    </row>
    <row r="112" spans="6:24">
      <c r="F112" s="336"/>
      <c r="M112" s="336"/>
      <c r="O112" s="336"/>
      <c r="Q112" s="336"/>
      <c r="S112" s="336"/>
      <c r="T112" s="336"/>
      <c r="U112" s="336"/>
      <c r="V112" s="336"/>
      <c r="W112" s="336"/>
      <c r="X112" s="336"/>
    </row>
    <row r="113" spans="6:24">
      <c r="F113" s="336"/>
      <c r="M113" s="336"/>
      <c r="O113" s="336"/>
      <c r="Q113" s="336"/>
      <c r="S113" s="336"/>
      <c r="T113" s="336"/>
      <c r="U113" s="336"/>
      <c r="V113" s="336"/>
      <c r="W113" s="336"/>
      <c r="X113" s="336"/>
    </row>
    <row r="114" spans="6:24">
      <c r="F114" s="336"/>
      <c r="M114" s="336"/>
      <c r="O114" s="336"/>
      <c r="Q114" s="336"/>
      <c r="S114" s="336"/>
      <c r="T114" s="336"/>
      <c r="U114" s="336"/>
      <c r="V114" s="336"/>
      <c r="W114" s="336"/>
      <c r="X114" s="336"/>
    </row>
    <row r="115" spans="6:24">
      <c r="F115" s="336"/>
      <c r="M115" s="336"/>
      <c r="O115" s="336"/>
      <c r="Q115" s="336"/>
      <c r="S115" s="336"/>
      <c r="T115" s="336"/>
      <c r="U115" s="336"/>
      <c r="V115" s="336"/>
      <c r="W115" s="336"/>
      <c r="X115" s="336"/>
    </row>
    <row r="116" spans="6:24">
      <c r="F116" s="336"/>
      <c r="M116" s="336"/>
      <c r="O116" s="336"/>
      <c r="Q116" s="336"/>
      <c r="S116" s="336"/>
      <c r="T116" s="336"/>
      <c r="U116" s="336"/>
      <c r="V116" s="336"/>
      <c r="W116" s="336"/>
      <c r="X116" s="336"/>
    </row>
    <row r="117" spans="6:24">
      <c r="F117" s="336"/>
      <c r="M117" s="336"/>
      <c r="O117" s="336"/>
      <c r="Q117" s="336"/>
      <c r="S117" s="336"/>
      <c r="T117" s="336"/>
      <c r="U117" s="336"/>
      <c r="V117" s="336"/>
      <c r="W117" s="336"/>
      <c r="X117" s="336"/>
    </row>
    <row r="118" spans="6:24">
      <c r="F118" s="336"/>
      <c r="M118" s="336"/>
      <c r="O118" s="336"/>
      <c r="Q118" s="336"/>
      <c r="S118" s="336"/>
      <c r="T118" s="336"/>
      <c r="U118" s="336"/>
      <c r="V118" s="336"/>
      <c r="W118" s="336"/>
      <c r="X118" s="336"/>
    </row>
    <row r="119" spans="6:24">
      <c r="F119" s="336"/>
      <c r="M119" s="336"/>
      <c r="O119" s="336"/>
      <c r="Q119" s="336"/>
      <c r="S119" s="336"/>
      <c r="T119" s="336"/>
      <c r="U119" s="336"/>
      <c r="V119" s="336"/>
      <c r="W119" s="336"/>
      <c r="X119" s="336"/>
    </row>
    <row r="120" spans="6:24">
      <c r="F120" s="336"/>
      <c r="M120" s="336"/>
      <c r="O120" s="336"/>
      <c r="Q120" s="336"/>
      <c r="S120" s="336"/>
      <c r="T120" s="336"/>
      <c r="U120" s="336"/>
      <c r="V120" s="336"/>
      <c r="W120" s="336"/>
      <c r="X120" s="336"/>
    </row>
    <row r="121" spans="6:24">
      <c r="F121" s="336"/>
      <c r="M121" s="336"/>
      <c r="O121" s="336"/>
      <c r="Q121" s="336"/>
      <c r="S121" s="336"/>
      <c r="T121" s="336"/>
      <c r="U121" s="336"/>
      <c r="V121" s="336"/>
      <c r="W121" s="336"/>
      <c r="X121" s="336"/>
    </row>
    <row r="122" spans="6:24">
      <c r="F122" s="336"/>
      <c r="M122" s="336"/>
      <c r="O122" s="336"/>
      <c r="Q122" s="336"/>
      <c r="S122" s="336"/>
      <c r="T122" s="336"/>
      <c r="U122" s="336"/>
      <c r="V122" s="336"/>
      <c r="W122" s="336"/>
      <c r="X122" s="336"/>
    </row>
    <row r="123" spans="6:24">
      <c r="F123" s="336"/>
      <c r="M123" s="336"/>
      <c r="O123" s="336"/>
      <c r="Q123" s="336"/>
      <c r="S123" s="336"/>
      <c r="T123" s="336"/>
      <c r="U123" s="336"/>
      <c r="V123" s="336"/>
      <c r="W123" s="336"/>
      <c r="X123" s="336"/>
    </row>
    <row r="124" spans="6:24">
      <c r="F124" s="336"/>
      <c r="M124" s="336"/>
      <c r="O124" s="336"/>
      <c r="Q124" s="336"/>
      <c r="S124" s="336"/>
      <c r="T124" s="336"/>
      <c r="U124" s="336"/>
      <c r="V124" s="336"/>
      <c r="W124" s="336"/>
      <c r="X124" s="336"/>
    </row>
    <row r="125" spans="6:24">
      <c r="F125" s="336"/>
      <c r="M125" s="336"/>
      <c r="O125" s="336"/>
      <c r="Q125" s="336"/>
      <c r="S125" s="336"/>
      <c r="T125" s="336"/>
      <c r="U125" s="336"/>
      <c r="V125" s="336"/>
      <c r="W125" s="336"/>
      <c r="X125" s="336"/>
    </row>
    <row r="126" spans="6:24">
      <c r="F126" s="336"/>
      <c r="M126" s="336"/>
      <c r="O126" s="336"/>
      <c r="Q126" s="336"/>
      <c r="S126" s="336"/>
      <c r="T126" s="336"/>
      <c r="U126" s="336"/>
      <c r="V126" s="336"/>
      <c r="W126" s="336"/>
      <c r="X126" s="336"/>
    </row>
    <row r="127" spans="6:24">
      <c r="F127" s="336"/>
      <c r="M127" s="336"/>
      <c r="O127" s="336"/>
      <c r="Q127" s="336"/>
      <c r="S127" s="336"/>
      <c r="T127" s="336"/>
      <c r="U127" s="336"/>
      <c r="V127" s="336"/>
      <c r="W127" s="336"/>
      <c r="X127" s="336"/>
    </row>
    <row r="128" spans="6:24">
      <c r="F128" s="336"/>
      <c r="M128" s="336"/>
      <c r="O128" s="336"/>
      <c r="Q128" s="336"/>
      <c r="S128" s="336"/>
      <c r="T128" s="336"/>
      <c r="U128" s="336"/>
      <c r="V128" s="336"/>
      <c r="W128" s="336"/>
      <c r="X128" s="336"/>
    </row>
    <row r="129" spans="6:24">
      <c r="F129" s="336"/>
      <c r="M129" s="336"/>
      <c r="O129" s="336"/>
      <c r="Q129" s="336"/>
      <c r="S129" s="336"/>
      <c r="T129" s="336"/>
      <c r="U129" s="336"/>
      <c r="V129" s="336"/>
      <c r="W129" s="336"/>
      <c r="X129" s="336"/>
    </row>
    <row r="130" spans="6:24">
      <c r="F130" s="336"/>
      <c r="M130" s="336"/>
      <c r="O130" s="336"/>
      <c r="Q130" s="336"/>
      <c r="S130" s="336"/>
      <c r="T130" s="336"/>
      <c r="U130" s="336"/>
      <c r="V130" s="336"/>
      <c r="W130" s="336"/>
      <c r="X130" s="336"/>
    </row>
    <row r="131" spans="6:24">
      <c r="F131" s="336"/>
      <c r="M131" s="336"/>
      <c r="O131" s="336"/>
      <c r="Q131" s="336"/>
      <c r="S131" s="336"/>
      <c r="T131" s="336"/>
      <c r="U131" s="336"/>
      <c r="V131" s="336"/>
      <c r="W131" s="336"/>
      <c r="X131" s="336"/>
    </row>
    <row r="132" spans="6:24">
      <c r="F132" s="336"/>
      <c r="M132" s="336"/>
      <c r="O132" s="336"/>
      <c r="Q132" s="336"/>
      <c r="S132" s="336"/>
      <c r="T132" s="336"/>
      <c r="U132" s="336"/>
      <c r="V132" s="336"/>
      <c r="W132" s="336"/>
      <c r="X132" s="336"/>
    </row>
    <row r="133" spans="6:24">
      <c r="M133" s="336"/>
      <c r="O133" s="336"/>
      <c r="Q133" s="336"/>
      <c r="S133" s="336"/>
      <c r="T133" s="336"/>
      <c r="U133" s="336"/>
      <c r="V133" s="336"/>
      <c r="W133" s="336"/>
      <c r="X133" s="336"/>
    </row>
    <row r="134" spans="6:24">
      <c r="M134" s="336"/>
      <c r="O134" s="336"/>
      <c r="Q134" s="336"/>
      <c r="S134" s="336"/>
      <c r="T134" s="336"/>
      <c r="U134" s="336"/>
      <c r="V134" s="336"/>
      <c r="W134" s="336"/>
      <c r="X134" s="336"/>
    </row>
  </sheetData>
  <autoFilter ref="A9:BC76"/>
  <mergeCells count="34">
    <mergeCell ref="M1:U1"/>
    <mergeCell ref="M2:U3"/>
    <mergeCell ref="B4:T4"/>
    <mergeCell ref="B5:T5"/>
    <mergeCell ref="A7:A8"/>
    <mergeCell ref="B7:B8"/>
    <mergeCell ref="C7:D7"/>
    <mergeCell ref="E7:E8"/>
    <mergeCell ref="F7:F8"/>
    <mergeCell ref="G7:H7"/>
    <mergeCell ref="N7:O7"/>
    <mergeCell ref="AJ7:AK7"/>
    <mergeCell ref="I7:I8"/>
    <mergeCell ref="J7:K7"/>
    <mergeCell ref="L7:M7"/>
    <mergeCell ref="P7:Q7"/>
    <mergeCell ref="T7:U7"/>
    <mergeCell ref="V7:W7"/>
    <mergeCell ref="X7:Y7"/>
    <mergeCell ref="Z7:AA7"/>
    <mergeCell ref="AB7:AC7"/>
    <mergeCell ref="AD7:AE7"/>
    <mergeCell ref="AF7:AG7"/>
    <mergeCell ref="AH7:AI7"/>
    <mergeCell ref="R7:S7"/>
    <mergeCell ref="AX7:AY7"/>
    <mergeCell ref="AZ7:BA7"/>
    <mergeCell ref="BB7:BC7"/>
    <mergeCell ref="AL7:AM7"/>
    <mergeCell ref="AN7:AO7"/>
    <mergeCell ref="AP7:AQ7"/>
    <mergeCell ref="AR7:AS7"/>
    <mergeCell ref="AT7:AU7"/>
    <mergeCell ref="AV7:AW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42578125" style="292" customWidth="1"/>
    <col min="3" max="3" width="7.42578125" style="292" customWidth="1"/>
    <col min="4" max="4" width="8.42578125" style="292" customWidth="1"/>
    <col min="5" max="5" width="37.28515625" style="292" customWidth="1"/>
    <col min="6" max="6" width="12.7109375" style="292" customWidth="1"/>
    <col min="7" max="8" width="5.85546875" style="293" customWidth="1"/>
    <col min="9" max="9" width="4.85546875" style="292" customWidth="1"/>
    <col min="10" max="10" width="12.5703125" style="292" customWidth="1"/>
    <col min="11" max="11" width="12.28515625" style="292" customWidth="1"/>
    <col min="12" max="12" width="12.85546875" style="292" customWidth="1"/>
    <col min="13" max="13" width="12.7109375" style="292" customWidth="1"/>
    <col min="14" max="14" width="12.85546875" style="292" customWidth="1"/>
    <col min="15" max="15" width="12.7109375" style="292" customWidth="1"/>
    <col min="16" max="16" width="11.85546875" style="292" customWidth="1"/>
    <col min="17" max="17" width="5" style="292" customWidth="1"/>
    <col min="18" max="18" width="11.28515625" style="292" customWidth="1"/>
    <col min="19" max="19" width="11.42578125" style="292" customWidth="1"/>
    <col min="20" max="20" width="13.140625" style="292" customWidth="1"/>
    <col min="21" max="21" width="6" style="292" customWidth="1"/>
    <col min="22" max="22" width="13.5703125" style="292" customWidth="1"/>
    <col min="23" max="23" width="13.42578125" style="292" customWidth="1"/>
    <col min="24" max="24" width="6.5703125" style="292" customWidth="1"/>
    <col min="25" max="25" width="6.42578125" style="292" customWidth="1"/>
    <col min="26" max="26" width="9.5703125" style="292" customWidth="1"/>
    <col min="27" max="27" width="9.42578125" style="292" customWidth="1"/>
    <col min="28" max="29" width="11.28515625" style="292" customWidth="1"/>
    <col min="30" max="30" width="5.28515625" style="292" customWidth="1"/>
    <col min="31" max="31" width="15" style="292" customWidth="1"/>
    <col min="32" max="32" width="5.28515625" style="292" customWidth="1"/>
    <col min="33" max="33" width="15" style="292" customWidth="1"/>
    <col min="34" max="34" width="4.85546875" style="292" customWidth="1"/>
    <col min="35" max="35" width="13.85546875" style="292" customWidth="1"/>
    <col min="36" max="36" width="11.5703125" style="292" customWidth="1"/>
    <col min="37" max="37" width="5.7109375" style="292" customWidth="1"/>
    <col min="38" max="38" width="12.42578125" style="292" customWidth="1"/>
    <col min="39" max="39" width="10.85546875" style="292" customWidth="1"/>
    <col min="40" max="40" width="9.85546875" style="292" customWidth="1"/>
    <col min="41" max="41" width="9.7109375" style="292" customWidth="1"/>
    <col min="42" max="42" width="13.140625" style="292" customWidth="1"/>
    <col min="43" max="43" width="12.5703125" style="292" customWidth="1"/>
    <col min="44" max="45" width="14.28515625" style="292" customWidth="1"/>
    <col min="46" max="46" width="7" style="292" customWidth="1"/>
    <col min="47" max="47" width="7.5703125" style="292" customWidth="1"/>
    <col min="48" max="48" width="4.7109375" style="292" customWidth="1"/>
    <col min="49" max="49" width="9.5703125" style="292" customWidth="1"/>
    <col min="50" max="51" width="12.28515625" style="292" customWidth="1"/>
    <col min="52" max="52" width="15.7109375" style="292" customWidth="1"/>
    <col min="53" max="53" width="15.85546875" style="292" customWidth="1"/>
    <col min="54" max="16384" width="9.140625" style="292"/>
  </cols>
  <sheetData>
    <row r="1" spans="1:53" ht="12.75" customHeight="1">
      <c r="A1" s="288"/>
      <c r="B1" s="289" t="s">
        <v>157</v>
      </c>
      <c r="C1" s="290"/>
      <c r="D1" s="290"/>
      <c r="E1" s="291"/>
      <c r="I1" s="290"/>
      <c r="M1" s="1085" t="str">
        <f>'SC-I'!M1:U1</f>
        <v>Mẫu số S01-DN</v>
      </c>
      <c r="N1" s="1085"/>
      <c r="O1" s="1085"/>
      <c r="P1" s="1085"/>
      <c r="Q1" s="1085"/>
      <c r="R1" s="1085"/>
      <c r="S1" s="1085"/>
      <c r="X1" s="290"/>
      <c r="Y1" s="290"/>
      <c r="Z1" s="290"/>
      <c r="AA1" s="290"/>
      <c r="AB1" s="291"/>
      <c r="AC1" s="291"/>
      <c r="AD1" s="291"/>
      <c r="AE1" s="291"/>
      <c r="AF1" s="291"/>
      <c r="AG1" s="291"/>
      <c r="AH1" s="291"/>
      <c r="AI1" s="291"/>
      <c r="AJ1" s="291"/>
      <c r="AK1" s="291"/>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M2" s="1086" t="str">
        <f>'SC-I'!M2:U3</f>
        <v>(Ban hành theo Thông tư số 200/2014/TT-BTC  Ngày 22/12/2014 của Bộ Tài chính)</v>
      </c>
      <c r="N2" s="1086"/>
      <c r="O2" s="1086"/>
      <c r="P2" s="1086"/>
      <c r="Q2" s="1086"/>
      <c r="R2" s="1086"/>
      <c r="S2" s="1086"/>
      <c r="X2" s="294"/>
      <c r="Y2" s="294"/>
      <c r="Z2" s="294"/>
      <c r="AA2" s="294"/>
      <c r="AB2" s="295"/>
      <c r="AC2" s="295"/>
      <c r="AD2" s="295"/>
      <c r="AE2" s="295"/>
      <c r="AF2" s="295"/>
      <c r="AG2" s="295"/>
      <c r="AH2" s="295"/>
      <c r="AI2" s="295"/>
      <c r="AJ2" s="295"/>
      <c r="AK2" s="295"/>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M3" s="1086"/>
      <c r="N3" s="1086"/>
      <c r="O3" s="1086"/>
      <c r="P3" s="1086"/>
      <c r="Q3" s="1086"/>
      <c r="R3" s="1086"/>
      <c r="S3" s="1086"/>
      <c r="X3" s="294"/>
      <c r="Y3" s="294"/>
      <c r="Z3" s="294"/>
      <c r="AA3" s="294"/>
      <c r="AB3" s="295"/>
      <c r="AC3" s="295"/>
      <c r="AD3" s="295"/>
      <c r="AE3" s="295"/>
      <c r="AF3" s="295"/>
      <c r="AG3" s="295"/>
      <c r="AH3" s="295"/>
      <c r="AI3" s="295"/>
      <c r="AJ3" s="295"/>
      <c r="AK3" s="295"/>
      <c r="AL3" s="294"/>
      <c r="AM3" s="294"/>
      <c r="AN3" s="294"/>
      <c r="AO3" s="294"/>
      <c r="AP3" s="294"/>
      <c r="AQ3" s="294"/>
      <c r="AR3" s="294"/>
      <c r="AS3" s="294"/>
      <c r="AT3" s="294"/>
      <c r="AU3" s="294"/>
      <c r="AV3" s="294"/>
      <c r="AW3" s="294"/>
      <c r="AX3" s="294"/>
      <c r="AY3" s="294"/>
      <c r="AZ3" s="294"/>
      <c r="BA3" s="294"/>
    </row>
    <row r="4" spans="1:53" ht="19.5" customHeight="1">
      <c r="B4" s="1087" t="s">
        <v>147</v>
      </c>
      <c r="C4" s="1087"/>
      <c r="D4" s="1087"/>
      <c r="E4" s="1087"/>
      <c r="F4" s="1087"/>
      <c r="G4" s="1087"/>
      <c r="H4" s="1087"/>
      <c r="I4" s="1087"/>
      <c r="J4" s="1087"/>
      <c r="K4" s="1087"/>
      <c r="L4" s="1087"/>
      <c r="M4" s="1087"/>
      <c r="N4" s="1087"/>
      <c r="O4" s="1087"/>
      <c r="P4" s="1087"/>
      <c r="Q4" s="1087"/>
      <c r="R4" s="1087"/>
      <c r="S4" s="297"/>
      <c r="T4" s="297"/>
      <c r="U4" s="297"/>
      <c r="V4" s="297"/>
      <c r="W4" s="297"/>
      <c r="X4" s="298"/>
      <c r="Y4" s="298"/>
      <c r="Z4" s="299"/>
      <c r="AA4" s="299"/>
      <c r="AB4" s="297"/>
      <c r="AC4" s="297"/>
      <c r="AD4" s="297"/>
      <c r="AE4" s="297"/>
      <c r="AF4" s="297"/>
      <c r="AG4" s="297"/>
      <c r="AH4" s="297"/>
      <c r="AI4" s="297"/>
      <c r="AJ4" s="297"/>
      <c r="AK4" s="297"/>
      <c r="AL4" s="299"/>
      <c r="AM4" s="299"/>
      <c r="AN4" s="299"/>
      <c r="AO4" s="299"/>
      <c r="AP4" s="299"/>
      <c r="AQ4" s="299"/>
      <c r="AR4" s="299"/>
      <c r="AS4" s="299"/>
      <c r="AT4" s="299"/>
      <c r="AU4" s="299"/>
      <c r="AV4" s="299"/>
      <c r="AW4" s="299"/>
      <c r="AX4" s="299"/>
      <c r="AY4" s="299"/>
      <c r="AZ4" s="299"/>
      <c r="BA4" s="299"/>
    </row>
    <row r="5" spans="1:53" ht="15">
      <c r="B5" s="1088" t="s">
        <v>311</v>
      </c>
      <c r="C5" s="1088"/>
      <c r="D5" s="1088"/>
      <c r="E5" s="1088"/>
      <c r="F5" s="1088"/>
      <c r="G5" s="1088"/>
      <c r="H5" s="1088"/>
      <c r="I5" s="1088"/>
      <c r="J5" s="1088"/>
      <c r="K5" s="1088"/>
      <c r="L5" s="1088"/>
      <c r="M5" s="1088"/>
      <c r="N5" s="1088"/>
      <c r="O5" s="1088"/>
      <c r="P5" s="1088"/>
      <c r="Q5" s="1088"/>
      <c r="R5" s="1088"/>
      <c r="S5" s="300"/>
      <c r="T5" s="300"/>
      <c r="U5" s="300"/>
      <c r="V5" s="300"/>
      <c r="W5" s="300"/>
      <c r="X5" s="301"/>
      <c r="Y5" s="301"/>
      <c r="AB5" s="300"/>
      <c r="AC5" s="300"/>
      <c r="AD5" s="300"/>
      <c r="AE5" s="300"/>
      <c r="AF5" s="300"/>
      <c r="AG5" s="300"/>
      <c r="AH5" s="300"/>
      <c r="AI5" s="300"/>
      <c r="AJ5" s="300"/>
      <c r="AK5" s="300"/>
    </row>
    <row r="6" spans="1:53">
      <c r="P6" s="292" t="s">
        <v>228</v>
      </c>
    </row>
    <row r="7" spans="1:53" ht="13.5" customHeight="1">
      <c r="A7" s="1089" t="s">
        <v>46</v>
      </c>
      <c r="B7" s="1083" t="s">
        <v>27</v>
      </c>
      <c r="C7" s="1091" t="s">
        <v>1</v>
      </c>
      <c r="D7" s="1092"/>
      <c r="E7" s="1083" t="s">
        <v>0</v>
      </c>
      <c r="F7" s="1083" t="s">
        <v>148</v>
      </c>
      <c r="G7" s="1093" t="s">
        <v>149</v>
      </c>
      <c r="H7" s="1093"/>
      <c r="I7" s="1084" t="s">
        <v>46</v>
      </c>
      <c r="J7" s="1083" t="s">
        <v>284</v>
      </c>
      <c r="K7" s="1083"/>
      <c r="L7" s="1083" t="s">
        <v>285</v>
      </c>
      <c r="M7" s="1083"/>
      <c r="N7" s="1083" t="s">
        <v>464</v>
      </c>
      <c r="O7" s="1083"/>
      <c r="P7" s="1083" t="s">
        <v>286</v>
      </c>
      <c r="Q7" s="1083"/>
      <c r="R7" s="1083" t="s">
        <v>287</v>
      </c>
      <c r="S7" s="1083"/>
      <c r="T7" s="1083" t="s">
        <v>288</v>
      </c>
      <c r="U7" s="1083"/>
      <c r="V7" s="1083" t="s">
        <v>289</v>
      </c>
      <c r="W7" s="1083"/>
      <c r="X7" s="1083" t="s">
        <v>290</v>
      </c>
      <c r="Y7" s="1083"/>
      <c r="Z7" s="1083" t="s">
        <v>291</v>
      </c>
      <c r="AA7" s="1083"/>
      <c r="AB7" s="1083" t="s">
        <v>292</v>
      </c>
      <c r="AC7" s="1083"/>
      <c r="AD7" s="1083" t="s">
        <v>293</v>
      </c>
      <c r="AE7" s="1083"/>
      <c r="AF7" s="1083" t="s">
        <v>454</v>
      </c>
      <c r="AG7" s="1083"/>
      <c r="AH7" s="1083" t="s">
        <v>294</v>
      </c>
      <c r="AI7" s="1083"/>
      <c r="AJ7" s="1083" t="s">
        <v>295</v>
      </c>
      <c r="AK7" s="1083"/>
      <c r="AL7" s="1083" t="s">
        <v>296</v>
      </c>
      <c r="AM7" s="1083"/>
      <c r="AN7" s="1083" t="s">
        <v>297</v>
      </c>
      <c r="AO7" s="1083"/>
      <c r="AP7" s="1083" t="s">
        <v>298</v>
      </c>
      <c r="AQ7" s="1083"/>
      <c r="AR7" s="1083" t="s">
        <v>299</v>
      </c>
      <c r="AS7" s="1083"/>
      <c r="AT7" s="1083" t="s">
        <v>300</v>
      </c>
      <c r="AU7" s="1083"/>
      <c r="AV7" s="1083" t="s">
        <v>301</v>
      </c>
      <c r="AW7" s="1083"/>
      <c r="AX7" s="1083" t="s">
        <v>302</v>
      </c>
      <c r="AY7" s="1083"/>
      <c r="AZ7" s="1083" t="s">
        <v>303</v>
      </c>
      <c r="BA7" s="1083"/>
    </row>
    <row r="8" spans="1:53" ht="22.5" customHeight="1">
      <c r="A8" s="1090"/>
      <c r="B8" s="1083"/>
      <c r="C8" s="303" t="s">
        <v>20</v>
      </c>
      <c r="D8" s="302" t="s">
        <v>39</v>
      </c>
      <c r="E8" s="1083"/>
      <c r="F8" s="1083"/>
      <c r="G8" s="304" t="s">
        <v>29</v>
      </c>
      <c r="H8" s="304" t="s">
        <v>30</v>
      </c>
      <c r="I8" s="1084"/>
      <c r="J8" s="302" t="s">
        <v>29</v>
      </c>
      <c r="K8" s="302" t="s">
        <v>30</v>
      </c>
      <c r="L8" s="302" t="s">
        <v>29</v>
      </c>
      <c r="M8" s="302" t="s">
        <v>30</v>
      </c>
      <c r="N8" s="502" t="s">
        <v>29</v>
      </c>
      <c r="O8" s="502"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7" t="s">
        <v>29</v>
      </c>
      <c r="AG8" s="497"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 customHeight="1">
      <c r="A10" s="63" t="str">
        <f t="array" ref="A10">IF(C10&lt;&gt;0,SUM(($C10:C$23&lt;&gt;0)*1),"")</f>
        <v/>
      </c>
      <c r="B10" s="307"/>
      <c r="C10" s="308"/>
      <c r="D10" s="307"/>
      <c r="E10" s="309" t="s">
        <v>262</v>
      </c>
      <c r="F10" s="310"/>
      <c r="G10" s="311"/>
      <c r="H10" s="311"/>
      <c r="I10" s="312"/>
      <c r="J10" s="313">
        <f ca="1">'SC-I'!J75</f>
        <v>1342165410</v>
      </c>
      <c r="K10" s="313">
        <f ca="1">'SC-I'!K75</f>
        <v>0</v>
      </c>
      <c r="L10" s="313">
        <f ca="1">'SC-I'!L75</f>
        <v>1694774692</v>
      </c>
      <c r="M10" s="313">
        <f ca="1">'SC-I'!M75</f>
        <v>0</v>
      </c>
      <c r="N10" s="313">
        <f ca="1">'SC-I'!N75</f>
        <v>0</v>
      </c>
      <c r="O10" s="313">
        <f ca="1">'SC-I'!O75</f>
        <v>0</v>
      </c>
      <c r="P10" s="313">
        <f ca="1">'SC-I'!P75</f>
        <v>0</v>
      </c>
      <c r="Q10" s="313">
        <f ca="1">'SC-I'!Q75</f>
        <v>0</v>
      </c>
      <c r="R10" s="313">
        <f ca="1">'SC-I'!T75</f>
        <v>0</v>
      </c>
      <c r="S10" s="313">
        <f ca="1">'SC-I'!U75</f>
        <v>0</v>
      </c>
      <c r="T10" s="313">
        <f ca="1">'SC-I'!V75</f>
        <v>22599987302</v>
      </c>
      <c r="U10" s="313">
        <f ca="1">'SC-I'!W75</f>
        <v>0</v>
      </c>
      <c r="V10" s="313">
        <f ca="1">'SC-I'!X75</f>
        <v>4299540884</v>
      </c>
      <c r="W10" s="313">
        <f ca="1">'SC-I'!Y75</f>
        <v>0</v>
      </c>
      <c r="X10" s="313">
        <f ca="1">'SC-I'!Z75</f>
        <v>0</v>
      </c>
      <c r="Y10" s="313">
        <f ca="1">'SC-I'!AA75</f>
        <v>0</v>
      </c>
      <c r="Z10" s="313">
        <f ca="1">'SC-I'!AB75</f>
        <v>0</v>
      </c>
      <c r="AA10" s="313">
        <f ca="1">'SC-I'!AC75</f>
        <v>0</v>
      </c>
      <c r="AB10" s="313">
        <f ca="1">'SC-I'!AD75</f>
        <v>0</v>
      </c>
      <c r="AC10" s="313">
        <f ca="1">'SC-I'!AE75</f>
        <v>5000000000</v>
      </c>
      <c r="AD10" s="313">
        <f ca="1">'SC-I'!AF75</f>
        <v>0</v>
      </c>
      <c r="AE10" s="313">
        <f ca="1">'SC-I'!AG75</f>
        <v>20000000000</v>
      </c>
      <c r="AF10" s="313">
        <f ca="1">'SC-I'!AH75</f>
        <v>0</v>
      </c>
      <c r="AG10" s="313">
        <f ca="1">'SC-I'!AI75</f>
        <v>1982640000</v>
      </c>
      <c r="AH10" s="313">
        <f ca="1">'SC-I'!AJ75</f>
        <v>0</v>
      </c>
      <c r="AI10" s="313">
        <f ca="1">'SC-I'!AK75</f>
        <v>4000000000</v>
      </c>
      <c r="AJ10" s="313">
        <f ca="1">'SC-I'!AL75</f>
        <v>583066238</v>
      </c>
      <c r="AK10" s="313">
        <f ca="1">'SC-I'!AM75</f>
        <v>0</v>
      </c>
      <c r="AL10" s="313">
        <f ca="1">'SC-I'!AN75</f>
        <v>2440859</v>
      </c>
      <c r="AM10" s="313">
        <f ca="1">'SC-I'!AO75</f>
        <v>0</v>
      </c>
      <c r="AN10" s="313">
        <f ca="1">'SC-I'!AP75</f>
        <v>0</v>
      </c>
      <c r="AO10" s="313">
        <f ca="1">'SC-I'!AQ75</f>
        <v>0</v>
      </c>
      <c r="AP10" s="313">
        <f ca="1">'SC-I'!AR75</f>
        <v>0</v>
      </c>
      <c r="AQ10" s="313">
        <f ca="1">'SC-I'!AS75</f>
        <v>0</v>
      </c>
      <c r="AR10" s="313">
        <f ca="1">'SC-I'!AT75</f>
        <v>0</v>
      </c>
      <c r="AS10" s="313">
        <f ca="1">'SC-I'!AU75</f>
        <v>0</v>
      </c>
      <c r="AT10" s="313">
        <f ca="1">'SC-I'!AV75</f>
        <v>0</v>
      </c>
      <c r="AU10" s="313">
        <f ca="1">'SC-I'!AW75</f>
        <v>0</v>
      </c>
      <c r="AV10" s="313">
        <f ca="1">'SC-I'!AX75</f>
        <v>0</v>
      </c>
      <c r="AW10" s="313">
        <f ca="1">'SC-I'!AY75</f>
        <v>0</v>
      </c>
      <c r="AX10" s="313">
        <f ca="1">'SC-I'!AZ75</f>
        <v>0</v>
      </c>
      <c r="AY10" s="313">
        <f ca="1">'SC-I'!BA75</f>
        <v>0</v>
      </c>
      <c r="AZ10" s="313">
        <f ca="1">'SC-I'!BB75</f>
        <v>8050021</v>
      </c>
      <c r="BA10" s="313">
        <f ca="1">'SC-I'!BC75</f>
        <v>0</v>
      </c>
    </row>
    <row r="11" spans="1:53" s="314" customFormat="1" ht="15" customHeight="1">
      <c r="A11" s="63">
        <f t="array" aca="1" ref="A11" ca="1">IF(C11&lt;&gt;0,SUM(($C$11:C11&lt;&gt;0)*1),"")</f>
        <v>1</v>
      </c>
      <c r="B11" s="315">
        <f ca="1">IF(ROWS($1:1)&gt;COUNT(Dong7),"",OFFSET(TH!C$1,SMALL(Dong7,ROWS($1:1)),))</f>
        <v>42462</v>
      </c>
      <c r="C11" s="315" t="str">
        <f ca="1">IF(ROWS($1:1)&gt;COUNT(Dong7),"",OFFSET(TH!D$1,SMALL(Dong7,ROWS($1:1)),))</f>
        <v>C01</v>
      </c>
      <c r="D11" s="315">
        <f ca="1">IF(ROWS($1:1)&gt;COUNT(Dong7),"",OFFSET(TH!E$1,SMALL(Dong7,ROWS($1:1)),))</f>
        <v>42358</v>
      </c>
      <c r="E11" s="432" t="str">
        <f ca="1">IF(ROWS($1:1)&gt;COUNT(Dong7),"",OFFSET(TH!F$1,SMALL(Dong7,ROWS($1:1)),))</f>
        <v>Sơn 79A &amp; A901</v>
      </c>
      <c r="F11" s="371">
        <f ca="1">IF(ROWS($1:1)&gt;COUNT(Dong7),"",OFFSET(TH!M$1,SMALL(Dong7,ROWS($1:1)),))</f>
        <v>10087000</v>
      </c>
      <c r="G11" s="373" t="str">
        <f ca="1">IF(ROWS($1:1)&gt;COUNT(Dong7),"",OFFSET(TH!N$1,SMALL(Dong7,ROWS($1:1)),))</f>
        <v>2412</v>
      </c>
      <c r="H11" s="373" t="str">
        <f ca="1">IF(ROWS($1:1)&gt;COUNT(Dong7),"",OFFSET(TH!O$1,SMALL(Dong7,ROWS($1:1)),))</f>
        <v>1111</v>
      </c>
      <c r="I11" s="63">
        <f t="shared" ref="I11:I21" ca="1" si="0">A11</f>
        <v>1</v>
      </c>
      <c r="J11" s="317">
        <f t="shared" ref="J11:J74" ca="1" si="1">IF($G11="1111",$F11,0)</f>
        <v>0</v>
      </c>
      <c r="K11" s="317">
        <f t="shared" ref="K11:K74" ca="1" si="2">IF($H11="1111",$F11,0)</f>
        <v>10087000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10087000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 customHeight="1">
      <c r="A12" s="63" t="str">
        <f t="array" ref="A12">IF(C12&lt;&gt;0,SUM(($C$11:C12&lt;&gt;0)*1),"")</f>
        <v/>
      </c>
      <c r="B12" s="315"/>
      <c r="C12" s="315"/>
      <c r="D12" s="315"/>
      <c r="E12" s="432"/>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 customHeight="1">
      <c r="A13" s="63" t="str">
        <f t="array" ref="A13">IF(C13&lt;&gt;0,SUM(($C$11:C13&lt;&gt;0)*1),"")</f>
        <v/>
      </c>
      <c r="B13" s="315"/>
      <c r="C13" s="315"/>
      <c r="D13" s="315"/>
      <c r="E13" s="432"/>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 customHeight="1">
      <c r="A14" s="63" t="str">
        <f t="array" ref="A14">IF(C14&lt;&gt;0,SUM(($C$11:C14&lt;&gt;0)*1),"")</f>
        <v/>
      </c>
      <c r="B14" s="315"/>
      <c r="C14" s="315"/>
      <c r="D14" s="315"/>
      <c r="E14" s="432"/>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 customHeight="1">
      <c r="A15" s="63" t="str">
        <f t="array" ref="A15">IF(C15&lt;&gt;0,SUM(($C$11:C15&lt;&gt;0)*1),"")</f>
        <v/>
      </c>
      <c r="B15" s="315"/>
      <c r="C15" s="315"/>
      <c r="D15" s="315"/>
      <c r="E15" s="432"/>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 customHeight="1">
      <c r="A16" s="63" t="str">
        <f t="array" ref="A16">IF(C16&lt;&gt;0,SUM(($C$11:C16&lt;&gt;0)*1),"")</f>
        <v/>
      </c>
      <c r="B16" s="315"/>
      <c r="C16" s="315"/>
      <c r="D16" s="315"/>
      <c r="E16" s="432"/>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 customHeight="1">
      <c r="A17" s="63" t="str">
        <f t="array" ref="A17">IF(C17&lt;&gt;0,SUM(($C$11:C17&lt;&gt;0)*1),"")</f>
        <v/>
      </c>
      <c r="B17" s="315"/>
      <c r="C17" s="315"/>
      <c r="D17" s="315"/>
      <c r="E17" s="432"/>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 customHeight="1">
      <c r="A18" s="63" t="str">
        <f t="array" ref="A18">IF(C18&lt;&gt;0,SUM(($C$11:C18&lt;&gt;0)*1),"")</f>
        <v/>
      </c>
      <c r="B18" s="315"/>
      <c r="C18" s="315"/>
      <c r="D18" s="315"/>
      <c r="E18" s="432"/>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 customHeight="1">
      <c r="A19" s="63" t="str">
        <f t="array" ref="A19">IF(C19&lt;&gt;0,SUM(($C$11:C19&lt;&gt;0)*1),"")</f>
        <v/>
      </c>
      <c r="B19" s="315"/>
      <c r="C19" s="315"/>
      <c r="D19" s="315"/>
      <c r="E19" s="432"/>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 customHeight="1">
      <c r="A20" s="63" t="str">
        <f t="array" ref="A20">IF(C20&lt;&gt;0,SUM(($C$11:C20&lt;&gt;0)*1),"")</f>
        <v/>
      </c>
      <c r="B20" s="315"/>
      <c r="C20" s="315"/>
      <c r="D20" s="315"/>
      <c r="E20" s="432"/>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 customHeight="1">
      <c r="A21" s="63" t="str">
        <f t="array" ref="A21">IF(C21&lt;&gt;0,SUM(($C$11:C21&lt;&gt;0)*1),"")</f>
        <v/>
      </c>
      <c r="B21" s="315"/>
      <c r="C21" s="315"/>
      <c r="D21" s="315"/>
      <c r="E21" s="432"/>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 customHeight="1">
      <c r="A22" s="63" t="str">
        <f t="array" ref="A22">IF(C22&lt;&gt;0,SUM(($C$11:C22&lt;&gt;0)*1),"")</f>
        <v/>
      </c>
      <c r="B22" s="315"/>
      <c r="C22" s="315"/>
      <c r="D22" s="315"/>
      <c r="E22" s="432"/>
      <c r="F22" s="371"/>
      <c r="G22" s="373"/>
      <c r="H22" s="373"/>
      <c r="I22" s="63" t="str">
        <f t="shared" ref="I22:I78" si="45">A22</f>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 customHeight="1">
      <c r="A23" s="63" t="str">
        <f t="array" ref="A23">IF(C23&lt;&gt;0,SUM(($C$11:C23&lt;&gt;0)*1),"")</f>
        <v/>
      </c>
      <c r="B23" s="315"/>
      <c r="C23" s="315"/>
      <c r="D23" s="315"/>
      <c r="E23" s="432"/>
      <c r="F23" s="371"/>
      <c r="G23" s="373"/>
      <c r="H23" s="373"/>
      <c r="I23" s="63" t="str">
        <f t="shared" si="45"/>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 customHeight="1">
      <c r="A24" s="63" t="str">
        <f t="array" ref="A24">IF(C24&lt;&gt;0,SUM(($C$11:C24&lt;&gt;0)*1),"")</f>
        <v/>
      </c>
      <c r="B24" s="315"/>
      <c r="C24" s="315"/>
      <c r="D24" s="315"/>
      <c r="E24" s="432"/>
      <c r="F24" s="371"/>
      <c r="G24" s="373"/>
      <c r="H24" s="373"/>
      <c r="I24" s="63" t="str">
        <f t="shared" si="45"/>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 customHeight="1">
      <c r="A25" s="63" t="str">
        <f t="array" ref="A25">IF(C25&lt;&gt;0,SUM(($C$11:C25&lt;&gt;0)*1),"")</f>
        <v/>
      </c>
      <c r="B25" s="315"/>
      <c r="C25" s="315"/>
      <c r="D25" s="315"/>
      <c r="E25" s="432"/>
      <c r="F25" s="371"/>
      <c r="G25" s="373"/>
      <c r="H25" s="373"/>
      <c r="I25" s="63" t="str">
        <f t="shared" si="45"/>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 customHeight="1">
      <c r="A26" s="63" t="str">
        <f t="array" ref="A26">IF(C26&lt;&gt;0,SUM(($C$11:C26&lt;&gt;0)*1),"")</f>
        <v/>
      </c>
      <c r="B26" s="315"/>
      <c r="C26" s="315"/>
      <c r="D26" s="315"/>
      <c r="E26" s="432"/>
      <c r="F26" s="371"/>
      <c r="G26" s="373"/>
      <c r="H26" s="373"/>
      <c r="I26" s="63" t="str">
        <f t="shared" si="45"/>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 customHeight="1">
      <c r="A27" s="63" t="str">
        <f t="array" ref="A27">IF(C27&lt;&gt;0,SUM(($C$11:C27&lt;&gt;0)*1),"")</f>
        <v/>
      </c>
      <c r="B27" s="315"/>
      <c r="C27" s="315"/>
      <c r="D27" s="315"/>
      <c r="E27" s="432"/>
      <c r="F27" s="371"/>
      <c r="G27" s="373"/>
      <c r="H27" s="373"/>
      <c r="I27" s="63" t="str">
        <f t="shared" si="45"/>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 customHeight="1">
      <c r="A28" s="63" t="str">
        <f t="array" ref="A28">IF(C28&lt;&gt;0,SUM(($C$11:C28&lt;&gt;0)*1),"")</f>
        <v/>
      </c>
      <c r="B28" s="315"/>
      <c r="C28" s="315"/>
      <c r="D28" s="315"/>
      <c r="E28" s="432"/>
      <c r="F28" s="371"/>
      <c r="G28" s="373"/>
      <c r="H28" s="373"/>
      <c r="I28" s="63" t="str">
        <f t="shared" si="45"/>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 customHeight="1">
      <c r="A29" s="63" t="str">
        <f t="array" ref="A29">IF(C29&lt;&gt;0,SUM(($C$11:C29&lt;&gt;0)*1),"")</f>
        <v/>
      </c>
      <c r="B29" s="315"/>
      <c r="C29" s="315"/>
      <c r="D29" s="315"/>
      <c r="E29" s="432"/>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 customHeight="1">
      <c r="A30" s="63" t="str">
        <f t="array" ref="A30">IF(C30&lt;&gt;0,SUM(($C$11:C30&lt;&gt;0)*1),"")</f>
        <v/>
      </c>
      <c r="B30" s="315"/>
      <c r="C30" s="315"/>
      <c r="D30" s="315"/>
      <c r="E30" s="432"/>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 customHeight="1">
      <c r="A31" s="63" t="str">
        <f t="array" ref="A31">IF(C31&lt;&gt;0,SUM(($C$11:C31&lt;&gt;0)*1),"")</f>
        <v/>
      </c>
      <c r="B31" s="315"/>
      <c r="C31" s="315"/>
      <c r="D31" s="315"/>
      <c r="E31" s="432"/>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 customHeight="1">
      <c r="A32" s="63" t="str">
        <f t="array" ref="A32">IF(C32&lt;&gt;0,SUM(($C$11:C32&lt;&gt;0)*1),"")</f>
        <v/>
      </c>
      <c r="B32" s="315"/>
      <c r="C32" s="315"/>
      <c r="D32" s="315"/>
      <c r="E32" s="432"/>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 customHeight="1">
      <c r="A33" s="63" t="str">
        <f t="array" ref="A33">IF(C33&lt;&gt;0,SUM(($C$11:C33&lt;&gt;0)*1),"")</f>
        <v/>
      </c>
      <c r="B33" s="315"/>
      <c r="C33" s="315"/>
      <c r="D33" s="315"/>
      <c r="E33" s="432"/>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 customHeight="1">
      <c r="A34" s="63" t="str">
        <f t="array" ref="A34">IF(C34&lt;&gt;0,SUM(($C$11:C34&lt;&gt;0)*1),"")</f>
        <v/>
      </c>
      <c r="B34" s="315"/>
      <c r="C34" s="315"/>
      <c r="D34" s="315"/>
      <c r="E34" s="432"/>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 customHeight="1">
      <c r="A35" s="63" t="str">
        <f t="array" ref="A35">IF(C35&lt;&gt;0,SUM(($C$11:C35&lt;&gt;0)*1),"")</f>
        <v/>
      </c>
      <c r="B35" s="315"/>
      <c r="C35" s="315"/>
      <c r="D35" s="315"/>
      <c r="E35" s="432"/>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 customHeight="1">
      <c r="A36" s="63" t="str">
        <f t="array" ref="A36">IF(C36&lt;&gt;0,SUM(($C$11:C36&lt;&gt;0)*1),"")</f>
        <v/>
      </c>
      <c r="B36" s="315"/>
      <c r="C36" s="315"/>
      <c r="D36" s="315"/>
      <c r="E36" s="432"/>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 customHeight="1">
      <c r="A37" s="63" t="str">
        <f t="array" ref="A37">IF(C37&lt;&gt;0,SUM(($C$11:C37&lt;&gt;0)*1),"")</f>
        <v/>
      </c>
      <c r="B37" s="315"/>
      <c r="C37" s="315"/>
      <c r="D37" s="315"/>
      <c r="E37" s="432"/>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 customHeight="1">
      <c r="A38" s="63" t="str">
        <f t="array" ref="A38">IF(C38&lt;&gt;0,SUM(($C$11:C38&lt;&gt;0)*1),"")</f>
        <v/>
      </c>
      <c r="B38" s="315"/>
      <c r="C38" s="315"/>
      <c r="D38" s="315"/>
      <c r="E38" s="432"/>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 customHeight="1">
      <c r="A39" s="63" t="str">
        <f t="array" ref="A39">IF(C39&lt;&gt;0,SUM(($C$11:C39&lt;&gt;0)*1),"")</f>
        <v/>
      </c>
      <c r="B39" s="315"/>
      <c r="C39" s="315"/>
      <c r="D39" s="315"/>
      <c r="E39" s="432"/>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 customHeight="1">
      <c r="A40" s="63" t="str">
        <f t="array" ref="A40">IF(C40&lt;&gt;0,SUM(($C$11:C40&lt;&gt;0)*1),"")</f>
        <v/>
      </c>
      <c r="B40" s="315"/>
      <c r="C40" s="315"/>
      <c r="D40" s="315"/>
      <c r="E40" s="432"/>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 customHeight="1">
      <c r="A41" s="63" t="str">
        <f t="array" ref="A41">IF(C41&lt;&gt;0,SUM(($C$11:C41&lt;&gt;0)*1),"")</f>
        <v/>
      </c>
      <c r="B41" s="315"/>
      <c r="C41" s="315"/>
      <c r="D41" s="315"/>
      <c r="E41" s="432"/>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 customHeight="1">
      <c r="A42" s="63" t="str">
        <f t="array" ref="A42">IF(C42&lt;&gt;0,SUM(($C$11:C42&lt;&gt;0)*1),"")</f>
        <v/>
      </c>
      <c r="B42" s="315"/>
      <c r="C42" s="315"/>
      <c r="D42" s="315"/>
      <c r="E42" s="432"/>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 customHeight="1">
      <c r="A43" s="63" t="str">
        <f t="array" ref="A43">IF(C43&lt;&gt;0,SUM(($C$11:C43&lt;&gt;0)*1),"")</f>
        <v/>
      </c>
      <c r="B43" s="315"/>
      <c r="C43" s="315"/>
      <c r="D43" s="315"/>
      <c r="E43" s="432"/>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 customHeight="1">
      <c r="A44" s="63" t="str">
        <f t="array" ref="A44">IF(C44&lt;&gt;0,SUM(($C$11:C44&lt;&gt;0)*1),"")</f>
        <v/>
      </c>
      <c r="B44" s="315"/>
      <c r="C44" s="315"/>
      <c r="D44" s="315"/>
      <c r="E44" s="432"/>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 customHeight="1">
      <c r="A45" s="63" t="str">
        <f t="array" ref="A45">IF(C45&lt;&gt;0,SUM(($C$11:C45&lt;&gt;0)*1),"")</f>
        <v/>
      </c>
      <c r="B45" s="315"/>
      <c r="C45" s="315"/>
      <c r="D45" s="315"/>
      <c r="E45" s="432"/>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 customHeight="1">
      <c r="A46" s="63" t="str">
        <f t="array" ref="A46">IF(C46&lt;&gt;0,SUM(($C$11:C46&lt;&gt;0)*1),"")</f>
        <v/>
      </c>
      <c r="B46" s="315"/>
      <c r="C46" s="315"/>
      <c r="D46" s="315"/>
      <c r="E46" s="432"/>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 customHeight="1">
      <c r="A47" s="63" t="str">
        <f t="array" ref="A47">IF(C47&lt;&gt;0,SUM(($C$11:C47&lt;&gt;0)*1),"")</f>
        <v/>
      </c>
      <c r="B47" s="315"/>
      <c r="C47" s="315"/>
      <c r="D47" s="315"/>
      <c r="E47" s="432"/>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 customHeight="1">
      <c r="A48" s="63" t="str">
        <f t="array" ref="A48">IF(C48&lt;&gt;0,SUM(($C$11:C48&lt;&gt;0)*1),"")</f>
        <v/>
      </c>
      <c r="B48" s="315"/>
      <c r="C48" s="315"/>
      <c r="D48" s="315"/>
      <c r="E48" s="432"/>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 customHeight="1">
      <c r="A49" s="63" t="str">
        <f t="array" ref="A49">IF(C49&lt;&gt;0,SUM(($C$11:C49&lt;&gt;0)*1),"")</f>
        <v/>
      </c>
      <c r="B49" s="315"/>
      <c r="C49" s="315"/>
      <c r="D49" s="315"/>
      <c r="E49" s="432"/>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 customHeight="1">
      <c r="A50" s="63" t="str">
        <f t="array" ref="A50">IF(C50&lt;&gt;0,SUM(($C$11:C50&lt;&gt;0)*1),"")</f>
        <v/>
      </c>
      <c r="B50" s="315"/>
      <c r="C50" s="315"/>
      <c r="D50" s="315"/>
      <c r="E50" s="432"/>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 customHeight="1">
      <c r="A51" s="63" t="str">
        <f t="array" ref="A51">IF(C51&lt;&gt;0,SUM(($C$11:C51&lt;&gt;0)*1),"")</f>
        <v/>
      </c>
      <c r="B51" s="315"/>
      <c r="C51" s="315"/>
      <c r="D51" s="315"/>
      <c r="E51" s="432"/>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 customHeight="1">
      <c r="A52" s="63" t="str">
        <f t="array" ref="A52">IF(C52&lt;&gt;0,SUM(($C$11:C52&lt;&gt;0)*1),"")</f>
        <v/>
      </c>
      <c r="B52" s="315"/>
      <c r="C52" s="315"/>
      <c r="D52" s="315"/>
      <c r="E52" s="432"/>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 customHeight="1">
      <c r="A53" s="63" t="str">
        <f t="array" ref="A53">IF(C53&lt;&gt;0,SUM(($C$11:C53&lt;&gt;0)*1),"")</f>
        <v/>
      </c>
      <c r="B53" s="315"/>
      <c r="C53" s="315"/>
      <c r="D53" s="315"/>
      <c r="E53" s="432"/>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 customHeight="1">
      <c r="A54" s="63" t="str">
        <f t="array" ref="A54">IF(C54&lt;&gt;0,SUM(($C$11:C54&lt;&gt;0)*1),"")</f>
        <v/>
      </c>
      <c r="B54" s="315"/>
      <c r="C54" s="315"/>
      <c r="D54" s="315"/>
      <c r="E54" s="432"/>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 customHeight="1">
      <c r="A55" s="63" t="str">
        <f t="array" ref="A55">IF(C55&lt;&gt;0,SUM(($C$11:C55&lt;&gt;0)*1),"")</f>
        <v/>
      </c>
      <c r="B55" s="315"/>
      <c r="C55" s="315"/>
      <c r="D55" s="315"/>
      <c r="E55" s="432"/>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 customHeight="1">
      <c r="A56" s="63" t="str">
        <f t="array" ref="A56">IF(C56&lt;&gt;0,SUM(($C$11:C56&lt;&gt;0)*1),"")</f>
        <v/>
      </c>
      <c r="B56" s="315"/>
      <c r="C56" s="315"/>
      <c r="D56" s="315"/>
      <c r="E56" s="432"/>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 customHeight="1">
      <c r="A57" s="63" t="str">
        <f t="array" ref="A57">IF(C57&lt;&gt;0,SUM(($C$11:C57&lt;&gt;0)*1),"")</f>
        <v/>
      </c>
      <c r="B57" s="315"/>
      <c r="C57" s="315"/>
      <c r="D57" s="315"/>
      <c r="E57" s="432"/>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 customHeight="1">
      <c r="A58" s="63" t="str">
        <f t="array" ref="A58">IF(C58&lt;&gt;0,SUM(($C$11:C58&lt;&gt;0)*1),"")</f>
        <v/>
      </c>
      <c r="B58" s="315"/>
      <c r="C58" s="315"/>
      <c r="D58" s="315"/>
      <c r="E58" s="432"/>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 customHeight="1">
      <c r="A59" s="63" t="str">
        <f t="array" ref="A59">IF(C59&lt;&gt;0,SUM(($C$11:C59&lt;&gt;0)*1),"")</f>
        <v/>
      </c>
      <c r="B59" s="315"/>
      <c r="C59" s="315"/>
      <c r="D59" s="315"/>
      <c r="E59" s="432"/>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 customHeight="1">
      <c r="A60" s="63" t="str">
        <f t="array" ref="A60">IF(C60&lt;&gt;0,SUM(($C$11:C60&lt;&gt;0)*1),"")</f>
        <v/>
      </c>
      <c r="B60" s="315"/>
      <c r="C60" s="315"/>
      <c r="D60" s="315"/>
      <c r="E60" s="432"/>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 customHeight="1">
      <c r="A61" s="63" t="str">
        <f t="array" ref="A61">IF(C61&lt;&gt;0,SUM(($C$11:C61&lt;&gt;0)*1),"")</f>
        <v/>
      </c>
      <c r="B61" s="315"/>
      <c r="C61" s="315"/>
      <c r="D61" s="315"/>
      <c r="E61" s="432"/>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 customHeight="1">
      <c r="A62" s="63" t="str">
        <f t="array" ref="A62">IF(C62&lt;&gt;0,SUM(($C$11:C62&lt;&gt;0)*1),"")</f>
        <v/>
      </c>
      <c r="B62" s="315"/>
      <c r="C62" s="315"/>
      <c r="D62" s="315"/>
      <c r="E62" s="432"/>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 customHeight="1">
      <c r="A63" s="63" t="str">
        <f t="array" ref="A63">IF(C63&lt;&gt;0,SUM(($C$11:C63&lt;&gt;0)*1),"")</f>
        <v/>
      </c>
      <c r="B63" s="315"/>
      <c r="C63" s="315"/>
      <c r="D63" s="315"/>
      <c r="E63" s="432"/>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 customHeight="1">
      <c r="A64" s="63" t="str">
        <f t="array" ref="A64">IF(C64&lt;&gt;0,SUM(($C$11:C64&lt;&gt;0)*1),"")</f>
        <v/>
      </c>
      <c r="B64" s="315"/>
      <c r="C64" s="315"/>
      <c r="D64" s="315"/>
      <c r="E64" s="432"/>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 customHeight="1">
      <c r="A65" s="63" t="str">
        <f t="array" ref="A65">IF(C65&lt;&gt;0,SUM(($C$11:C65&lt;&gt;0)*1),"")</f>
        <v/>
      </c>
      <c r="B65" s="315"/>
      <c r="C65" s="315"/>
      <c r="D65" s="315"/>
      <c r="E65" s="432"/>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 customHeight="1">
      <c r="A66" s="63" t="str">
        <f t="array" ref="A66">IF(C66&lt;&gt;0,SUM(($C$11:C66&lt;&gt;0)*1),"")</f>
        <v/>
      </c>
      <c r="B66" s="315"/>
      <c r="C66" s="315"/>
      <c r="D66" s="315"/>
      <c r="E66" s="432"/>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 customHeight="1">
      <c r="A67" s="63" t="str">
        <f t="array" ref="A67">IF(C67&lt;&gt;0,SUM(($C$11:C67&lt;&gt;0)*1),"")</f>
        <v/>
      </c>
      <c r="B67" s="315"/>
      <c r="C67" s="315"/>
      <c r="D67" s="315"/>
      <c r="E67" s="432"/>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 customHeight="1">
      <c r="A68" s="63" t="str">
        <f t="array" ref="A68">IF(C68&lt;&gt;0,SUM(($C$11:C68&lt;&gt;0)*1),"")</f>
        <v/>
      </c>
      <c r="B68" s="315"/>
      <c r="C68" s="315"/>
      <c r="D68" s="315"/>
      <c r="E68" s="432"/>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 customHeight="1">
      <c r="A69" s="63" t="str">
        <f t="array" ref="A69">IF(C69&lt;&gt;0,SUM(($C$11:C69&lt;&gt;0)*1),"")</f>
        <v/>
      </c>
      <c r="B69" s="315"/>
      <c r="C69" s="315"/>
      <c r="D69" s="315"/>
      <c r="E69" s="432"/>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 customHeight="1">
      <c r="A70" s="63" t="str">
        <f t="array" ref="A70">IF(C70&lt;&gt;0,SUM(($C$11:C70&lt;&gt;0)*1),"")</f>
        <v/>
      </c>
      <c r="B70" s="315"/>
      <c r="C70" s="315"/>
      <c r="D70" s="315"/>
      <c r="E70" s="432"/>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 customHeight="1">
      <c r="A71" s="63" t="str">
        <f t="array" ref="A71">IF(C71&lt;&gt;0,SUM(($C$11:C71&lt;&gt;0)*1),"")</f>
        <v/>
      </c>
      <c r="B71" s="315"/>
      <c r="C71" s="315"/>
      <c r="D71" s="315"/>
      <c r="E71" s="432"/>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 customHeight="1">
      <c r="A72" s="63" t="str">
        <f t="array" ref="A72">IF(C72&lt;&gt;0,SUM(($C$11:C72&lt;&gt;0)*1),"")</f>
        <v/>
      </c>
      <c r="B72" s="315"/>
      <c r="C72" s="315"/>
      <c r="D72" s="315"/>
      <c r="E72" s="432"/>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 customHeight="1">
      <c r="A73" s="63" t="str">
        <f t="array" ref="A73">IF(C73&lt;&gt;0,SUM(($C$11:C73&lt;&gt;0)*1),"")</f>
        <v/>
      </c>
      <c r="B73" s="315"/>
      <c r="C73" s="315"/>
      <c r="D73" s="315"/>
      <c r="E73" s="432"/>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 customHeight="1">
      <c r="A74" s="63" t="str">
        <f t="array" ref="A74">IF(C74&lt;&gt;0,SUM(($C$11:C74&lt;&gt;0)*1),"")</f>
        <v/>
      </c>
      <c r="B74" s="315"/>
      <c r="C74" s="315"/>
      <c r="D74" s="315"/>
      <c r="E74" s="432"/>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 customHeight="1">
      <c r="A75" s="63" t="str">
        <f t="array" ref="A75">IF(C75&lt;&gt;0,SUM(($C$11:C75&lt;&gt;0)*1),"")</f>
        <v/>
      </c>
      <c r="B75" s="315"/>
      <c r="C75" s="315"/>
      <c r="D75" s="315"/>
      <c r="E75" s="432"/>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 customHeight="1">
      <c r="A76" s="63" t="str">
        <f t="array" ref="A76">IF(C76&lt;&gt;0,SUM(($C$11:C76&lt;&gt;0)*1),"")</f>
        <v/>
      </c>
      <c r="B76" s="315"/>
      <c r="C76" s="315"/>
      <c r="D76" s="315"/>
      <c r="E76" s="432"/>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 customHeight="1">
      <c r="A77" s="63" t="str">
        <f t="array" ref="A77">IF(C77&lt;&gt;0,SUM(($C$11:C77&lt;&gt;0)*1),"")</f>
        <v/>
      </c>
      <c r="B77" s="315"/>
      <c r="C77" s="315"/>
      <c r="D77" s="315"/>
      <c r="E77" s="432"/>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 customHeight="1">
      <c r="A78" s="63" t="str">
        <f t="array" ref="A78">IF(C78&lt;&gt;0,SUM(($C$11:C78&lt;&gt;0)*1),"")</f>
        <v/>
      </c>
      <c r="B78" s="315"/>
      <c r="C78" s="315"/>
      <c r="D78" s="315"/>
      <c r="E78" s="432"/>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 customHeight="1">
      <c r="A79" s="63" t="str">
        <f t="array" ref="A79">IF(C79&lt;&gt;0,SUM(($C$11:C79&lt;&gt;0)*1),"")</f>
        <v/>
      </c>
      <c r="B79" s="315"/>
      <c r="C79" s="315"/>
      <c r="D79" s="315"/>
      <c r="E79" s="432"/>
      <c r="F79" s="371"/>
      <c r="G79" s="373"/>
      <c r="H79" s="373"/>
      <c r="I79" s="63" t="str">
        <f>A79</f>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 customHeight="1">
      <c r="A80" s="63" t="str">
        <f t="array" ref="A80">IF(C80&lt;&gt;0,SUM(($C$11:C80&lt;&gt;0)*1),"")</f>
        <v/>
      </c>
      <c r="B80" s="315"/>
      <c r="C80" s="315"/>
      <c r="D80" s="315"/>
      <c r="E80" s="432"/>
      <c r="F80" s="371"/>
      <c r="G80" s="373"/>
      <c r="H80" s="373"/>
      <c r="I80" s="63" t="str">
        <f>A80</f>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 customHeight="1">
      <c r="A81" s="63" t="str">
        <f t="array" ref="A81">IF(C81&lt;&gt;0,SUM(($C$11:C81&lt;&gt;0)*1),"")</f>
        <v/>
      </c>
      <c r="B81" s="315"/>
      <c r="C81" s="315"/>
      <c r="D81" s="315"/>
      <c r="E81" s="432"/>
      <c r="F81" s="371"/>
      <c r="G81" s="373"/>
      <c r="H81" s="373"/>
      <c r="I81" s="63" t="str">
        <f t="shared" ref="I81:I144" si="90">A81</f>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 customHeight="1">
      <c r="A82" s="63" t="str">
        <f t="array" ref="A82">IF(C82&lt;&gt;0,SUM(($C$11:C82&lt;&gt;0)*1),"")</f>
        <v/>
      </c>
      <c r="B82" s="315"/>
      <c r="C82" s="315"/>
      <c r="D82" s="315"/>
      <c r="E82" s="432"/>
      <c r="F82" s="371"/>
      <c r="G82" s="373"/>
      <c r="H82" s="373"/>
      <c r="I82" s="63" t="str">
        <f t="shared" si="90"/>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 customHeight="1">
      <c r="A83" s="63" t="str">
        <f t="array" ref="A83">IF(C83&lt;&gt;0,SUM(($C$11:C83&lt;&gt;0)*1),"")</f>
        <v/>
      </c>
      <c r="B83" s="315"/>
      <c r="C83" s="315"/>
      <c r="D83" s="315"/>
      <c r="E83" s="432"/>
      <c r="F83" s="371"/>
      <c r="G83" s="373"/>
      <c r="H83" s="373"/>
      <c r="I83" s="63" t="str">
        <f t="shared" si="90"/>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 customHeight="1">
      <c r="A84" s="63" t="str">
        <f t="array" ref="A84">IF(C84&lt;&gt;0,SUM(($C$11:C84&lt;&gt;0)*1),"")</f>
        <v/>
      </c>
      <c r="B84" s="315"/>
      <c r="C84" s="315"/>
      <c r="D84" s="315"/>
      <c r="E84" s="432"/>
      <c r="F84" s="371"/>
      <c r="G84" s="373"/>
      <c r="H84" s="373"/>
      <c r="I84" s="63" t="str">
        <f t="shared" si="90"/>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 customHeight="1">
      <c r="A85" s="63" t="str">
        <f t="array" ref="A85">IF(C85&lt;&gt;0,SUM(($C$11:C85&lt;&gt;0)*1),"")</f>
        <v/>
      </c>
      <c r="B85" s="315"/>
      <c r="C85" s="315"/>
      <c r="D85" s="315"/>
      <c r="E85" s="432"/>
      <c r="F85" s="371"/>
      <c r="G85" s="373"/>
      <c r="H85" s="373"/>
      <c r="I85" s="63" t="str">
        <f t="shared" si="90"/>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 customHeight="1">
      <c r="A86" s="63" t="str">
        <f t="array" ref="A86">IF(C86&lt;&gt;0,SUM(($C$11:C86&lt;&gt;0)*1),"")</f>
        <v/>
      </c>
      <c r="B86" s="315"/>
      <c r="C86" s="315"/>
      <c r="D86" s="315"/>
      <c r="E86" s="432"/>
      <c r="F86" s="371"/>
      <c r="G86" s="373"/>
      <c r="H86" s="373"/>
      <c r="I86" s="63" t="str">
        <f t="shared" si="90"/>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 customHeight="1">
      <c r="A87" s="63" t="str">
        <f t="array" ref="A87">IF(C87&lt;&gt;0,SUM(($C$11:C87&lt;&gt;0)*1),"")</f>
        <v/>
      </c>
      <c r="B87" s="315"/>
      <c r="C87" s="315"/>
      <c r="D87" s="315"/>
      <c r="E87" s="432"/>
      <c r="F87" s="371"/>
      <c r="G87" s="373"/>
      <c r="H87" s="373"/>
      <c r="I87" s="63" t="str">
        <f t="shared" si="90"/>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 customHeight="1">
      <c r="A88" s="63" t="str">
        <f t="array" ref="A88">IF(C88&lt;&gt;0,SUM(($C$11:C88&lt;&gt;0)*1),"")</f>
        <v/>
      </c>
      <c r="B88" s="315"/>
      <c r="C88" s="315"/>
      <c r="D88" s="315"/>
      <c r="E88" s="432"/>
      <c r="F88" s="371"/>
      <c r="G88" s="373"/>
      <c r="H88" s="373"/>
      <c r="I88" s="63" t="str">
        <f t="shared" si="90"/>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 customHeight="1">
      <c r="A89" s="63" t="str">
        <f t="array" ref="A89">IF(C89&lt;&gt;0,SUM(($C$11:C89&lt;&gt;0)*1),"")</f>
        <v/>
      </c>
      <c r="B89" s="315"/>
      <c r="C89" s="315"/>
      <c r="D89" s="315"/>
      <c r="E89" s="432"/>
      <c r="F89" s="371"/>
      <c r="G89" s="373"/>
      <c r="H89" s="373"/>
      <c r="I89" s="63" t="str">
        <f t="shared" si="90"/>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 customHeight="1">
      <c r="A90" s="63" t="str">
        <f t="array" ref="A90">IF(C90&lt;&gt;0,SUM(($C$11:C90&lt;&gt;0)*1),"")</f>
        <v/>
      </c>
      <c r="B90" s="315"/>
      <c r="C90" s="315"/>
      <c r="D90" s="315"/>
      <c r="E90" s="432"/>
      <c r="F90" s="371"/>
      <c r="G90" s="373"/>
      <c r="H90" s="373"/>
      <c r="I90" s="63" t="str">
        <f t="shared" si="90"/>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 customHeight="1">
      <c r="A91" s="63" t="str">
        <f t="array" ref="A91">IF(C91&lt;&gt;0,SUM(($C$11:C91&lt;&gt;0)*1),"")</f>
        <v/>
      </c>
      <c r="B91" s="315"/>
      <c r="C91" s="315"/>
      <c r="D91" s="315"/>
      <c r="E91" s="432"/>
      <c r="F91" s="371"/>
      <c r="G91" s="373"/>
      <c r="H91" s="373"/>
      <c r="I91" s="63" t="str">
        <f t="shared" si="90"/>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 customHeight="1">
      <c r="A92" s="63" t="str">
        <f t="array" ref="A92">IF(C92&lt;&gt;0,SUM(($C$11:C92&lt;&gt;0)*1),"")</f>
        <v/>
      </c>
      <c r="B92" s="315"/>
      <c r="C92" s="315"/>
      <c r="D92" s="315"/>
      <c r="E92" s="432"/>
      <c r="F92" s="371"/>
      <c r="G92" s="373"/>
      <c r="H92" s="373"/>
      <c r="I92" s="63" t="str">
        <f t="shared" si="90"/>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 customHeight="1">
      <c r="A93" s="63" t="str">
        <f t="array" ref="A93">IF(C93&lt;&gt;0,SUM(($C$11:C93&lt;&gt;0)*1),"")</f>
        <v/>
      </c>
      <c r="B93" s="315"/>
      <c r="C93" s="315"/>
      <c r="D93" s="315"/>
      <c r="E93" s="432"/>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 customHeight="1">
      <c r="A94" s="63" t="str">
        <f t="array" ref="A94">IF(C94&lt;&gt;0,SUM(($C$11:C94&lt;&gt;0)*1),"")</f>
        <v/>
      </c>
      <c r="B94" s="315"/>
      <c r="C94" s="315"/>
      <c r="D94" s="315"/>
      <c r="E94" s="432"/>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 customHeight="1">
      <c r="A95" s="63" t="str">
        <f t="array" ref="A95">IF(C95&lt;&gt;0,SUM(($C$11:C95&lt;&gt;0)*1),"")</f>
        <v/>
      </c>
      <c r="B95" s="315"/>
      <c r="C95" s="315"/>
      <c r="D95" s="315"/>
      <c r="E95" s="432"/>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 customHeight="1">
      <c r="A96" s="63" t="str">
        <f t="array" ref="A96">IF(C96&lt;&gt;0,SUM(($C$11:C96&lt;&gt;0)*1),"")</f>
        <v/>
      </c>
      <c r="B96" s="315"/>
      <c r="C96" s="315"/>
      <c r="D96" s="315"/>
      <c r="E96" s="432"/>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 customHeight="1">
      <c r="A97" s="63" t="str">
        <f t="array" ref="A97">IF(C97&lt;&gt;0,SUM(($C$11:C97&lt;&gt;0)*1),"")</f>
        <v/>
      </c>
      <c r="B97" s="315"/>
      <c r="C97" s="315"/>
      <c r="D97" s="315"/>
      <c r="E97" s="432"/>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 customHeight="1">
      <c r="A98" s="63" t="str">
        <f t="array" ref="A98">IF(C98&lt;&gt;0,SUM(($C$11:C98&lt;&gt;0)*1),"")</f>
        <v/>
      </c>
      <c r="B98" s="315"/>
      <c r="C98" s="315"/>
      <c r="D98" s="315"/>
      <c r="E98" s="432"/>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 customHeight="1">
      <c r="A99" s="63" t="str">
        <f t="array" ref="A99">IF(C99&lt;&gt;0,SUM(($C$11:C99&lt;&gt;0)*1),"")</f>
        <v/>
      </c>
      <c r="B99" s="315"/>
      <c r="C99" s="315"/>
      <c r="D99" s="315"/>
      <c r="E99" s="432"/>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 customHeight="1">
      <c r="A100" s="63" t="str">
        <f t="array" ref="A100">IF(C100&lt;&gt;0,SUM(($C$11:C100&lt;&gt;0)*1),"")</f>
        <v/>
      </c>
      <c r="B100" s="315"/>
      <c r="C100" s="315"/>
      <c r="D100" s="315"/>
      <c r="E100" s="432"/>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 customHeight="1">
      <c r="A101" s="63" t="str">
        <f t="array" ref="A101">IF(C101&lt;&gt;0,SUM(($C$11:C101&lt;&gt;0)*1),"")</f>
        <v/>
      </c>
      <c r="B101" s="315"/>
      <c r="C101" s="315"/>
      <c r="D101" s="315"/>
      <c r="E101" s="432"/>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 customHeight="1">
      <c r="A102" s="63" t="str">
        <f t="array" ref="A102">IF(C102&lt;&gt;0,SUM(($C$11:C102&lt;&gt;0)*1),"")</f>
        <v/>
      </c>
      <c r="B102" s="315"/>
      <c r="C102" s="315"/>
      <c r="D102" s="315"/>
      <c r="E102" s="432"/>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 customHeight="1">
      <c r="A103" s="63" t="str">
        <f t="array" ref="A103">IF(C103&lt;&gt;0,SUM(($C$11:C103&lt;&gt;0)*1),"")</f>
        <v/>
      </c>
      <c r="B103" s="315"/>
      <c r="C103" s="315"/>
      <c r="D103" s="315"/>
      <c r="E103" s="432"/>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 customHeight="1">
      <c r="A104" s="63" t="str">
        <f t="array" ref="A104">IF(C104&lt;&gt;0,SUM(($C$11:C104&lt;&gt;0)*1),"")</f>
        <v/>
      </c>
      <c r="B104" s="315"/>
      <c r="C104" s="315"/>
      <c r="D104" s="315"/>
      <c r="E104" s="432"/>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 customHeight="1">
      <c r="A105" s="63" t="str">
        <f t="array" ref="A105">IF(C105&lt;&gt;0,SUM(($C$11:C105&lt;&gt;0)*1),"")</f>
        <v/>
      </c>
      <c r="B105" s="315"/>
      <c r="C105" s="315"/>
      <c r="D105" s="315"/>
      <c r="E105" s="432"/>
      <c r="F105" s="371"/>
      <c r="G105" s="373"/>
      <c r="H105" s="373"/>
      <c r="I105" s="63" t="str">
        <f t="shared" si="90"/>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 customHeight="1">
      <c r="A106" s="63" t="str">
        <f t="array" ref="A106">IF(C106&lt;&gt;0,SUM(($C$11:C106&lt;&gt;0)*1),"")</f>
        <v/>
      </c>
      <c r="B106" s="315"/>
      <c r="C106" s="315"/>
      <c r="D106" s="315"/>
      <c r="E106" s="432"/>
      <c r="F106" s="371"/>
      <c r="G106" s="373"/>
      <c r="H106" s="373"/>
      <c r="I106" s="63" t="str">
        <f t="shared" si="90"/>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 customHeight="1">
      <c r="A107" s="63" t="str">
        <f t="array" ref="A107">IF(C107&lt;&gt;0,SUM(($C$11:C107&lt;&gt;0)*1),"")</f>
        <v/>
      </c>
      <c r="B107" s="315"/>
      <c r="C107" s="315"/>
      <c r="D107" s="315"/>
      <c r="E107" s="432"/>
      <c r="F107" s="371"/>
      <c r="G107" s="373"/>
      <c r="H107" s="373"/>
      <c r="I107" s="63" t="str">
        <f t="shared" si="90"/>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 customHeight="1">
      <c r="A108" s="63" t="str">
        <f t="array" ref="A108">IF(C108&lt;&gt;0,SUM(($C$11:C108&lt;&gt;0)*1),"")</f>
        <v/>
      </c>
      <c r="B108" s="315"/>
      <c r="C108" s="315"/>
      <c r="D108" s="315"/>
      <c r="E108" s="432"/>
      <c r="F108" s="371"/>
      <c r="G108" s="373"/>
      <c r="H108" s="373"/>
      <c r="I108" s="63" t="str">
        <f t="shared" si="90"/>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 customHeight="1">
      <c r="A109" s="63" t="str">
        <f t="array" ref="A109">IF(C109&lt;&gt;0,SUM(($C$11:C109&lt;&gt;0)*1),"")</f>
        <v/>
      </c>
      <c r="B109" s="315"/>
      <c r="C109" s="315"/>
      <c r="D109" s="315"/>
      <c r="E109" s="432"/>
      <c r="F109" s="371"/>
      <c r="G109" s="373"/>
      <c r="H109" s="373"/>
      <c r="I109" s="63" t="str">
        <f t="shared" si="90"/>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 customHeight="1">
      <c r="A110" s="63" t="str">
        <f t="array" ref="A110">IF(C110&lt;&gt;0,SUM(($C$11:C110&lt;&gt;0)*1),"")</f>
        <v/>
      </c>
      <c r="B110" s="315"/>
      <c r="C110" s="315"/>
      <c r="D110" s="315"/>
      <c r="E110" s="432"/>
      <c r="F110" s="371"/>
      <c r="G110" s="373"/>
      <c r="H110" s="373"/>
      <c r="I110" s="63" t="str">
        <f t="shared" si="90"/>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 customHeight="1">
      <c r="A111" s="63" t="str">
        <f t="array" ref="A111">IF(C111&lt;&gt;0,SUM(($C$11:C111&lt;&gt;0)*1),"")</f>
        <v/>
      </c>
      <c r="B111" s="315"/>
      <c r="C111" s="315"/>
      <c r="D111" s="315"/>
      <c r="E111" s="432"/>
      <c r="F111" s="371"/>
      <c r="G111" s="373"/>
      <c r="H111" s="373"/>
      <c r="I111" s="63" t="str">
        <f t="shared" si="90"/>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 customHeight="1">
      <c r="A112" s="63" t="str">
        <f t="array" ref="A112">IF(C112&lt;&gt;0,SUM(($C$11:C112&lt;&gt;0)*1),"")</f>
        <v/>
      </c>
      <c r="B112" s="315"/>
      <c r="C112" s="315"/>
      <c r="D112" s="315"/>
      <c r="E112" s="432"/>
      <c r="F112" s="371"/>
      <c r="G112" s="373"/>
      <c r="H112" s="373"/>
      <c r="I112" s="63" t="str">
        <f t="shared" si="90"/>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 customHeight="1">
      <c r="A113" s="63" t="str">
        <f t="array" ref="A113">IF(C113&lt;&gt;0,SUM(($C$11:C113&lt;&gt;0)*1),"")</f>
        <v/>
      </c>
      <c r="B113" s="315"/>
      <c r="C113" s="315"/>
      <c r="D113" s="315"/>
      <c r="E113" s="432"/>
      <c r="F113" s="371"/>
      <c r="G113" s="373"/>
      <c r="H113" s="373"/>
      <c r="I113" s="63" t="str">
        <f t="shared" si="90"/>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 customHeight="1">
      <c r="A114" s="63" t="str">
        <f t="array" ref="A114">IF(C114&lt;&gt;0,SUM(($C$11:C114&lt;&gt;0)*1),"")</f>
        <v/>
      </c>
      <c r="B114" s="315"/>
      <c r="C114" s="315"/>
      <c r="D114" s="315"/>
      <c r="E114" s="432"/>
      <c r="F114" s="371"/>
      <c r="G114" s="373"/>
      <c r="H114" s="373"/>
      <c r="I114" s="63" t="str">
        <f t="shared" si="90"/>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 customHeight="1">
      <c r="A115" s="63" t="str">
        <f t="array" ref="A115">IF(C115&lt;&gt;0,SUM(($C$11:C115&lt;&gt;0)*1),"")</f>
        <v/>
      </c>
      <c r="B115" s="315"/>
      <c r="C115" s="315"/>
      <c r="D115" s="315"/>
      <c r="E115" s="432"/>
      <c r="F115" s="371"/>
      <c r="G115" s="373"/>
      <c r="H115" s="373"/>
      <c r="I115" s="63" t="str">
        <f t="shared" si="90"/>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 customHeight="1">
      <c r="A116" s="63" t="str">
        <f t="array" ref="A116">IF(C116&lt;&gt;0,SUM(($C$11:C116&lt;&gt;0)*1),"")</f>
        <v/>
      </c>
      <c r="B116" s="315"/>
      <c r="C116" s="315"/>
      <c r="D116" s="315"/>
      <c r="E116" s="432"/>
      <c r="F116" s="371"/>
      <c r="G116" s="373"/>
      <c r="H116" s="373"/>
      <c r="I116" s="63" t="str">
        <f t="shared" si="90"/>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 customHeight="1">
      <c r="A117" s="63" t="str">
        <f t="array" ref="A117">IF(C117&lt;&gt;0,SUM(($C$11:C117&lt;&gt;0)*1),"")</f>
        <v/>
      </c>
      <c r="B117" s="315"/>
      <c r="C117" s="315"/>
      <c r="D117" s="315"/>
      <c r="E117" s="432"/>
      <c r="F117" s="371"/>
      <c r="G117" s="373"/>
      <c r="H117" s="373"/>
      <c r="I117" s="63" t="str">
        <f t="shared" si="90"/>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 customHeight="1">
      <c r="A118" s="63" t="str">
        <f t="array" ref="A118">IF(C118&lt;&gt;0,SUM(($C$11:C118&lt;&gt;0)*1),"")</f>
        <v/>
      </c>
      <c r="B118" s="315"/>
      <c r="C118" s="315"/>
      <c r="D118" s="315"/>
      <c r="E118" s="432"/>
      <c r="F118" s="371"/>
      <c r="G118" s="373"/>
      <c r="H118" s="373"/>
      <c r="I118" s="63" t="str">
        <f t="shared" si="90"/>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 customHeight="1">
      <c r="A119" s="63" t="str">
        <f t="array" ref="A119">IF(C119&lt;&gt;0,SUM(($C$11:C119&lt;&gt;0)*1),"")</f>
        <v/>
      </c>
      <c r="B119" s="315"/>
      <c r="C119" s="315"/>
      <c r="D119" s="315"/>
      <c r="E119" s="432"/>
      <c r="F119" s="371"/>
      <c r="G119" s="373"/>
      <c r="H119" s="373"/>
      <c r="I119" s="63" t="str">
        <f t="shared" si="90"/>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 customHeight="1">
      <c r="A120" s="63" t="str">
        <f t="array" ref="A120">IF(C120&lt;&gt;0,SUM(($C$11:C120&lt;&gt;0)*1),"")</f>
        <v/>
      </c>
      <c r="B120" s="315"/>
      <c r="C120" s="315"/>
      <c r="D120" s="315"/>
      <c r="E120" s="432"/>
      <c r="F120" s="371"/>
      <c r="G120" s="373"/>
      <c r="H120" s="373"/>
      <c r="I120" s="63" t="str">
        <f t="shared" si="90"/>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 customHeight="1">
      <c r="A121" s="63" t="str">
        <f t="array" ref="A121">IF(C121&lt;&gt;0,SUM(($C$11:C121&lt;&gt;0)*1),"")</f>
        <v/>
      </c>
      <c r="B121" s="315"/>
      <c r="C121" s="315"/>
      <c r="D121" s="315"/>
      <c r="E121" s="432"/>
      <c r="F121" s="371"/>
      <c r="G121" s="373"/>
      <c r="H121" s="373"/>
      <c r="I121" s="63" t="str">
        <f t="shared" si="90"/>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 customHeight="1">
      <c r="A122" s="63" t="str">
        <f t="array" ref="A122">IF(C122&lt;&gt;0,SUM(($C$11:C122&lt;&gt;0)*1),"")</f>
        <v/>
      </c>
      <c r="B122" s="315"/>
      <c r="C122" s="315"/>
      <c r="D122" s="315"/>
      <c r="E122" s="432"/>
      <c r="F122" s="371"/>
      <c r="G122" s="373"/>
      <c r="H122" s="373"/>
      <c r="I122" s="63" t="str">
        <f t="shared" si="90"/>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 customHeight="1">
      <c r="A123" s="63" t="str">
        <f t="array" ref="A123">IF(C123&lt;&gt;0,SUM(($C$11:C123&lt;&gt;0)*1),"")</f>
        <v/>
      </c>
      <c r="B123" s="315"/>
      <c r="C123" s="315"/>
      <c r="D123" s="315"/>
      <c r="E123" s="432"/>
      <c r="F123" s="371"/>
      <c r="G123" s="373"/>
      <c r="H123" s="373"/>
      <c r="I123" s="63" t="str">
        <f t="shared" si="90"/>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 customHeight="1">
      <c r="A124" s="63" t="str">
        <f t="array" ref="A124">IF(C124&lt;&gt;0,SUM(($C$11:C124&lt;&gt;0)*1),"")</f>
        <v/>
      </c>
      <c r="B124" s="315"/>
      <c r="C124" s="315"/>
      <c r="D124" s="315"/>
      <c r="E124" s="432"/>
      <c r="F124" s="371"/>
      <c r="G124" s="373"/>
      <c r="H124" s="373"/>
      <c r="I124" s="63" t="str">
        <f t="shared" si="90"/>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 customHeight="1">
      <c r="A125" s="63" t="str">
        <f t="array" ref="A125">IF(C125&lt;&gt;0,SUM(($C$11:C125&lt;&gt;0)*1),"")</f>
        <v/>
      </c>
      <c r="B125" s="315"/>
      <c r="C125" s="315"/>
      <c r="D125" s="315"/>
      <c r="E125" s="432"/>
      <c r="F125" s="371"/>
      <c r="G125" s="373"/>
      <c r="H125" s="373"/>
      <c r="I125" s="63" t="str">
        <f t="shared" si="90"/>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 customHeight="1">
      <c r="A126" s="63" t="str">
        <f t="array" ref="A126">IF(C126&lt;&gt;0,SUM(($C$11:C126&lt;&gt;0)*1),"")</f>
        <v/>
      </c>
      <c r="B126" s="315"/>
      <c r="C126" s="315"/>
      <c r="D126" s="315"/>
      <c r="E126" s="432"/>
      <c r="F126" s="371"/>
      <c r="G126" s="373"/>
      <c r="H126" s="373"/>
      <c r="I126" s="63" t="str">
        <f t="shared" si="90"/>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 customHeight="1">
      <c r="A127" s="63" t="str">
        <f t="array" ref="A127">IF(C127&lt;&gt;0,SUM(($C$11:C127&lt;&gt;0)*1),"")</f>
        <v/>
      </c>
      <c r="B127" s="315"/>
      <c r="C127" s="315"/>
      <c r="D127" s="315"/>
      <c r="E127" s="432"/>
      <c r="F127" s="371"/>
      <c r="G127" s="373"/>
      <c r="H127" s="373"/>
      <c r="I127" s="63" t="str">
        <f t="shared" si="90"/>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 customHeight="1">
      <c r="A128" s="63" t="str">
        <f t="array" ref="A128">IF(C128&lt;&gt;0,SUM(($C$11:C128&lt;&gt;0)*1),"")</f>
        <v/>
      </c>
      <c r="B128" s="315"/>
      <c r="C128" s="315"/>
      <c r="D128" s="315"/>
      <c r="E128" s="432"/>
      <c r="F128" s="371"/>
      <c r="G128" s="373"/>
      <c r="H128" s="373"/>
      <c r="I128" s="63" t="str">
        <f t="shared" si="90"/>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 customHeight="1">
      <c r="A129" s="63" t="str">
        <f t="array" ref="A129">IF(C129&lt;&gt;0,SUM(($C$11:C129&lt;&gt;0)*1),"")</f>
        <v/>
      </c>
      <c r="B129" s="315"/>
      <c r="C129" s="315"/>
      <c r="D129" s="315"/>
      <c r="E129" s="432"/>
      <c r="F129" s="371"/>
      <c r="G129" s="373"/>
      <c r="H129" s="373"/>
      <c r="I129" s="63" t="str">
        <f t="shared" si="90"/>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 customHeight="1">
      <c r="A130" s="63" t="str">
        <f t="array" ref="A130">IF(C130&lt;&gt;0,SUM(($C$11:C130&lt;&gt;0)*1),"")</f>
        <v/>
      </c>
      <c r="B130" s="315"/>
      <c r="C130" s="315"/>
      <c r="D130" s="315"/>
      <c r="E130" s="432"/>
      <c r="F130" s="371"/>
      <c r="G130" s="373"/>
      <c r="H130" s="373"/>
      <c r="I130" s="63" t="str">
        <f t="shared" si="90"/>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 customHeight="1">
      <c r="A131" s="63" t="str">
        <f t="array" ref="A131">IF(C131&lt;&gt;0,SUM(($C$11:C131&lt;&gt;0)*1),"")</f>
        <v/>
      </c>
      <c r="B131" s="315"/>
      <c r="C131" s="315"/>
      <c r="D131" s="315"/>
      <c r="E131" s="432"/>
      <c r="F131" s="371"/>
      <c r="G131" s="373"/>
      <c r="H131" s="373"/>
      <c r="I131" s="63" t="str">
        <f t="shared" si="90"/>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 customHeight="1">
      <c r="A132" s="63" t="str">
        <f t="array" ref="A132">IF(C132&lt;&gt;0,SUM(($C$11:C132&lt;&gt;0)*1),"")</f>
        <v/>
      </c>
      <c r="B132" s="315"/>
      <c r="C132" s="315"/>
      <c r="D132" s="315"/>
      <c r="E132" s="432"/>
      <c r="F132" s="371"/>
      <c r="G132" s="373"/>
      <c r="H132" s="373"/>
      <c r="I132" s="63" t="str">
        <f t="shared" si="90"/>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 customHeight="1">
      <c r="A133" s="63" t="str">
        <f t="array" ref="A133">IF(C133&lt;&gt;0,SUM(($C$11:C133&lt;&gt;0)*1),"")</f>
        <v/>
      </c>
      <c r="B133" s="315"/>
      <c r="C133" s="315"/>
      <c r="D133" s="315"/>
      <c r="E133" s="432"/>
      <c r="F133" s="371"/>
      <c r="G133" s="373"/>
      <c r="H133" s="373"/>
      <c r="I133" s="63" t="str">
        <f t="shared" si="90"/>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 customHeight="1">
      <c r="A134" s="63" t="str">
        <f t="array" ref="A134">IF(C134&lt;&gt;0,SUM(($C$11:C134&lt;&gt;0)*1),"")</f>
        <v/>
      </c>
      <c r="B134" s="315"/>
      <c r="C134" s="315"/>
      <c r="D134" s="315"/>
      <c r="E134" s="432"/>
      <c r="F134" s="371"/>
      <c r="G134" s="373"/>
      <c r="H134" s="373"/>
      <c r="I134" s="63" t="str">
        <f t="shared" si="90"/>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 customHeight="1">
      <c r="A135" s="63" t="str">
        <f t="array" ref="A135">IF(C135&lt;&gt;0,SUM(($C$11:C135&lt;&gt;0)*1),"")</f>
        <v/>
      </c>
      <c r="B135" s="315"/>
      <c r="C135" s="315"/>
      <c r="D135" s="315"/>
      <c r="E135" s="432"/>
      <c r="F135" s="371"/>
      <c r="G135" s="373"/>
      <c r="H135" s="373"/>
      <c r="I135" s="63" t="str">
        <f t="shared" si="90"/>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 customHeight="1">
      <c r="A136" s="63" t="str">
        <f t="array" ref="A136">IF(C136&lt;&gt;0,SUM(($C$11:C136&lt;&gt;0)*1),"")</f>
        <v/>
      </c>
      <c r="B136" s="315"/>
      <c r="C136" s="315"/>
      <c r="D136" s="315"/>
      <c r="E136" s="432"/>
      <c r="F136" s="371"/>
      <c r="G136" s="373"/>
      <c r="H136" s="373"/>
      <c r="I136" s="63" t="str">
        <f t="shared" si="90"/>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 customHeight="1">
      <c r="A137" s="63" t="str">
        <f t="array" ref="A137">IF(C137&lt;&gt;0,SUM(($C$11:C137&lt;&gt;0)*1),"")</f>
        <v/>
      </c>
      <c r="B137" s="315"/>
      <c r="C137" s="315"/>
      <c r="D137" s="315"/>
      <c r="E137" s="432"/>
      <c r="F137" s="371"/>
      <c r="G137" s="373"/>
      <c r="H137" s="373"/>
      <c r="I137" s="63" t="str">
        <f t="shared" si="90"/>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 customHeight="1">
      <c r="A138" s="63" t="str">
        <f t="array" ref="A138">IF(C138&lt;&gt;0,SUM(($C$11:C138&lt;&gt;0)*1),"")</f>
        <v/>
      </c>
      <c r="B138" s="315"/>
      <c r="C138" s="315"/>
      <c r="D138" s="315"/>
      <c r="E138" s="432"/>
      <c r="F138" s="371"/>
      <c r="G138" s="373"/>
      <c r="H138" s="373"/>
      <c r="I138" s="63" t="str">
        <f t="shared" si="90"/>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 customHeight="1">
      <c r="A139" s="63" t="str">
        <f t="array" ref="A139">IF(C139&lt;&gt;0,SUM(($C$11:C139&lt;&gt;0)*1),"")</f>
        <v/>
      </c>
      <c r="B139" s="315"/>
      <c r="C139" s="315"/>
      <c r="D139" s="315"/>
      <c r="E139" s="432"/>
      <c r="F139" s="371"/>
      <c r="G139" s="373"/>
      <c r="H139" s="373"/>
      <c r="I139" s="63" t="str">
        <f t="shared" si="90"/>
        <v/>
      </c>
      <c r="J139" s="317">
        <f t="shared" ref="J139:J154" si="91">IF($G139="1111",$F139,0)</f>
        <v>0</v>
      </c>
      <c r="K139" s="317">
        <f t="shared" ref="K139:K154" si="92">IF($H139="1111",$F139,0)</f>
        <v>0</v>
      </c>
      <c r="L139" s="317">
        <f t="shared" ref="L139:L154" si="93">IF($G139="1121",$F139,0)</f>
        <v>0</v>
      </c>
      <c r="M139" s="317">
        <f t="shared" ref="M139:M154" si="94">IF($H139="1121",$F139,0)</f>
        <v>0</v>
      </c>
      <c r="N139" s="317">
        <f t="shared" si="84"/>
        <v>0</v>
      </c>
      <c r="O139" s="317">
        <f t="shared" si="85"/>
        <v>0</v>
      </c>
      <c r="P139" s="317">
        <f t="shared" ref="P139:P154" si="95">IF($G139="1331",$F139,0)</f>
        <v>0</v>
      </c>
      <c r="Q139" s="317">
        <f t="shared" ref="Q139:Q154" si="96">IF($H139="1331",$F139,0)</f>
        <v>0</v>
      </c>
      <c r="R139" s="317">
        <f t="shared" ref="R139:R154" si="97">IF($G139="1388",$F139,0)</f>
        <v>0</v>
      </c>
      <c r="S139" s="317">
        <f t="shared" ref="S139:S154" si="98">IF($H139="1388",$F139,0)</f>
        <v>0</v>
      </c>
      <c r="T139" s="317">
        <f t="shared" si="86"/>
        <v>0</v>
      </c>
      <c r="U139" s="317">
        <f t="shared" si="87"/>
        <v>0</v>
      </c>
      <c r="V139" s="317">
        <f t="shared" ref="V139:V154" si="99">IF($G139="331",$F139,0)</f>
        <v>0</v>
      </c>
      <c r="W139" s="317">
        <f t="shared" ref="W139:W154" si="100">IF($H139="331",$F139,0)</f>
        <v>0</v>
      </c>
      <c r="X139" s="317">
        <f t="shared" ref="X139:X154" si="101">IF($G139="3334",$F139,0)</f>
        <v>0</v>
      </c>
      <c r="Y139" s="317">
        <f t="shared" ref="Y139:Y154" si="102">IF($H139="3334",$F139,0)</f>
        <v>0</v>
      </c>
      <c r="Z139" s="317">
        <f t="shared" ref="Z139:Z154" si="103">IF($G139="33382",$F139,0)</f>
        <v>0</v>
      </c>
      <c r="AA139" s="317">
        <f t="shared" ref="AA139:AA154" si="104">IF($H139="33382",$F139,0)</f>
        <v>0</v>
      </c>
      <c r="AB139" s="317">
        <f t="shared" ref="AB139:AB154" si="105">IF($G139="3388",$F139,0)</f>
        <v>0</v>
      </c>
      <c r="AC139" s="317">
        <f t="shared" ref="AC139:AC154" si="106">IF($H139="3388",$F139,0)</f>
        <v>0</v>
      </c>
      <c r="AD139" s="317">
        <f t="shared" ref="AD139:AD154" si="107">IF($G139="3411",$F139,0)</f>
        <v>0</v>
      </c>
      <c r="AE139" s="317">
        <f t="shared" ref="AE139:AE154" si="108">IF($H139="3411",$F139,0)</f>
        <v>0</v>
      </c>
      <c r="AF139" s="317">
        <f t="shared" si="88"/>
        <v>0</v>
      </c>
      <c r="AG139" s="317">
        <f t="shared" si="89"/>
        <v>0</v>
      </c>
      <c r="AH139" s="317">
        <f t="shared" ref="AH139:AH154" si="109">IF($G139="4111",$F139,0)</f>
        <v>0</v>
      </c>
      <c r="AI139" s="317">
        <f t="shared" ref="AI139:AI154" si="110">IF($H139="4111",$F139,0)</f>
        <v>0</v>
      </c>
      <c r="AJ139" s="317">
        <f t="shared" ref="AJ139:AJ154" si="111">IF($G139="4211",$F139,0)</f>
        <v>0</v>
      </c>
      <c r="AK139" s="317">
        <f t="shared" ref="AK139:AK154" si="112">IF($H139="4211",$F139,0)</f>
        <v>0</v>
      </c>
      <c r="AL139" s="317">
        <f t="shared" ref="AL139:AL154" si="113">IF($G139="4212",$F139,0)</f>
        <v>0</v>
      </c>
      <c r="AM139" s="317">
        <f t="shared" ref="AM139:AM154" si="114">IF($H139="4212",$F139,0)</f>
        <v>0</v>
      </c>
      <c r="AN139" s="317">
        <f t="shared" ref="AN139:AN154" si="115">IF($G139="515",$F139,0)</f>
        <v>0</v>
      </c>
      <c r="AO139" s="317">
        <f t="shared" ref="AO139:AO154" si="116">IF($H139="515",$F139,0)</f>
        <v>0</v>
      </c>
      <c r="AP139" s="317">
        <f t="shared" ref="AP139:AP154" si="117">IF($G139="635",$F139,0)</f>
        <v>0</v>
      </c>
      <c r="AQ139" s="317">
        <f t="shared" ref="AQ139:AQ154" si="118">IF($H139="635",$F139,0)</f>
        <v>0</v>
      </c>
      <c r="AR139" s="317">
        <f t="shared" ref="AR139:AR154" si="119">IF($G139="642",$F139,0)</f>
        <v>0</v>
      </c>
      <c r="AS139" s="317">
        <f t="shared" ref="AS139:AS154" si="120">IF($H139="642",$F139,0)</f>
        <v>0</v>
      </c>
      <c r="AT139" s="317">
        <f t="shared" ref="AT139:AT154" si="121">IF($G139="711",$F139,0)</f>
        <v>0</v>
      </c>
      <c r="AU139" s="317">
        <f t="shared" ref="AU139:AU154" si="122">IF($H139="711",$F139,0)</f>
        <v>0</v>
      </c>
      <c r="AV139" s="317">
        <f t="shared" ref="AV139:AV154" si="123">IF($G139="811",$F139,0)</f>
        <v>0</v>
      </c>
      <c r="AW139" s="317">
        <f t="shared" ref="AW139:AW154" si="124">IF($H139="811",$F139,0)</f>
        <v>0</v>
      </c>
      <c r="AX139" s="317">
        <f t="shared" ref="AX139:AX154" si="125">IF($G139="821",$F139,0)</f>
        <v>0</v>
      </c>
      <c r="AY139" s="317">
        <f t="shared" ref="AY139:AY154" si="126">IF($H139="821",$F139,0)</f>
        <v>0</v>
      </c>
      <c r="AZ139" s="317">
        <f t="shared" ref="AZ139:AZ154" si="127">IF($G139="911",$F139,0)</f>
        <v>0</v>
      </c>
      <c r="BA139" s="317">
        <f t="shared" ref="BA139:BA154" si="128">IF($H139="911",$F139,0)</f>
        <v>0</v>
      </c>
    </row>
    <row r="140" spans="1:53" s="314" customFormat="1" ht="15" customHeight="1">
      <c r="A140" s="63" t="str">
        <f t="array" ref="A140">IF(C140&lt;&gt;0,SUM(($C$11:C140&lt;&gt;0)*1),"")</f>
        <v/>
      </c>
      <c r="B140" s="315"/>
      <c r="C140" s="315"/>
      <c r="D140" s="315"/>
      <c r="E140" s="432"/>
      <c r="F140" s="371"/>
      <c r="G140" s="373"/>
      <c r="H140" s="373"/>
      <c r="I140" s="63" t="str">
        <f t="shared" si="90"/>
        <v/>
      </c>
      <c r="J140" s="317">
        <f t="shared" si="91"/>
        <v>0</v>
      </c>
      <c r="K140" s="317">
        <f t="shared" si="92"/>
        <v>0</v>
      </c>
      <c r="L140" s="317">
        <f t="shared" si="93"/>
        <v>0</v>
      </c>
      <c r="M140" s="317">
        <f t="shared" si="94"/>
        <v>0</v>
      </c>
      <c r="N140" s="317">
        <f t="shared" ref="N140:N154" si="129">IF($G140="1122",$F140,0)</f>
        <v>0</v>
      </c>
      <c r="O140" s="317">
        <f t="shared" ref="O140:O154" si="130">IF($H140="1122",$F140,0)</f>
        <v>0</v>
      </c>
      <c r="P140" s="317">
        <f t="shared" si="95"/>
        <v>0</v>
      </c>
      <c r="Q140" s="317">
        <f t="shared" si="96"/>
        <v>0</v>
      </c>
      <c r="R140" s="317">
        <f t="shared" si="97"/>
        <v>0</v>
      </c>
      <c r="S140" s="317">
        <f t="shared" si="98"/>
        <v>0</v>
      </c>
      <c r="T140" s="317">
        <f t="shared" ref="T140:T154" si="131">IF($G140="2412",$F140,0)</f>
        <v>0</v>
      </c>
      <c r="U140" s="317">
        <f t="shared" ref="U140:U154" si="132">IF($H140="2412",$F140,0)</f>
        <v>0</v>
      </c>
      <c r="V140" s="317">
        <f t="shared" si="99"/>
        <v>0</v>
      </c>
      <c r="W140" s="317">
        <f t="shared" si="100"/>
        <v>0</v>
      </c>
      <c r="X140" s="317">
        <f t="shared" si="101"/>
        <v>0</v>
      </c>
      <c r="Y140" s="317">
        <f t="shared" si="102"/>
        <v>0</v>
      </c>
      <c r="Z140" s="317">
        <f t="shared" si="103"/>
        <v>0</v>
      </c>
      <c r="AA140" s="317">
        <f t="shared" si="104"/>
        <v>0</v>
      </c>
      <c r="AB140" s="317">
        <f t="shared" si="105"/>
        <v>0</v>
      </c>
      <c r="AC140" s="317">
        <f t="shared" si="106"/>
        <v>0</v>
      </c>
      <c r="AD140" s="317">
        <f t="shared" si="107"/>
        <v>0</v>
      </c>
      <c r="AE140" s="317">
        <f t="shared" si="108"/>
        <v>0</v>
      </c>
      <c r="AF140" s="317">
        <f t="shared" ref="AF140:AF154" si="133">IF($G140="3412",$F140,0)</f>
        <v>0</v>
      </c>
      <c r="AG140" s="317">
        <f t="shared" ref="AG140:AG154" si="134">IF($H140="3412",$F140,0)</f>
        <v>0</v>
      </c>
      <c r="AH140" s="317">
        <f t="shared" si="109"/>
        <v>0</v>
      </c>
      <c r="AI140" s="317">
        <f t="shared" si="110"/>
        <v>0</v>
      </c>
      <c r="AJ140" s="317">
        <f t="shared" si="111"/>
        <v>0</v>
      </c>
      <c r="AK140" s="317">
        <f t="shared" si="112"/>
        <v>0</v>
      </c>
      <c r="AL140" s="317">
        <f t="shared" si="113"/>
        <v>0</v>
      </c>
      <c r="AM140" s="317">
        <f t="shared" si="114"/>
        <v>0</v>
      </c>
      <c r="AN140" s="317">
        <f t="shared" si="115"/>
        <v>0</v>
      </c>
      <c r="AO140" s="317">
        <f t="shared" si="116"/>
        <v>0</v>
      </c>
      <c r="AP140" s="317">
        <f t="shared" si="117"/>
        <v>0</v>
      </c>
      <c r="AQ140" s="317">
        <f t="shared" si="118"/>
        <v>0</v>
      </c>
      <c r="AR140" s="317">
        <f t="shared" si="119"/>
        <v>0</v>
      </c>
      <c r="AS140" s="317">
        <f t="shared" si="120"/>
        <v>0</v>
      </c>
      <c r="AT140" s="317">
        <f t="shared" si="121"/>
        <v>0</v>
      </c>
      <c r="AU140" s="317">
        <f t="shared" si="122"/>
        <v>0</v>
      </c>
      <c r="AV140" s="317">
        <f t="shared" si="123"/>
        <v>0</v>
      </c>
      <c r="AW140" s="317">
        <f t="shared" si="124"/>
        <v>0</v>
      </c>
      <c r="AX140" s="317">
        <f t="shared" si="125"/>
        <v>0</v>
      </c>
      <c r="AY140" s="317">
        <f t="shared" si="126"/>
        <v>0</v>
      </c>
      <c r="AZ140" s="317">
        <f t="shared" si="127"/>
        <v>0</v>
      </c>
      <c r="BA140" s="317">
        <f t="shared" si="128"/>
        <v>0</v>
      </c>
    </row>
    <row r="141" spans="1:53" s="314" customFormat="1" ht="15" customHeight="1">
      <c r="A141" s="63" t="str">
        <f t="array" ref="A141">IF(C141&lt;&gt;0,SUM(($C$11:C141&lt;&gt;0)*1),"")</f>
        <v/>
      </c>
      <c r="B141" s="315"/>
      <c r="C141" s="315"/>
      <c r="D141" s="315"/>
      <c r="E141" s="432"/>
      <c r="F141" s="371"/>
      <c r="G141" s="373"/>
      <c r="H141" s="373"/>
      <c r="I141" s="63" t="str">
        <f t="shared" si="90"/>
        <v/>
      </c>
      <c r="J141" s="317">
        <f t="shared" si="91"/>
        <v>0</v>
      </c>
      <c r="K141" s="317">
        <f t="shared" si="92"/>
        <v>0</v>
      </c>
      <c r="L141" s="317">
        <f t="shared" si="93"/>
        <v>0</v>
      </c>
      <c r="M141" s="317">
        <f t="shared" si="94"/>
        <v>0</v>
      </c>
      <c r="N141" s="317">
        <f t="shared" si="129"/>
        <v>0</v>
      </c>
      <c r="O141" s="317">
        <f t="shared" si="130"/>
        <v>0</v>
      </c>
      <c r="P141" s="317">
        <f t="shared" si="95"/>
        <v>0</v>
      </c>
      <c r="Q141" s="317">
        <f t="shared" si="96"/>
        <v>0</v>
      </c>
      <c r="R141" s="317">
        <f t="shared" si="97"/>
        <v>0</v>
      </c>
      <c r="S141" s="317">
        <f t="shared" si="98"/>
        <v>0</v>
      </c>
      <c r="T141" s="317">
        <f t="shared" si="131"/>
        <v>0</v>
      </c>
      <c r="U141" s="317">
        <f t="shared" si="132"/>
        <v>0</v>
      </c>
      <c r="V141" s="317">
        <f t="shared" si="99"/>
        <v>0</v>
      </c>
      <c r="W141" s="317">
        <f t="shared" si="100"/>
        <v>0</v>
      </c>
      <c r="X141" s="317">
        <f t="shared" si="101"/>
        <v>0</v>
      </c>
      <c r="Y141" s="317">
        <f t="shared" si="102"/>
        <v>0</v>
      </c>
      <c r="Z141" s="317">
        <f t="shared" si="103"/>
        <v>0</v>
      </c>
      <c r="AA141" s="317">
        <f t="shared" si="104"/>
        <v>0</v>
      </c>
      <c r="AB141" s="317">
        <f t="shared" si="105"/>
        <v>0</v>
      </c>
      <c r="AC141" s="317">
        <f t="shared" si="106"/>
        <v>0</v>
      </c>
      <c r="AD141" s="317">
        <f t="shared" si="107"/>
        <v>0</v>
      </c>
      <c r="AE141" s="317">
        <f t="shared" si="108"/>
        <v>0</v>
      </c>
      <c r="AF141" s="317">
        <f t="shared" si="133"/>
        <v>0</v>
      </c>
      <c r="AG141" s="317">
        <f t="shared" si="134"/>
        <v>0</v>
      </c>
      <c r="AH141" s="317">
        <f t="shared" si="109"/>
        <v>0</v>
      </c>
      <c r="AI141" s="317">
        <f t="shared" si="110"/>
        <v>0</v>
      </c>
      <c r="AJ141" s="317">
        <f t="shared" si="111"/>
        <v>0</v>
      </c>
      <c r="AK141" s="317">
        <f t="shared" si="112"/>
        <v>0</v>
      </c>
      <c r="AL141" s="317">
        <f t="shared" si="113"/>
        <v>0</v>
      </c>
      <c r="AM141" s="317">
        <f t="shared" si="114"/>
        <v>0</v>
      </c>
      <c r="AN141" s="317">
        <f t="shared" si="115"/>
        <v>0</v>
      </c>
      <c r="AO141" s="317">
        <f t="shared" si="116"/>
        <v>0</v>
      </c>
      <c r="AP141" s="317">
        <f t="shared" si="117"/>
        <v>0</v>
      </c>
      <c r="AQ141" s="317">
        <f t="shared" si="118"/>
        <v>0</v>
      </c>
      <c r="AR141" s="317">
        <f t="shared" si="119"/>
        <v>0</v>
      </c>
      <c r="AS141" s="317">
        <f t="shared" si="120"/>
        <v>0</v>
      </c>
      <c r="AT141" s="317">
        <f t="shared" si="121"/>
        <v>0</v>
      </c>
      <c r="AU141" s="317">
        <f t="shared" si="122"/>
        <v>0</v>
      </c>
      <c r="AV141" s="317">
        <f t="shared" si="123"/>
        <v>0</v>
      </c>
      <c r="AW141" s="317">
        <f t="shared" si="124"/>
        <v>0</v>
      </c>
      <c r="AX141" s="317">
        <f t="shared" si="125"/>
        <v>0</v>
      </c>
      <c r="AY141" s="317">
        <f t="shared" si="126"/>
        <v>0</v>
      </c>
      <c r="AZ141" s="317">
        <f t="shared" si="127"/>
        <v>0</v>
      </c>
      <c r="BA141" s="317">
        <f t="shared" si="128"/>
        <v>0</v>
      </c>
    </row>
    <row r="142" spans="1:53" s="314" customFormat="1" ht="15" customHeight="1">
      <c r="A142" s="63" t="str">
        <f t="array" ref="A142">IF(C142&lt;&gt;0,SUM(($C$11:C142&lt;&gt;0)*1),"")</f>
        <v/>
      </c>
      <c r="B142" s="315"/>
      <c r="C142" s="315"/>
      <c r="D142" s="315"/>
      <c r="E142" s="432"/>
      <c r="F142" s="371"/>
      <c r="G142" s="373"/>
      <c r="H142" s="373"/>
      <c r="I142" s="63" t="str">
        <f t="shared" si="90"/>
        <v/>
      </c>
      <c r="J142" s="317">
        <f t="shared" si="91"/>
        <v>0</v>
      </c>
      <c r="K142" s="317">
        <f t="shared" si="92"/>
        <v>0</v>
      </c>
      <c r="L142" s="317">
        <f t="shared" si="93"/>
        <v>0</v>
      </c>
      <c r="M142" s="317">
        <f t="shared" si="94"/>
        <v>0</v>
      </c>
      <c r="N142" s="317">
        <f t="shared" si="129"/>
        <v>0</v>
      </c>
      <c r="O142" s="317">
        <f t="shared" si="130"/>
        <v>0</v>
      </c>
      <c r="P142" s="317">
        <f t="shared" si="95"/>
        <v>0</v>
      </c>
      <c r="Q142" s="317">
        <f t="shared" si="96"/>
        <v>0</v>
      </c>
      <c r="R142" s="317">
        <f t="shared" si="97"/>
        <v>0</v>
      </c>
      <c r="S142" s="317">
        <f t="shared" si="98"/>
        <v>0</v>
      </c>
      <c r="T142" s="317">
        <f t="shared" si="131"/>
        <v>0</v>
      </c>
      <c r="U142" s="317">
        <f t="shared" si="132"/>
        <v>0</v>
      </c>
      <c r="V142" s="317">
        <f t="shared" si="99"/>
        <v>0</v>
      </c>
      <c r="W142" s="317">
        <f t="shared" si="100"/>
        <v>0</v>
      </c>
      <c r="X142" s="317">
        <f t="shared" si="101"/>
        <v>0</v>
      </c>
      <c r="Y142" s="317">
        <f t="shared" si="102"/>
        <v>0</v>
      </c>
      <c r="Z142" s="317">
        <f t="shared" si="103"/>
        <v>0</v>
      </c>
      <c r="AA142" s="317">
        <f t="shared" si="104"/>
        <v>0</v>
      </c>
      <c r="AB142" s="317">
        <f t="shared" si="105"/>
        <v>0</v>
      </c>
      <c r="AC142" s="317">
        <f t="shared" si="106"/>
        <v>0</v>
      </c>
      <c r="AD142" s="317">
        <f t="shared" si="107"/>
        <v>0</v>
      </c>
      <c r="AE142" s="317">
        <f t="shared" si="108"/>
        <v>0</v>
      </c>
      <c r="AF142" s="317">
        <f t="shared" si="133"/>
        <v>0</v>
      </c>
      <c r="AG142" s="317">
        <f t="shared" si="134"/>
        <v>0</v>
      </c>
      <c r="AH142" s="317">
        <f t="shared" si="109"/>
        <v>0</v>
      </c>
      <c r="AI142" s="317">
        <f t="shared" si="110"/>
        <v>0</v>
      </c>
      <c r="AJ142" s="317">
        <f t="shared" si="111"/>
        <v>0</v>
      </c>
      <c r="AK142" s="317">
        <f t="shared" si="112"/>
        <v>0</v>
      </c>
      <c r="AL142" s="317">
        <f t="shared" si="113"/>
        <v>0</v>
      </c>
      <c r="AM142" s="317">
        <f t="shared" si="114"/>
        <v>0</v>
      </c>
      <c r="AN142" s="317">
        <f t="shared" si="115"/>
        <v>0</v>
      </c>
      <c r="AO142" s="317">
        <f t="shared" si="116"/>
        <v>0</v>
      </c>
      <c r="AP142" s="317">
        <f t="shared" si="117"/>
        <v>0</v>
      </c>
      <c r="AQ142" s="317">
        <f t="shared" si="118"/>
        <v>0</v>
      </c>
      <c r="AR142" s="317">
        <f t="shared" si="119"/>
        <v>0</v>
      </c>
      <c r="AS142" s="317">
        <f t="shared" si="120"/>
        <v>0</v>
      </c>
      <c r="AT142" s="317">
        <f t="shared" si="121"/>
        <v>0</v>
      </c>
      <c r="AU142" s="317">
        <f t="shared" si="122"/>
        <v>0</v>
      </c>
      <c r="AV142" s="317">
        <f t="shared" si="123"/>
        <v>0</v>
      </c>
      <c r="AW142" s="317">
        <f t="shared" si="124"/>
        <v>0</v>
      </c>
      <c r="AX142" s="317">
        <f t="shared" si="125"/>
        <v>0</v>
      </c>
      <c r="AY142" s="317">
        <f t="shared" si="126"/>
        <v>0</v>
      </c>
      <c r="AZ142" s="317">
        <f t="shared" si="127"/>
        <v>0</v>
      </c>
      <c r="BA142" s="317">
        <f t="shared" si="128"/>
        <v>0</v>
      </c>
    </row>
    <row r="143" spans="1:53" s="314" customFormat="1" ht="15" customHeight="1">
      <c r="A143" s="63" t="str">
        <f t="array" ref="A143">IF(C143&lt;&gt;0,SUM(($C$11:C143&lt;&gt;0)*1),"")</f>
        <v/>
      </c>
      <c r="B143" s="315"/>
      <c r="C143" s="315"/>
      <c r="D143" s="315"/>
      <c r="E143" s="432"/>
      <c r="F143" s="371"/>
      <c r="G143" s="373"/>
      <c r="H143" s="373"/>
      <c r="I143" s="63" t="str">
        <f t="shared" si="90"/>
        <v/>
      </c>
      <c r="J143" s="317">
        <f t="shared" si="91"/>
        <v>0</v>
      </c>
      <c r="K143" s="317">
        <f t="shared" si="92"/>
        <v>0</v>
      </c>
      <c r="L143" s="317">
        <f t="shared" si="93"/>
        <v>0</v>
      </c>
      <c r="M143" s="317">
        <f t="shared" si="94"/>
        <v>0</v>
      </c>
      <c r="N143" s="317">
        <f t="shared" si="129"/>
        <v>0</v>
      </c>
      <c r="O143" s="317">
        <f t="shared" si="130"/>
        <v>0</v>
      </c>
      <c r="P143" s="317">
        <f t="shared" si="95"/>
        <v>0</v>
      </c>
      <c r="Q143" s="317">
        <f t="shared" si="96"/>
        <v>0</v>
      </c>
      <c r="R143" s="317">
        <f t="shared" si="97"/>
        <v>0</v>
      </c>
      <c r="S143" s="317">
        <f t="shared" si="98"/>
        <v>0</v>
      </c>
      <c r="T143" s="317">
        <f t="shared" si="131"/>
        <v>0</v>
      </c>
      <c r="U143" s="317">
        <f t="shared" si="132"/>
        <v>0</v>
      </c>
      <c r="V143" s="317">
        <f t="shared" si="99"/>
        <v>0</v>
      </c>
      <c r="W143" s="317">
        <f t="shared" si="100"/>
        <v>0</v>
      </c>
      <c r="X143" s="317">
        <f t="shared" si="101"/>
        <v>0</v>
      </c>
      <c r="Y143" s="317">
        <f t="shared" si="102"/>
        <v>0</v>
      </c>
      <c r="Z143" s="317">
        <f t="shared" si="103"/>
        <v>0</v>
      </c>
      <c r="AA143" s="317">
        <f t="shared" si="104"/>
        <v>0</v>
      </c>
      <c r="AB143" s="317">
        <f t="shared" si="105"/>
        <v>0</v>
      </c>
      <c r="AC143" s="317">
        <f t="shared" si="106"/>
        <v>0</v>
      </c>
      <c r="AD143" s="317">
        <f t="shared" si="107"/>
        <v>0</v>
      </c>
      <c r="AE143" s="317">
        <f t="shared" si="108"/>
        <v>0</v>
      </c>
      <c r="AF143" s="317">
        <f t="shared" si="133"/>
        <v>0</v>
      </c>
      <c r="AG143" s="317">
        <f t="shared" si="134"/>
        <v>0</v>
      </c>
      <c r="AH143" s="317">
        <f t="shared" si="109"/>
        <v>0</v>
      </c>
      <c r="AI143" s="317">
        <f t="shared" si="110"/>
        <v>0</v>
      </c>
      <c r="AJ143" s="317">
        <f t="shared" si="111"/>
        <v>0</v>
      </c>
      <c r="AK143" s="317">
        <f t="shared" si="112"/>
        <v>0</v>
      </c>
      <c r="AL143" s="317">
        <f t="shared" si="113"/>
        <v>0</v>
      </c>
      <c r="AM143" s="317">
        <f t="shared" si="114"/>
        <v>0</v>
      </c>
      <c r="AN143" s="317">
        <f t="shared" si="115"/>
        <v>0</v>
      </c>
      <c r="AO143" s="317">
        <f t="shared" si="116"/>
        <v>0</v>
      </c>
      <c r="AP143" s="317">
        <f t="shared" si="117"/>
        <v>0</v>
      </c>
      <c r="AQ143" s="317">
        <f t="shared" si="118"/>
        <v>0</v>
      </c>
      <c r="AR143" s="317">
        <f t="shared" si="119"/>
        <v>0</v>
      </c>
      <c r="AS143" s="317">
        <f t="shared" si="120"/>
        <v>0</v>
      </c>
      <c r="AT143" s="317">
        <f t="shared" si="121"/>
        <v>0</v>
      </c>
      <c r="AU143" s="317">
        <f t="shared" si="122"/>
        <v>0</v>
      </c>
      <c r="AV143" s="317">
        <f t="shared" si="123"/>
        <v>0</v>
      </c>
      <c r="AW143" s="317">
        <f t="shared" si="124"/>
        <v>0</v>
      </c>
      <c r="AX143" s="317">
        <f t="shared" si="125"/>
        <v>0</v>
      </c>
      <c r="AY143" s="317">
        <f t="shared" si="126"/>
        <v>0</v>
      </c>
      <c r="AZ143" s="317">
        <f t="shared" si="127"/>
        <v>0</v>
      </c>
      <c r="BA143" s="317">
        <f t="shared" si="128"/>
        <v>0</v>
      </c>
    </row>
    <row r="144" spans="1:53" s="314" customFormat="1" ht="15" customHeight="1">
      <c r="A144" s="63" t="str">
        <f t="array" ref="A144">IF(C144&lt;&gt;0,SUM(($C$11:C144&lt;&gt;0)*1),"")</f>
        <v/>
      </c>
      <c r="B144" s="315"/>
      <c r="C144" s="315"/>
      <c r="D144" s="315"/>
      <c r="E144" s="432"/>
      <c r="F144" s="371"/>
      <c r="G144" s="373"/>
      <c r="H144" s="373"/>
      <c r="I144" s="63" t="str">
        <f t="shared" si="90"/>
        <v/>
      </c>
      <c r="J144" s="317">
        <f t="shared" si="91"/>
        <v>0</v>
      </c>
      <c r="K144" s="317">
        <f t="shared" si="92"/>
        <v>0</v>
      </c>
      <c r="L144" s="317">
        <f t="shared" si="93"/>
        <v>0</v>
      </c>
      <c r="M144" s="317">
        <f t="shared" si="94"/>
        <v>0</v>
      </c>
      <c r="N144" s="317">
        <f t="shared" si="129"/>
        <v>0</v>
      </c>
      <c r="O144" s="317">
        <f t="shared" si="130"/>
        <v>0</v>
      </c>
      <c r="P144" s="317">
        <f t="shared" si="95"/>
        <v>0</v>
      </c>
      <c r="Q144" s="317">
        <f t="shared" si="96"/>
        <v>0</v>
      </c>
      <c r="R144" s="317">
        <f t="shared" si="97"/>
        <v>0</v>
      </c>
      <c r="S144" s="317">
        <f t="shared" si="98"/>
        <v>0</v>
      </c>
      <c r="T144" s="317">
        <f t="shared" si="131"/>
        <v>0</v>
      </c>
      <c r="U144" s="317">
        <f t="shared" si="132"/>
        <v>0</v>
      </c>
      <c r="V144" s="317">
        <f t="shared" si="99"/>
        <v>0</v>
      </c>
      <c r="W144" s="317">
        <f t="shared" si="100"/>
        <v>0</v>
      </c>
      <c r="X144" s="317">
        <f t="shared" si="101"/>
        <v>0</v>
      </c>
      <c r="Y144" s="317">
        <f t="shared" si="102"/>
        <v>0</v>
      </c>
      <c r="Z144" s="317">
        <f t="shared" si="103"/>
        <v>0</v>
      </c>
      <c r="AA144" s="317">
        <f t="shared" si="104"/>
        <v>0</v>
      </c>
      <c r="AB144" s="317">
        <f t="shared" si="105"/>
        <v>0</v>
      </c>
      <c r="AC144" s="317">
        <f t="shared" si="106"/>
        <v>0</v>
      </c>
      <c r="AD144" s="317">
        <f t="shared" si="107"/>
        <v>0</v>
      </c>
      <c r="AE144" s="317">
        <f t="shared" si="108"/>
        <v>0</v>
      </c>
      <c r="AF144" s="317">
        <f t="shared" si="133"/>
        <v>0</v>
      </c>
      <c r="AG144" s="317">
        <f t="shared" si="134"/>
        <v>0</v>
      </c>
      <c r="AH144" s="317">
        <f t="shared" si="109"/>
        <v>0</v>
      </c>
      <c r="AI144" s="317">
        <f t="shared" si="110"/>
        <v>0</v>
      </c>
      <c r="AJ144" s="317">
        <f t="shared" si="111"/>
        <v>0</v>
      </c>
      <c r="AK144" s="317">
        <f t="shared" si="112"/>
        <v>0</v>
      </c>
      <c r="AL144" s="317">
        <f t="shared" si="113"/>
        <v>0</v>
      </c>
      <c r="AM144" s="317">
        <f t="shared" si="114"/>
        <v>0</v>
      </c>
      <c r="AN144" s="317">
        <f t="shared" si="115"/>
        <v>0</v>
      </c>
      <c r="AO144" s="317">
        <f t="shared" si="116"/>
        <v>0</v>
      </c>
      <c r="AP144" s="317">
        <f t="shared" si="117"/>
        <v>0</v>
      </c>
      <c r="AQ144" s="317">
        <f t="shared" si="118"/>
        <v>0</v>
      </c>
      <c r="AR144" s="317">
        <f t="shared" si="119"/>
        <v>0</v>
      </c>
      <c r="AS144" s="317">
        <f t="shared" si="120"/>
        <v>0</v>
      </c>
      <c r="AT144" s="317">
        <f t="shared" si="121"/>
        <v>0</v>
      </c>
      <c r="AU144" s="317">
        <f t="shared" si="122"/>
        <v>0</v>
      </c>
      <c r="AV144" s="317">
        <f t="shared" si="123"/>
        <v>0</v>
      </c>
      <c r="AW144" s="317">
        <f t="shared" si="124"/>
        <v>0</v>
      </c>
      <c r="AX144" s="317">
        <f t="shared" si="125"/>
        <v>0</v>
      </c>
      <c r="AY144" s="317">
        <f t="shared" si="126"/>
        <v>0</v>
      </c>
      <c r="AZ144" s="317">
        <f t="shared" si="127"/>
        <v>0</v>
      </c>
      <c r="BA144" s="317">
        <f t="shared" si="128"/>
        <v>0</v>
      </c>
    </row>
    <row r="145" spans="1:53" s="314" customFormat="1" ht="15" customHeight="1">
      <c r="A145" s="63" t="str">
        <f t="array" ref="A145">IF(C145&lt;&gt;0,SUM(($C$11:C145&lt;&gt;0)*1),"")</f>
        <v/>
      </c>
      <c r="B145" s="315"/>
      <c r="C145" s="315"/>
      <c r="D145" s="315"/>
      <c r="E145" s="432"/>
      <c r="F145" s="371"/>
      <c r="G145" s="373"/>
      <c r="H145" s="373"/>
      <c r="I145" s="63" t="str">
        <f t="shared" ref="I145:I153" si="135">A145</f>
        <v/>
      </c>
      <c r="J145" s="317">
        <f t="shared" si="91"/>
        <v>0</v>
      </c>
      <c r="K145" s="317">
        <f t="shared" si="92"/>
        <v>0</v>
      </c>
      <c r="L145" s="317">
        <f t="shared" si="93"/>
        <v>0</v>
      </c>
      <c r="M145" s="317">
        <f t="shared" si="94"/>
        <v>0</v>
      </c>
      <c r="N145" s="317">
        <f t="shared" si="129"/>
        <v>0</v>
      </c>
      <c r="O145" s="317">
        <f t="shared" si="130"/>
        <v>0</v>
      </c>
      <c r="P145" s="317">
        <f t="shared" si="95"/>
        <v>0</v>
      </c>
      <c r="Q145" s="317">
        <f t="shared" si="96"/>
        <v>0</v>
      </c>
      <c r="R145" s="317">
        <f t="shared" si="97"/>
        <v>0</v>
      </c>
      <c r="S145" s="317">
        <f t="shared" si="98"/>
        <v>0</v>
      </c>
      <c r="T145" s="317">
        <f t="shared" si="131"/>
        <v>0</v>
      </c>
      <c r="U145" s="317">
        <f t="shared" si="132"/>
        <v>0</v>
      </c>
      <c r="V145" s="317">
        <f t="shared" si="99"/>
        <v>0</v>
      </c>
      <c r="W145" s="317">
        <f t="shared" si="100"/>
        <v>0</v>
      </c>
      <c r="X145" s="317">
        <f t="shared" si="101"/>
        <v>0</v>
      </c>
      <c r="Y145" s="317">
        <f t="shared" si="102"/>
        <v>0</v>
      </c>
      <c r="Z145" s="317">
        <f t="shared" si="103"/>
        <v>0</v>
      </c>
      <c r="AA145" s="317">
        <f t="shared" si="104"/>
        <v>0</v>
      </c>
      <c r="AB145" s="317">
        <f t="shared" si="105"/>
        <v>0</v>
      </c>
      <c r="AC145" s="317">
        <f t="shared" si="106"/>
        <v>0</v>
      </c>
      <c r="AD145" s="317">
        <f t="shared" si="107"/>
        <v>0</v>
      </c>
      <c r="AE145" s="317">
        <f t="shared" si="108"/>
        <v>0</v>
      </c>
      <c r="AF145" s="317">
        <f t="shared" si="133"/>
        <v>0</v>
      </c>
      <c r="AG145" s="317">
        <f t="shared" si="134"/>
        <v>0</v>
      </c>
      <c r="AH145" s="317">
        <f t="shared" si="109"/>
        <v>0</v>
      </c>
      <c r="AI145" s="317">
        <f t="shared" si="110"/>
        <v>0</v>
      </c>
      <c r="AJ145" s="317">
        <f t="shared" si="111"/>
        <v>0</v>
      </c>
      <c r="AK145" s="317">
        <f t="shared" si="112"/>
        <v>0</v>
      </c>
      <c r="AL145" s="317">
        <f t="shared" si="113"/>
        <v>0</v>
      </c>
      <c r="AM145" s="317">
        <f t="shared" si="114"/>
        <v>0</v>
      </c>
      <c r="AN145" s="317">
        <f t="shared" si="115"/>
        <v>0</v>
      </c>
      <c r="AO145" s="317">
        <f t="shared" si="116"/>
        <v>0</v>
      </c>
      <c r="AP145" s="317">
        <f t="shared" si="117"/>
        <v>0</v>
      </c>
      <c r="AQ145" s="317">
        <f t="shared" si="118"/>
        <v>0</v>
      </c>
      <c r="AR145" s="317">
        <f t="shared" si="119"/>
        <v>0</v>
      </c>
      <c r="AS145" s="317">
        <f t="shared" si="120"/>
        <v>0</v>
      </c>
      <c r="AT145" s="317">
        <f t="shared" si="121"/>
        <v>0</v>
      </c>
      <c r="AU145" s="317">
        <f t="shared" si="122"/>
        <v>0</v>
      </c>
      <c r="AV145" s="317">
        <f t="shared" si="123"/>
        <v>0</v>
      </c>
      <c r="AW145" s="317">
        <f t="shared" si="124"/>
        <v>0</v>
      </c>
      <c r="AX145" s="317">
        <f t="shared" si="125"/>
        <v>0</v>
      </c>
      <c r="AY145" s="317">
        <f t="shared" si="126"/>
        <v>0</v>
      </c>
      <c r="AZ145" s="317">
        <f t="shared" si="127"/>
        <v>0</v>
      </c>
      <c r="BA145" s="317">
        <f t="shared" si="128"/>
        <v>0</v>
      </c>
    </row>
    <row r="146" spans="1:53" s="314" customFormat="1" ht="15" customHeight="1">
      <c r="A146" s="63" t="str">
        <f t="array" ref="A146">IF(C146&lt;&gt;0,SUM(($C$11:C146&lt;&gt;0)*1),"")</f>
        <v/>
      </c>
      <c r="B146" s="315"/>
      <c r="C146" s="315"/>
      <c r="D146" s="315"/>
      <c r="E146" s="432"/>
      <c r="F146" s="371"/>
      <c r="G146" s="373"/>
      <c r="H146" s="373"/>
      <c r="I146" s="63" t="str">
        <f t="shared" si="135"/>
        <v/>
      </c>
      <c r="J146" s="317">
        <f t="shared" si="91"/>
        <v>0</v>
      </c>
      <c r="K146" s="317">
        <f t="shared" si="92"/>
        <v>0</v>
      </c>
      <c r="L146" s="317">
        <f t="shared" si="93"/>
        <v>0</v>
      </c>
      <c r="M146" s="317">
        <f t="shared" si="94"/>
        <v>0</v>
      </c>
      <c r="N146" s="317">
        <f t="shared" si="129"/>
        <v>0</v>
      </c>
      <c r="O146" s="317">
        <f t="shared" si="130"/>
        <v>0</v>
      </c>
      <c r="P146" s="317">
        <f t="shared" si="95"/>
        <v>0</v>
      </c>
      <c r="Q146" s="317">
        <f t="shared" si="96"/>
        <v>0</v>
      </c>
      <c r="R146" s="317">
        <f t="shared" si="97"/>
        <v>0</v>
      </c>
      <c r="S146" s="317">
        <f t="shared" si="98"/>
        <v>0</v>
      </c>
      <c r="T146" s="317">
        <f t="shared" si="131"/>
        <v>0</v>
      </c>
      <c r="U146" s="317">
        <f t="shared" si="132"/>
        <v>0</v>
      </c>
      <c r="V146" s="317">
        <f t="shared" si="99"/>
        <v>0</v>
      </c>
      <c r="W146" s="317">
        <f t="shared" si="100"/>
        <v>0</v>
      </c>
      <c r="X146" s="317">
        <f t="shared" si="101"/>
        <v>0</v>
      </c>
      <c r="Y146" s="317">
        <f t="shared" si="102"/>
        <v>0</v>
      </c>
      <c r="Z146" s="317">
        <f t="shared" si="103"/>
        <v>0</v>
      </c>
      <c r="AA146" s="317">
        <f t="shared" si="104"/>
        <v>0</v>
      </c>
      <c r="AB146" s="317">
        <f t="shared" si="105"/>
        <v>0</v>
      </c>
      <c r="AC146" s="317">
        <f t="shared" si="106"/>
        <v>0</v>
      </c>
      <c r="AD146" s="317">
        <f t="shared" si="107"/>
        <v>0</v>
      </c>
      <c r="AE146" s="317">
        <f t="shared" si="108"/>
        <v>0</v>
      </c>
      <c r="AF146" s="317">
        <f t="shared" si="133"/>
        <v>0</v>
      </c>
      <c r="AG146" s="317">
        <f t="shared" si="134"/>
        <v>0</v>
      </c>
      <c r="AH146" s="317">
        <f t="shared" si="109"/>
        <v>0</v>
      </c>
      <c r="AI146" s="317">
        <f t="shared" si="110"/>
        <v>0</v>
      </c>
      <c r="AJ146" s="317">
        <f t="shared" si="111"/>
        <v>0</v>
      </c>
      <c r="AK146" s="317">
        <f t="shared" si="112"/>
        <v>0</v>
      </c>
      <c r="AL146" s="317">
        <f t="shared" si="113"/>
        <v>0</v>
      </c>
      <c r="AM146" s="317">
        <f t="shared" si="114"/>
        <v>0</v>
      </c>
      <c r="AN146" s="317">
        <f t="shared" si="115"/>
        <v>0</v>
      </c>
      <c r="AO146" s="317">
        <f t="shared" si="116"/>
        <v>0</v>
      </c>
      <c r="AP146" s="317">
        <f t="shared" si="117"/>
        <v>0</v>
      </c>
      <c r="AQ146" s="317">
        <f t="shared" si="118"/>
        <v>0</v>
      </c>
      <c r="AR146" s="317">
        <f t="shared" si="119"/>
        <v>0</v>
      </c>
      <c r="AS146" s="317">
        <f t="shared" si="120"/>
        <v>0</v>
      </c>
      <c r="AT146" s="317">
        <f t="shared" si="121"/>
        <v>0</v>
      </c>
      <c r="AU146" s="317">
        <f t="shared" si="122"/>
        <v>0</v>
      </c>
      <c r="AV146" s="317">
        <f t="shared" si="123"/>
        <v>0</v>
      </c>
      <c r="AW146" s="317">
        <f t="shared" si="124"/>
        <v>0</v>
      </c>
      <c r="AX146" s="317">
        <f t="shared" si="125"/>
        <v>0</v>
      </c>
      <c r="AY146" s="317">
        <f t="shared" si="126"/>
        <v>0</v>
      </c>
      <c r="AZ146" s="317">
        <f t="shared" si="127"/>
        <v>0</v>
      </c>
      <c r="BA146" s="317">
        <f t="shared" si="128"/>
        <v>0</v>
      </c>
    </row>
    <row r="147" spans="1:53" s="314" customFormat="1" ht="15" customHeight="1">
      <c r="A147" s="63" t="str">
        <f t="array" ref="A147">IF(C147&lt;&gt;0,SUM(($C$11:C147&lt;&gt;0)*1),"")</f>
        <v/>
      </c>
      <c r="B147" s="315"/>
      <c r="C147" s="315"/>
      <c r="D147" s="315"/>
      <c r="E147" s="432"/>
      <c r="F147" s="371"/>
      <c r="G147" s="373"/>
      <c r="H147" s="373"/>
      <c r="I147" s="63" t="str">
        <f t="shared" si="135"/>
        <v/>
      </c>
      <c r="J147" s="317">
        <f t="shared" si="91"/>
        <v>0</v>
      </c>
      <c r="K147" s="317">
        <f t="shared" si="92"/>
        <v>0</v>
      </c>
      <c r="L147" s="317">
        <f t="shared" si="93"/>
        <v>0</v>
      </c>
      <c r="M147" s="317">
        <f t="shared" si="94"/>
        <v>0</v>
      </c>
      <c r="N147" s="317">
        <f t="shared" si="129"/>
        <v>0</v>
      </c>
      <c r="O147" s="317">
        <f t="shared" si="130"/>
        <v>0</v>
      </c>
      <c r="P147" s="317">
        <f t="shared" si="95"/>
        <v>0</v>
      </c>
      <c r="Q147" s="317">
        <f t="shared" si="96"/>
        <v>0</v>
      </c>
      <c r="R147" s="317">
        <f t="shared" si="97"/>
        <v>0</v>
      </c>
      <c r="S147" s="317">
        <f t="shared" si="98"/>
        <v>0</v>
      </c>
      <c r="T147" s="317">
        <f t="shared" si="131"/>
        <v>0</v>
      </c>
      <c r="U147" s="317">
        <f t="shared" si="132"/>
        <v>0</v>
      </c>
      <c r="V147" s="317">
        <f t="shared" si="99"/>
        <v>0</v>
      </c>
      <c r="W147" s="317">
        <f t="shared" si="100"/>
        <v>0</v>
      </c>
      <c r="X147" s="317">
        <f t="shared" si="101"/>
        <v>0</v>
      </c>
      <c r="Y147" s="317">
        <f t="shared" si="102"/>
        <v>0</v>
      </c>
      <c r="Z147" s="317">
        <f t="shared" si="103"/>
        <v>0</v>
      </c>
      <c r="AA147" s="317">
        <f t="shared" si="104"/>
        <v>0</v>
      </c>
      <c r="AB147" s="317">
        <f t="shared" si="105"/>
        <v>0</v>
      </c>
      <c r="AC147" s="317">
        <f t="shared" si="106"/>
        <v>0</v>
      </c>
      <c r="AD147" s="317">
        <f t="shared" si="107"/>
        <v>0</v>
      </c>
      <c r="AE147" s="317">
        <f t="shared" si="108"/>
        <v>0</v>
      </c>
      <c r="AF147" s="317">
        <f t="shared" si="133"/>
        <v>0</v>
      </c>
      <c r="AG147" s="317">
        <f t="shared" si="134"/>
        <v>0</v>
      </c>
      <c r="AH147" s="317">
        <f t="shared" si="109"/>
        <v>0</v>
      </c>
      <c r="AI147" s="317">
        <f t="shared" si="110"/>
        <v>0</v>
      </c>
      <c r="AJ147" s="317">
        <f t="shared" si="111"/>
        <v>0</v>
      </c>
      <c r="AK147" s="317">
        <f t="shared" si="112"/>
        <v>0</v>
      </c>
      <c r="AL147" s="317">
        <f t="shared" si="113"/>
        <v>0</v>
      </c>
      <c r="AM147" s="317">
        <f t="shared" si="114"/>
        <v>0</v>
      </c>
      <c r="AN147" s="317">
        <f t="shared" si="115"/>
        <v>0</v>
      </c>
      <c r="AO147" s="317">
        <f t="shared" si="116"/>
        <v>0</v>
      </c>
      <c r="AP147" s="317">
        <f t="shared" si="117"/>
        <v>0</v>
      </c>
      <c r="AQ147" s="317">
        <f t="shared" si="118"/>
        <v>0</v>
      </c>
      <c r="AR147" s="317">
        <f t="shared" si="119"/>
        <v>0</v>
      </c>
      <c r="AS147" s="317">
        <f t="shared" si="120"/>
        <v>0</v>
      </c>
      <c r="AT147" s="317">
        <f t="shared" si="121"/>
        <v>0</v>
      </c>
      <c r="AU147" s="317">
        <f t="shared" si="122"/>
        <v>0</v>
      </c>
      <c r="AV147" s="317">
        <f t="shared" si="123"/>
        <v>0</v>
      </c>
      <c r="AW147" s="317">
        <f t="shared" si="124"/>
        <v>0</v>
      </c>
      <c r="AX147" s="317">
        <f t="shared" si="125"/>
        <v>0</v>
      </c>
      <c r="AY147" s="317">
        <f t="shared" si="126"/>
        <v>0</v>
      </c>
      <c r="AZ147" s="317">
        <f t="shared" si="127"/>
        <v>0</v>
      </c>
      <c r="BA147" s="317">
        <f t="shared" si="128"/>
        <v>0</v>
      </c>
    </row>
    <row r="148" spans="1:53" s="314" customFormat="1" ht="15" customHeight="1">
      <c r="A148" s="63">
        <f t="array" aca="1" ref="A148" ca="1">IF(C148&lt;&gt;0,SUM(($C$11:C148&lt;&gt;0)*1),"")</f>
        <v>2</v>
      </c>
      <c r="B148" s="278">
        <v>42185</v>
      </c>
      <c r="C148" s="318" t="s">
        <v>150</v>
      </c>
      <c r="D148" s="318">
        <f t="shared" ref="D148:D153" si="136">B148</f>
        <v>42185</v>
      </c>
      <c r="E148" s="319" t="s">
        <v>151</v>
      </c>
      <c r="F148" s="85">
        <f ca="1">AP155</f>
        <v>0</v>
      </c>
      <c r="G148" s="320" t="s">
        <v>243</v>
      </c>
      <c r="H148" s="320" t="s">
        <v>134</v>
      </c>
      <c r="I148" s="63">
        <f t="shared" ca="1" si="135"/>
        <v>2</v>
      </c>
      <c r="J148" s="317">
        <f t="shared" si="91"/>
        <v>0</v>
      </c>
      <c r="K148" s="317">
        <f t="shared" si="92"/>
        <v>0</v>
      </c>
      <c r="L148" s="317">
        <f t="shared" si="93"/>
        <v>0</v>
      </c>
      <c r="M148" s="317">
        <f t="shared" si="94"/>
        <v>0</v>
      </c>
      <c r="N148" s="317">
        <f t="shared" si="129"/>
        <v>0</v>
      </c>
      <c r="O148" s="317">
        <f t="shared" si="130"/>
        <v>0</v>
      </c>
      <c r="P148" s="317">
        <f t="shared" si="95"/>
        <v>0</v>
      </c>
      <c r="Q148" s="317">
        <f t="shared" si="96"/>
        <v>0</v>
      </c>
      <c r="R148" s="317">
        <f t="shared" si="97"/>
        <v>0</v>
      </c>
      <c r="S148" s="317">
        <f t="shared" si="98"/>
        <v>0</v>
      </c>
      <c r="T148" s="317">
        <f t="shared" ca="1" si="131"/>
        <v>0</v>
      </c>
      <c r="U148" s="317">
        <f t="shared" si="132"/>
        <v>0</v>
      </c>
      <c r="V148" s="317">
        <f t="shared" si="99"/>
        <v>0</v>
      </c>
      <c r="W148" s="317">
        <f t="shared" si="100"/>
        <v>0</v>
      </c>
      <c r="X148" s="317">
        <f t="shared" si="101"/>
        <v>0</v>
      </c>
      <c r="Y148" s="317">
        <f t="shared" si="102"/>
        <v>0</v>
      </c>
      <c r="Z148" s="317">
        <f t="shared" si="103"/>
        <v>0</v>
      </c>
      <c r="AA148" s="317">
        <f t="shared" si="104"/>
        <v>0</v>
      </c>
      <c r="AB148" s="317">
        <f t="shared" si="105"/>
        <v>0</v>
      </c>
      <c r="AC148" s="317">
        <f t="shared" si="106"/>
        <v>0</v>
      </c>
      <c r="AD148" s="317">
        <f t="shared" si="107"/>
        <v>0</v>
      </c>
      <c r="AE148" s="317">
        <f t="shared" si="108"/>
        <v>0</v>
      </c>
      <c r="AF148" s="317">
        <f t="shared" si="133"/>
        <v>0</v>
      </c>
      <c r="AG148" s="317">
        <f t="shared" si="134"/>
        <v>0</v>
      </c>
      <c r="AH148" s="317">
        <f t="shared" si="109"/>
        <v>0</v>
      </c>
      <c r="AI148" s="317">
        <f t="shared" si="110"/>
        <v>0</v>
      </c>
      <c r="AJ148" s="317">
        <f t="shared" si="111"/>
        <v>0</v>
      </c>
      <c r="AK148" s="317">
        <f t="shared" si="112"/>
        <v>0</v>
      </c>
      <c r="AL148" s="317">
        <f t="shared" si="113"/>
        <v>0</v>
      </c>
      <c r="AM148" s="317">
        <f t="shared" si="114"/>
        <v>0</v>
      </c>
      <c r="AN148" s="317">
        <f t="shared" si="115"/>
        <v>0</v>
      </c>
      <c r="AO148" s="317">
        <f t="shared" si="116"/>
        <v>0</v>
      </c>
      <c r="AP148" s="317">
        <f t="shared" si="117"/>
        <v>0</v>
      </c>
      <c r="AQ148" s="317">
        <f t="shared" ca="1" si="118"/>
        <v>0</v>
      </c>
      <c r="AR148" s="317">
        <f t="shared" si="119"/>
        <v>0</v>
      </c>
      <c r="AS148" s="317">
        <f t="shared" si="120"/>
        <v>0</v>
      </c>
      <c r="AT148" s="317">
        <f t="shared" si="121"/>
        <v>0</v>
      </c>
      <c r="AU148" s="317">
        <f t="shared" si="122"/>
        <v>0</v>
      </c>
      <c r="AV148" s="317">
        <f t="shared" si="123"/>
        <v>0</v>
      </c>
      <c r="AW148" s="317">
        <f t="shared" si="124"/>
        <v>0</v>
      </c>
      <c r="AX148" s="317">
        <f t="shared" si="125"/>
        <v>0</v>
      </c>
      <c r="AY148" s="317">
        <f t="shared" si="126"/>
        <v>0</v>
      </c>
      <c r="AZ148" s="317">
        <f t="shared" si="127"/>
        <v>0</v>
      </c>
      <c r="BA148" s="317">
        <f t="shared" si="128"/>
        <v>0</v>
      </c>
    </row>
    <row r="149" spans="1:53" s="314" customFormat="1" ht="15" customHeight="1">
      <c r="A149" s="63">
        <f t="array" aca="1" ref="A149" ca="1">IF(C149&lt;&gt;0,SUM(($C$11:C149&lt;&gt;0)*1),"")</f>
        <v>3</v>
      </c>
      <c r="B149" s="278">
        <v>42185</v>
      </c>
      <c r="C149" s="318" t="s">
        <v>150</v>
      </c>
      <c r="D149" s="318">
        <f t="shared" si="136"/>
        <v>42185</v>
      </c>
      <c r="E149" s="319" t="s">
        <v>152</v>
      </c>
      <c r="F149" s="85">
        <f ca="1">AR155</f>
        <v>0</v>
      </c>
      <c r="G149" s="320" t="s">
        <v>144</v>
      </c>
      <c r="H149" s="320" t="s">
        <v>136</v>
      </c>
      <c r="I149" s="63">
        <f t="shared" ca="1" si="135"/>
        <v>3</v>
      </c>
      <c r="J149" s="317">
        <f t="shared" si="91"/>
        <v>0</v>
      </c>
      <c r="K149" s="317">
        <f t="shared" si="92"/>
        <v>0</v>
      </c>
      <c r="L149" s="317">
        <f t="shared" si="93"/>
        <v>0</v>
      </c>
      <c r="M149" s="317">
        <f t="shared" si="94"/>
        <v>0</v>
      </c>
      <c r="N149" s="317">
        <f t="shared" si="129"/>
        <v>0</v>
      </c>
      <c r="O149" s="317">
        <f t="shared" si="130"/>
        <v>0</v>
      </c>
      <c r="P149" s="317">
        <f t="shared" si="95"/>
        <v>0</v>
      </c>
      <c r="Q149" s="317">
        <f t="shared" si="96"/>
        <v>0</v>
      </c>
      <c r="R149" s="317">
        <f t="shared" si="97"/>
        <v>0</v>
      </c>
      <c r="S149" s="317">
        <f t="shared" si="98"/>
        <v>0</v>
      </c>
      <c r="T149" s="317">
        <f t="shared" si="131"/>
        <v>0</v>
      </c>
      <c r="U149" s="317">
        <f t="shared" si="132"/>
        <v>0</v>
      </c>
      <c r="V149" s="317">
        <f t="shared" si="99"/>
        <v>0</v>
      </c>
      <c r="W149" s="317">
        <f t="shared" si="100"/>
        <v>0</v>
      </c>
      <c r="X149" s="317">
        <f t="shared" si="101"/>
        <v>0</v>
      </c>
      <c r="Y149" s="317">
        <f t="shared" si="102"/>
        <v>0</v>
      </c>
      <c r="Z149" s="317">
        <f t="shared" si="103"/>
        <v>0</v>
      </c>
      <c r="AA149" s="317">
        <f t="shared" si="104"/>
        <v>0</v>
      </c>
      <c r="AB149" s="317">
        <f t="shared" si="105"/>
        <v>0</v>
      </c>
      <c r="AC149" s="317">
        <f t="shared" si="106"/>
        <v>0</v>
      </c>
      <c r="AD149" s="317">
        <f t="shared" si="107"/>
        <v>0</v>
      </c>
      <c r="AE149" s="317">
        <f t="shared" si="108"/>
        <v>0</v>
      </c>
      <c r="AF149" s="317">
        <f t="shared" si="133"/>
        <v>0</v>
      </c>
      <c r="AG149" s="317">
        <f t="shared" si="134"/>
        <v>0</v>
      </c>
      <c r="AH149" s="317">
        <f t="shared" si="109"/>
        <v>0</v>
      </c>
      <c r="AI149" s="317">
        <f t="shared" si="110"/>
        <v>0</v>
      </c>
      <c r="AJ149" s="317">
        <f t="shared" si="111"/>
        <v>0</v>
      </c>
      <c r="AK149" s="317">
        <f t="shared" si="112"/>
        <v>0</v>
      </c>
      <c r="AL149" s="317">
        <f t="shared" si="113"/>
        <v>0</v>
      </c>
      <c r="AM149" s="317">
        <f t="shared" si="114"/>
        <v>0</v>
      </c>
      <c r="AN149" s="317">
        <f t="shared" si="115"/>
        <v>0</v>
      </c>
      <c r="AO149" s="317">
        <f t="shared" si="116"/>
        <v>0</v>
      </c>
      <c r="AP149" s="317">
        <f t="shared" si="117"/>
        <v>0</v>
      </c>
      <c r="AQ149" s="317">
        <f t="shared" si="118"/>
        <v>0</v>
      </c>
      <c r="AR149" s="317">
        <f t="shared" si="119"/>
        <v>0</v>
      </c>
      <c r="AS149" s="317">
        <f t="shared" ca="1" si="120"/>
        <v>0</v>
      </c>
      <c r="AT149" s="317">
        <f t="shared" si="121"/>
        <v>0</v>
      </c>
      <c r="AU149" s="317">
        <f t="shared" si="122"/>
        <v>0</v>
      </c>
      <c r="AV149" s="317">
        <f t="shared" si="123"/>
        <v>0</v>
      </c>
      <c r="AW149" s="317">
        <f t="shared" si="124"/>
        <v>0</v>
      </c>
      <c r="AX149" s="317">
        <f t="shared" si="125"/>
        <v>0</v>
      </c>
      <c r="AY149" s="317">
        <f t="shared" si="126"/>
        <v>0</v>
      </c>
      <c r="AZ149" s="317">
        <f t="shared" ca="1" si="127"/>
        <v>0</v>
      </c>
      <c r="BA149" s="317">
        <f t="shared" si="128"/>
        <v>0</v>
      </c>
    </row>
    <row r="150" spans="1:53" s="314" customFormat="1" ht="15" customHeight="1">
      <c r="A150" s="63">
        <f t="array" aca="1" ref="A150" ca="1">IF(C150&lt;&gt;0,SUM(($C$11:C150&lt;&gt;0)*1),"")</f>
        <v>4</v>
      </c>
      <c r="B150" s="278">
        <v>42185</v>
      </c>
      <c r="C150" s="318" t="s">
        <v>150</v>
      </c>
      <c r="D150" s="318">
        <f t="shared" si="136"/>
        <v>42185</v>
      </c>
      <c r="E150" s="319" t="s">
        <v>306</v>
      </c>
      <c r="F150" s="85">
        <v>41705364</v>
      </c>
      <c r="G150" s="320" t="s">
        <v>129</v>
      </c>
      <c r="H150" s="320" t="s">
        <v>144</v>
      </c>
      <c r="I150" s="63">
        <f t="shared" ca="1" si="135"/>
        <v>4</v>
      </c>
      <c r="J150" s="317">
        <f t="shared" si="91"/>
        <v>0</v>
      </c>
      <c r="K150" s="317">
        <f t="shared" si="92"/>
        <v>0</v>
      </c>
      <c r="L150" s="317">
        <f t="shared" si="93"/>
        <v>0</v>
      </c>
      <c r="M150" s="317">
        <f t="shared" si="94"/>
        <v>0</v>
      </c>
      <c r="N150" s="317">
        <f t="shared" si="129"/>
        <v>0</v>
      </c>
      <c r="O150" s="317">
        <f t="shared" si="130"/>
        <v>0</v>
      </c>
      <c r="P150" s="317">
        <f t="shared" si="95"/>
        <v>0</v>
      </c>
      <c r="Q150" s="317">
        <f t="shared" si="96"/>
        <v>0</v>
      </c>
      <c r="R150" s="317">
        <f t="shared" si="97"/>
        <v>0</v>
      </c>
      <c r="S150" s="317">
        <f t="shared" si="98"/>
        <v>0</v>
      </c>
      <c r="T150" s="317">
        <f t="shared" si="131"/>
        <v>0</v>
      </c>
      <c r="U150" s="317">
        <f t="shared" si="132"/>
        <v>0</v>
      </c>
      <c r="V150" s="317">
        <f t="shared" si="99"/>
        <v>0</v>
      </c>
      <c r="W150" s="317">
        <f t="shared" si="100"/>
        <v>0</v>
      </c>
      <c r="X150" s="317">
        <f t="shared" si="101"/>
        <v>0</v>
      </c>
      <c r="Y150" s="317">
        <f t="shared" si="102"/>
        <v>0</v>
      </c>
      <c r="Z150" s="317">
        <f t="shared" si="103"/>
        <v>0</v>
      </c>
      <c r="AA150" s="317">
        <f t="shared" si="104"/>
        <v>0</v>
      </c>
      <c r="AB150" s="317">
        <f t="shared" si="105"/>
        <v>0</v>
      </c>
      <c r="AC150" s="317">
        <f t="shared" si="106"/>
        <v>0</v>
      </c>
      <c r="AD150" s="317">
        <f t="shared" si="107"/>
        <v>0</v>
      </c>
      <c r="AE150" s="317">
        <f t="shared" si="108"/>
        <v>0</v>
      </c>
      <c r="AF150" s="317">
        <f t="shared" si="133"/>
        <v>0</v>
      </c>
      <c r="AG150" s="317">
        <f t="shared" si="134"/>
        <v>0</v>
      </c>
      <c r="AH150" s="317">
        <f t="shared" si="109"/>
        <v>0</v>
      </c>
      <c r="AI150" s="317">
        <f t="shared" si="110"/>
        <v>0</v>
      </c>
      <c r="AJ150" s="317">
        <f t="shared" si="111"/>
        <v>0</v>
      </c>
      <c r="AK150" s="317">
        <f t="shared" si="112"/>
        <v>0</v>
      </c>
      <c r="AL150" s="317">
        <f t="shared" si="113"/>
        <v>41705364</v>
      </c>
      <c r="AM150" s="317">
        <f t="shared" si="114"/>
        <v>0</v>
      </c>
      <c r="AN150" s="317">
        <f t="shared" si="115"/>
        <v>0</v>
      </c>
      <c r="AO150" s="317">
        <f t="shared" si="116"/>
        <v>0</v>
      </c>
      <c r="AP150" s="317">
        <f t="shared" si="117"/>
        <v>0</v>
      </c>
      <c r="AQ150" s="317">
        <f t="shared" si="118"/>
        <v>0</v>
      </c>
      <c r="AR150" s="317">
        <f t="shared" si="119"/>
        <v>0</v>
      </c>
      <c r="AS150" s="317">
        <f t="shared" si="120"/>
        <v>0</v>
      </c>
      <c r="AT150" s="317">
        <f t="shared" si="121"/>
        <v>0</v>
      </c>
      <c r="AU150" s="317">
        <f t="shared" si="122"/>
        <v>0</v>
      </c>
      <c r="AV150" s="317">
        <f t="shared" si="123"/>
        <v>0</v>
      </c>
      <c r="AW150" s="317">
        <f t="shared" si="124"/>
        <v>0</v>
      </c>
      <c r="AX150" s="317">
        <f t="shared" si="125"/>
        <v>0</v>
      </c>
      <c r="AY150" s="317">
        <f t="shared" si="126"/>
        <v>0</v>
      </c>
      <c r="AZ150" s="317">
        <f t="shared" si="127"/>
        <v>0</v>
      </c>
      <c r="BA150" s="317">
        <f t="shared" si="128"/>
        <v>41705364</v>
      </c>
    </row>
    <row r="151" spans="1:53" s="314" customFormat="1" ht="15" customHeight="1">
      <c r="A151" s="63">
        <f t="array" aca="1" ref="A151" ca="1">IF(C151&lt;&gt;0,SUM(($C$11:C151&lt;&gt;0)*1),"")</f>
        <v>5</v>
      </c>
      <c r="B151" s="278">
        <v>42185</v>
      </c>
      <c r="C151" s="318" t="s">
        <v>150</v>
      </c>
      <c r="D151" s="318">
        <f t="shared" si="136"/>
        <v>42185</v>
      </c>
      <c r="E151" s="319" t="s">
        <v>154</v>
      </c>
      <c r="F151" s="85">
        <f ca="1">AO155</f>
        <v>0</v>
      </c>
      <c r="G151" s="320" t="s">
        <v>59</v>
      </c>
      <c r="H151" s="320" t="s">
        <v>144</v>
      </c>
      <c r="I151" s="63">
        <f t="shared" ca="1" si="135"/>
        <v>5</v>
      </c>
      <c r="J151" s="317">
        <f t="shared" si="91"/>
        <v>0</v>
      </c>
      <c r="K151" s="317">
        <f t="shared" si="92"/>
        <v>0</v>
      </c>
      <c r="L151" s="317">
        <f t="shared" si="93"/>
        <v>0</v>
      </c>
      <c r="M151" s="317">
        <f t="shared" si="94"/>
        <v>0</v>
      </c>
      <c r="N151" s="317">
        <f t="shared" si="129"/>
        <v>0</v>
      </c>
      <c r="O151" s="317">
        <f t="shared" si="130"/>
        <v>0</v>
      </c>
      <c r="P151" s="317">
        <f t="shared" si="95"/>
        <v>0</v>
      </c>
      <c r="Q151" s="317">
        <f t="shared" si="96"/>
        <v>0</v>
      </c>
      <c r="R151" s="317">
        <f t="shared" si="97"/>
        <v>0</v>
      </c>
      <c r="S151" s="317">
        <f t="shared" si="98"/>
        <v>0</v>
      </c>
      <c r="T151" s="317">
        <f t="shared" si="131"/>
        <v>0</v>
      </c>
      <c r="U151" s="317">
        <f t="shared" si="132"/>
        <v>0</v>
      </c>
      <c r="V151" s="317">
        <f t="shared" si="99"/>
        <v>0</v>
      </c>
      <c r="W151" s="317">
        <f t="shared" si="100"/>
        <v>0</v>
      </c>
      <c r="X151" s="317">
        <f t="shared" si="101"/>
        <v>0</v>
      </c>
      <c r="Y151" s="317">
        <f t="shared" si="102"/>
        <v>0</v>
      </c>
      <c r="Z151" s="317">
        <f t="shared" si="103"/>
        <v>0</v>
      </c>
      <c r="AA151" s="317">
        <f t="shared" si="104"/>
        <v>0</v>
      </c>
      <c r="AB151" s="317">
        <f t="shared" si="105"/>
        <v>0</v>
      </c>
      <c r="AC151" s="317">
        <f t="shared" si="106"/>
        <v>0</v>
      </c>
      <c r="AD151" s="317">
        <f t="shared" si="107"/>
        <v>0</v>
      </c>
      <c r="AE151" s="317">
        <f t="shared" si="108"/>
        <v>0</v>
      </c>
      <c r="AF151" s="317">
        <f t="shared" si="133"/>
        <v>0</v>
      </c>
      <c r="AG151" s="317">
        <f t="shared" si="134"/>
        <v>0</v>
      </c>
      <c r="AH151" s="317">
        <f t="shared" si="109"/>
        <v>0</v>
      </c>
      <c r="AI151" s="317">
        <f t="shared" si="110"/>
        <v>0</v>
      </c>
      <c r="AJ151" s="317">
        <f t="shared" si="111"/>
        <v>0</v>
      </c>
      <c r="AK151" s="317">
        <f t="shared" si="112"/>
        <v>0</v>
      </c>
      <c r="AL151" s="317">
        <f t="shared" si="113"/>
        <v>0</v>
      </c>
      <c r="AM151" s="317">
        <f t="shared" si="114"/>
        <v>0</v>
      </c>
      <c r="AN151" s="317">
        <f t="shared" ca="1" si="115"/>
        <v>0</v>
      </c>
      <c r="AO151" s="317">
        <f t="shared" si="116"/>
        <v>0</v>
      </c>
      <c r="AP151" s="317">
        <f t="shared" si="117"/>
        <v>0</v>
      </c>
      <c r="AQ151" s="317">
        <f t="shared" si="118"/>
        <v>0</v>
      </c>
      <c r="AR151" s="317">
        <f t="shared" si="119"/>
        <v>0</v>
      </c>
      <c r="AS151" s="317">
        <f t="shared" si="120"/>
        <v>0</v>
      </c>
      <c r="AT151" s="317">
        <f t="shared" si="121"/>
        <v>0</v>
      </c>
      <c r="AU151" s="317">
        <f t="shared" si="122"/>
        <v>0</v>
      </c>
      <c r="AV151" s="317">
        <f t="shared" si="123"/>
        <v>0</v>
      </c>
      <c r="AW151" s="317">
        <f t="shared" si="124"/>
        <v>0</v>
      </c>
      <c r="AX151" s="317">
        <f t="shared" si="125"/>
        <v>0</v>
      </c>
      <c r="AY151" s="317">
        <f t="shared" si="126"/>
        <v>0</v>
      </c>
      <c r="AZ151" s="317">
        <f t="shared" si="127"/>
        <v>0</v>
      </c>
      <c r="BA151" s="317">
        <f t="shared" ca="1" si="128"/>
        <v>0</v>
      </c>
    </row>
    <row r="152" spans="1:53" s="314" customFormat="1" ht="15" customHeight="1">
      <c r="A152" s="63">
        <f t="array" aca="1" ref="A152" ca="1">IF(C152&lt;&gt;0,SUM(($C$11:C152&lt;&gt;0)*1),"")</f>
        <v>6</v>
      </c>
      <c r="B152" s="278">
        <v>42185</v>
      </c>
      <c r="C152" s="318" t="s">
        <v>150</v>
      </c>
      <c r="D152" s="318">
        <f t="shared" si="136"/>
        <v>42185</v>
      </c>
      <c r="E152" s="319" t="s">
        <v>155</v>
      </c>
      <c r="F152" s="85">
        <f ca="1">AU155</f>
        <v>0</v>
      </c>
      <c r="G152" s="320" t="s">
        <v>138</v>
      </c>
      <c r="H152" s="320" t="s">
        <v>144</v>
      </c>
      <c r="I152" s="63">
        <f t="shared" ca="1" si="135"/>
        <v>6</v>
      </c>
      <c r="J152" s="317">
        <f t="shared" si="91"/>
        <v>0</v>
      </c>
      <c r="K152" s="317">
        <f t="shared" si="92"/>
        <v>0</v>
      </c>
      <c r="L152" s="317">
        <f t="shared" si="93"/>
        <v>0</v>
      </c>
      <c r="M152" s="317">
        <f t="shared" si="94"/>
        <v>0</v>
      </c>
      <c r="N152" s="317">
        <f t="shared" si="129"/>
        <v>0</v>
      </c>
      <c r="O152" s="317">
        <f t="shared" si="130"/>
        <v>0</v>
      </c>
      <c r="P152" s="317">
        <f t="shared" si="95"/>
        <v>0</v>
      </c>
      <c r="Q152" s="317">
        <f t="shared" si="96"/>
        <v>0</v>
      </c>
      <c r="R152" s="317">
        <f t="shared" si="97"/>
        <v>0</v>
      </c>
      <c r="S152" s="317">
        <f t="shared" si="98"/>
        <v>0</v>
      </c>
      <c r="T152" s="317">
        <f t="shared" si="131"/>
        <v>0</v>
      </c>
      <c r="U152" s="317">
        <f t="shared" si="132"/>
        <v>0</v>
      </c>
      <c r="V152" s="317">
        <f t="shared" si="99"/>
        <v>0</v>
      </c>
      <c r="W152" s="317">
        <f t="shared" si="100"/>
        <v>0</v>
      </c>
      <c r="X152" s="317">
        <f t="shared" si="101"/>
        <v>0</v>
      </c>
      <c r="Y152" s="317">
        <f t="shared" si="102"/>
        <v>0</v>
      </c>
      <c r="Z152" s="317">
        <f t="shared" si="103"/>
        <v>0</v>
      </c>
      <c r="AA152" s="317">
        <f t="shared" si="104"/>
        <v>0</v>
      </c>
      <c r="AB152" s="317">
        <f t="shared" si="105"/>
        <v>0</v>
      </c>
      <c r="AC152" s="317">
        <f t="shared" si="106"/>
        <v>0</v>
      </c>
      <c r="AD152" s="317">
        <f t="shared" si="107"/>
        <v>0</v>
      </c>
      <c r="AE152" s="317">
        <f t="shared" si="108"/>
        <v>0</v>
      </c>
      <c r="AF152" s="317">
        <f t="shared" si="133"/>
        <v>0</v>
      </c>
      <c r="AG152" s="317">
        <f t="shared" si="134"/>
        <v>0</v>
      </c>
      <c r="AH152" s="317">
        <f t="shared" si="109"/>
        <v>0</v>
      </c>
      <c r="AI152" s="317">
        <f t="shared" si="110"/>
        <v>0</v>
      </c>
      <c r="AJ152" s="317">
        <f t="shared" si="111"/>
        <v>0</v>
      </c>
      <c r="AK152" s="317">
        <f t="shared" si="112"/>
        <v>0</v>
      </c>
      <c r="AL152" s="317">
        <f t="shared" si="113"/>
        <v>0</v>
      </c>
      <c r="AM152" s="317">
        <f t="shared" si="114"/>
        <v>0</v>
      </c>
      <c r="AN152" s="317">
        <f t="shared" si="115"/>
        <v>0</v>
      </c>
      <c r="AO152" s="317">
        <f t="shared" si="116"/>
        <v>0</v>
      </c>
      <c r="AP152" s="317">
        <f t="shared" si="117"/>
        <v>0</v>
      </c>
      <c r="AQ152" s="317">
        <f t="shared" si="118"/>
        <v>0</v>
      </c>
      <c r="AR152" s="317">
        <f t="shared" si="119"/>
        <v>0</v>
      </c>
      <c r="AS152" s="317">
        <f t="shared" si="120"/>
        <v>0</v>
      </c>
      <c r="AT152" s="317">
        <f t="shared" ca="1" si="121"/>
        <v>0</v>
      </c>
      <c r="AU152" s="317">
        <f t="shared" si="122"/>
        <v>0</v>
      </c>
      <c r="AV152" s="317">
        <f t="shared" si="123"/>
        <v>0</v>
      </c>
      <c r="AW152" s="317">
        <f t="shared" si="124"/>
        <v>0</v>
      </c>
      <c r="AX152" s="317">
        <f t="shared" si="125"/>
        <v>0</v>
      </c>
      <c r="AY152" s="317">
        <f t="shared" si="126"/>
        <v>0</v>
      </c>
      <c r="AZ152" s="317">
        <f t="shared" si="127"/>
        <v>0</v>
      </c>
      <c r="BA152" s="317">
        <f t="shared" ca="1" si="128"/>
        <v>0</v>
      </c>
    </row>
    <row r="153" spans="1:53" s="314" customFormat="1" ht="15" customHeight="1">
      <c r="A153" s="63">
        <f t="array" aca="1" ref="A153" ca="1">IF(C153&lt;&gt;0,SUM(($C$11:C153&lt;&gt;0)*1),"")</f>
        <v>7</v>
      </c>
      <c r="B153" s="278">
        <v>42185</v>
      </c>
      <c r="C153" s="318" t="s">
        <v>150</v>
      </c>
      <c r="D153" s="318">
        <f t="shared" si="136"/>
        <v>42185</v>
      </c>
      <c r="E153" s="319" t="s">
        <v>156</v>
      </c>
      <c r="F153" s="85">
        <f ca="1">AV155</f>
        <v>0</v>
      </c>
      <c r="G153" s="320" t="s">
        <v>144</v>
      </c>
      <c r="H153" s="320" t="s">
        <v>140</v>
      </c>
      <c r="I153" s="63">
        <f t="shared" ca="1" si="135"/>
        <v>7</v>
      </c>
      <c r="J153" s="317">
        <f t="shared" si="91"/>
        <v>0</v>
      </c>
      <c r="K153" s="317">
        <f t="shared" si="92"/>
        <v>0</v>
      </c>
      <c r="L153" s="317">
        <f t="shared" si="93"/>
        <v>0</v>
      </c>
      <c r="M153" s="317">
        <f t="shared" si="94"/>
        <v>0</v>
      </c>
      <c r="N153" s="317">
        <f t="shared" si="129"/>
        <v>0</v>
      </c>
      <c r="O153" s="317">
        <f t="shared" si="130"/>
        <v>0</v>
      </c>
      <c r="P153" s="317">
        <f t="shared" si="95"/>
        <v>0</v>
      </c>
      <c r="Q153" s="317">
        <f t="shared" si="96"/>
        <v>0</v>
      </c>
      <c r="R153" s="317">
        <f t="shared" si="97"/>
        <v>0</v>
      </c>
      <c r="S153" s="317">
        <f t="shared" si="98"/>
        <v>0</v>
      </c>
      <c r="T153" s="317">
        <f t="shared" si="131"/>
        <v>0</v>
      </c>
      <c r="U153" s="317">
        <f t="shared" si="132"/>
        <v>0</v>
      </c>
      <c r="V153" s="317">
        <f t="shared" si="99"/>
        <v>0</v>
      </c>
      <c r="W153" s="317">
        <f t="shared" si="100"/>
        <v>0</v>
      </c>
      <c r="X153" s="317">
        <f t="shared" si="101"/>
        <v>0</v>
      </c>
      <c r="Y153" s="317">
        <f t="shared" si="102"/>
        <v>0</v>
      </c>
      <c r="Z153" s="317">
        <f t="shared" si="103"/>
        <v>0</v>
      </c>
      <c r="AA153" s="317">
        <f t="shared" si="104"/>
        <v>0</v>
      </c>
      <c r="AB153" s="317">
        <f t="shared" si="105"/>
        <v>0</v>
      </c>
      <c r="AC153" s="317">
        <f t="shared" si="106"/>
        <v>0</v>
      </c>
      <c r="AD153" s="317">
        <f t="shared" si="107"/>
        <v>0</v>
      </c>
      <c r="AE153" s="317">
        <f t="shared" si="108"/>
        <v>0</v>
      </c>
      <c r="AF153" s="317">
        <f t="shared" si="133"/>
        <v>0</v>
      </c>
      <c r="AG153" s="317">
        <f t="shared" si="134"/>
        <v>0</v>
      </c>
      <c r="AH153" s="317">
        <f t="shared" si="109"/>
        <v>0</v>
      </c>
      <c r="AI153" s="317">
        <f t="shared" si="110"/>
        <v>0</v>
      </c>
      <c r="AJ153" s="317">
        <f t="shared" si="111"/>
        <v>0</v>
      </c>
      <c r="AK153" s="317">
        <f t="shared" si="112"/>
        <v>0</v>
      </c>
      <c r="AL153" s="317">
        <f t="shared" si="113"/>
        <v>0</v>
      </c>
      <c r="AM153" s="317">
        <f t="shared" si="114"/>
        <v>0</v>
      </c>
      <c r="AN153" s="317">
        <f t="shared" si="115"/>
        <v>0</v>
      </c>
      <c r="AO153" s="317">
        <f t="shared" si="116"/>
        <v>0</v>
      </c>
      <c r="AP153" s="317">
        <f t="shared" si="117"/>
        <v>0</v>
      </c>
      <c r="AQ153" s="317">
        <f t="shared" si="118"/>
        <v>0</v>
      </c>
      <c r="AR153" s="317">
        <f t="shared" si="119"/>
        <v>0</v>
      </c>
      <c r="AS153" s="317">
        <f t="shared" si="120"/>
        <v>0</v>
      </c>
      <c r="AT153" s="317">
        <f t="shared" si="121"/>
        <v>0</v>
      </c>
      <c r="AU153" s="317">
        <f t="shared" si="122"/>
        <v>0</v>
      </c>
      <c r="AV153" s="317">
        <f t="shared" si="123"/>
        <v>0</v>
      </c>
      <c r="AW153" s="317">
        <f t="shared" ca="1" si="124"/>
        <v>0</v>
      </c>
      <c r="AX153" s="317">
        <f t="shared" si="125"/>
        <v>0</v>
      </c>
      <c r="AY153" s="317">
        <f t="shared" si="126"/>
        <v>0</v>
      </c>
      <c r="AZ153" s="317">
        <f t="shared" ca="1" si="127"/>
        <v>0</v>
      </c>
      <c r="BA153" s="317">
        <f t="shared" si="128"/>
        <v>0</v>
      </c>
    </row>
    <row r="154" spans="1:53" s="314" customFormat="1" ht="15" customHeight="1">
      <c r="A154" s="63" t="str">
        <f t="array" ref="A154">IF(C154&lt;&gt;0,SUM(($C$11:C154&lt;&gt;0)*1),"")</f>
        <v/>
      </c>
      <c r="B154" s="278"/>
      <c r="C154" s="321"/>
      <c r="D154" s="278"/>
      <c r="E154" s="316"/>
      <c r="F154" s="65"/>
      <c r="G154" s="322"/>
      <c r="H154" s="322"/>
      <c r="I154" s="63" t="str">
        <f>A154</f>
        <v/>
      </c>
      <c r="J154" s="317">
        <f t="shared" si="91"/>
        <v>0</v>
      </c>
      <c r="K154" s="317">
        <f t="shared" si="92"/>
        <v>0</v>
      </c>
      <c r="L154" s="317">
        <f t="shared" si="93"/>
        <v>0</v>
      </c>
      <c r="M154" s="317">
        <f t="shared" si="94"/>
        <v>0</v>
      </c>
      <c r="N154" s="317">
        <f t="shared" si="129"/>
        <v>0</v>
      </c>
      <c r="O154" s="317">
        <f t="shared" si="130"/>
        <v>0</v>
      </c>
      <c r="P154" s="317">
        <f t="shared" si="95"/>
        <v>0</v>
      </c>
      <c r="Q154" s="317">
        <f t="shared" si="96"/>
        <v>0</v>
      </c>
      <c r="R154" s="317">
        <f t="shared" si="97"/>
        <v>0</v>
      </c>
      <c r="S154" s="317">
        <f t="shared" si="98"/>
        <v>0</v>
      </c>
      <c r="T154" s="317">
        <f t="shared" si="131"/>
        <v>0</v>
      </c>
      <c r="U154" s="317">
        <f t="shared" si="132"/>
        <v>0</v>
      </c>
      <c r="V154" s="317">
        <f t="shared" si="99"/>
        <v>0</v>
      </c>
      <c r="W154" s="317">
        <f t="shared" si="100"/>
        <v>0</v>
      </c>
      <c r="X154" s="317">
        <f t="shared" si="101"/>
        <v>0</v>
      </c>
      <c r="Y154" s="317">
        <f t="shared" si="102"/>
        <v>0</v>
      </c>
      <c r="Z154" s="317">
        <f t="shared" si="103"/>
        <v>0</v>
      </c>
      <c r="AA154" s="317">
        <f t="shared" si="104"/>
        <v>0</v>
      </c>
      <c r="AB154" s="317">
        <f t="shared" si="105"/>
        <v>0</v>
      </c>
      <c r="AC154" s="317">
        <f t="shared" si="106"/>
        <v>0</v>
      </c>
      <c r="AD154" s="317">
        <f t="shared" si="107"/>
        <v>0</v>
      </c>
      <c r="AE154" s="317">
        <f t="shared" si="108"/>
        <v>0</v>
      </c>
      <c r="AF154" s="317">
        <f t="shared" si="133"/>
        <v>0</v>
      </c>
      <c r="AG154" s="317">
        <f t="shared" si="134"/>
        <v>0</v>
      </c>
      <c r="AH154" s="317">
        <f t="shared" si="109"/>
        <v>0</v>
      </c>
      <c r="AI154" s="317">
        <f t="shared" si="110"/>
        <v>0</v>
      </c>
      <c r="AJ154" s="317">
        <f t="shared" si="111"/>
        <v>0</v>
      </c>
      <c r="AK154" s="317">
        <f t="shared" si="112"/>
        <v>0</v>
      </c>
      <c r="AL154" s="317">
        <f t="shared" si="113"/>
        <v>0</v>
      </c>
      <c r="AM154" s="317">
        <f t="shared" si="114"/>
        <v>0</v>
      </c>
      <c r="AN154" s="317">
        <f t="shared" si="115"/>
        <v>0</v>
      </c>
      <c r="AO154" s="317">
        <f t="shared" si="116"/>
        <v>0</v>
      </c>
      <c r="AP154" s="317">
        <f t="shared" si="117"/>
        <v>0</v>
      </c>
      <c r="AQ154" s="317">
        <f t="shared" si="118"/>
        <v>0</v>
      </c>
      <c r="AR154" s="317">
        <f t="shared" si="119"/>
        <v>0</v>
      </c>
      <c r="AS154" s="317">
        <f t="shared" si="120"/>
        <v>0</v>
      </c>
      <c r="AT154" s="317">
        <f t="shared" si="121"/>
        <v>0</v>
      </c>
      <c r="AU154" s="317">
        <f t="shared" si="122"/>
        <v>0</v>
      </c>
      <c r="AV154" s="317">
        <f t="shared" si="123"/>
        <v>0</v>
      </c>
      <c r="AW154" s="317">
        <f t="shared" si="124"/>
        <v>0</v>
      </c>
      <c r="AX154" s="317">
        <f t="shared" si="125"/>
        <v>0</v>
      </c>
      <c r="AY154" s="317">
        <f t="shared" si="126"/>
        <v>0</v>
      </c>
      <c r="AZ154" s="317">
        <f t="shared" si="127"/>
        <v>0</v>
      </c>
      <c r="BA154" s="317">
        <f t="shared" si="128"/>
        <v>0</v>
      </c>
    </row>
    <row r="155" spans="1:53" s="314" customFormat="1" ht="15" customHeight="1">
      <c r="A155" s="323"/>
      <c r="B155" s="323"/>
      <c r="C155" s="323"/>
      <c r="D155" s="323"/>
      <c r="E155" s="316" t="s">
        <v>264</v>
      </c>
      <c r="F155" s="323"/>
      <c r="G155" s="322"/>
      <c r="H155" s="322"/>
      <c r="I155" s="323"/>
      <c r="J155" s="323">
        <f t="shared" ref="J155:BA155" ca="1" si="137">SUM(J11:J154)</f>
        <v>0</v>
      </c>
      <c r="K155" s="323">
        <f t="shared" ca="1" si="137"/>
        <v>10087000</v>
      </c>
      <c r="L155" s="323">
        <f t="shared" ca="1" si="137"/>
        <v>0</v>
      </c>
      <c r="M155" s="323">
        <f t="shared" ca="1" si="137"/>
        <v>0</v>
      </c>
      <c r="N155" s="323">
        <f ca="1">SUM(N11:N154)</f>
        <v>0</v>
      </c>
      <c r="O155" s="323">
        <f ca="1">SUM(O11:O154)</f>
        <v>0</v>
      </c>
      <c r="P155" s="323">
        <f t="shared" ca="1" si="137"/>
        <v>0</v>
      </c>
      <c r="Q155" s="323">
        <f t="shared" ca="1" si="137"/>
        <v>0</v>
      </c>
      <c r="R155" s="323">
        <f t="shared" ca="1" si="137"/>
        <v>0</v>
      </c>
      <c r="S155" s="323">
        <f t="shared" ca="1" si="137"/>
        <v>0</v>
      </c>
      <c r="T155" s="323">
        <f t="shared" ca="1" si="137"/>
        <v>10087000</v>
      </c>
      <c r="U155" s="323">
        <f t="shared" ca="1" si="137"/>
        <v>0</v>
      </c>
      <c r="V155" s="323">
        <f t="shared" ca="1" si="137"/>
        <v>0</v>
      </c>
      <c r="W155" s="323">
        <f t="shared" ca="1" si="137"/>
        <v>0</v>
      </c>
      <c r="X155" s="323">
        <f t="shared" ca="1" si="137"/>
        <v>0</v>
      </c>
      <c r="Y155" s="323">
        <f t="shared" ca="1" si="137"/>
        <v>0</v>
      </c>
      <c r="Z155" s="323">
        <f t="shared" ca="1" si="137"/>
        <v>0</v>
      </c>
      <c r="AA155" s="323">
        <f t="shared" ca="1" si="137"/>
        <v>0</v>
      </c>
      <c r="AB155" s="323">
        <f t="shared" ca="1" si="137"/>
        <v>0</v>
      </c>
      <c r="AC155" s="323">
        <f t="shared" ca="1" si="137"/>
        <v>0</v>
      </c>
      <c r="AD155" s="323">
        <f t="shared" ca="1" si="137"/>
        <v>0</v>
      </c>
      <c r="AE155" s="323">
        <f t="shared" ca="1" si="137"/>
        <v>0</v>
      </c>
      <c r="AF155" s="323">
        <f ca="1">SUM(AF11:AF154)</f>
        <v>0</v>
      </c>
      <c r="AG155" s="323">
        <f ca="1">SUM(AG11:AG154)</f>
        <v>0</v>
      </c>
      <c r="AH155" s="323">
        <f t="shared" ca="1" si="137"/>
        <v>0</v>
      </c>
      <c r="AI155" s="323">
        <f t="shared" ca="1" si="137"/>
        <v>0</v>
      </c>
      <c r="AJ155" s="323">
        <f t="shared" ca="1" si="137"/>
        <v>0</v>
      </c>
      <c r="AK155" s="323">
        <f t="shared" ca="1" si="137"/>
        <v>0</v>
      </c>
      <c r="AL155" s="323">
        <f t="shared" ca="1" si="137"/>
        <v>41705364</v>
      </c>
      <c r="AM155" s="323">
        <f t="shared" ca="1" si="137"/>
        <v>0</v>
      </c>
      <c r="AN155" s="323">
        <f t="shared" ca="1" si="137"/>
        <v>0</v>
      </c>
      <c r="AO155" s="323">
        <f t="shared" ca="1" si="137"/>
        <v>0</v>
      </c>
      <c r="AP155" s="323">
        <f t="shared" ca="1" si="137"/>
        <v>0</v>
      </c>
      <c r="AQ155" s="323">
        <f t="shared" ca="1" si="137"/>
        <v>0</v>
      </c>
      <c r="AR155" s="323">
        <f t="shared" ca="1" si="137"/>
        <v>0</v>
      </c>
      <c r="AS155" s="323">
        <f t="shared" ca="1" si="137"/>
        <v>0</v>
      </c>
      <c r="AT155" s="323">
        <f t="shared" ca="1" si="137"/>
        <v>0</v>
      </c>
      <c r="AU155" s="323">
        <f t="shared" ca="1" si="137"/>
        <v>0</v>
      </c>
      <c r="AV155" s="323">
        <f t="shared" ca="1" si="137"/>
        <v>0</v>
      </c>
      <c r="AW155" s="323">
        <f t="shared" ca="1" si="137"/>
        <v>0</v>
      </c>
      <c r="AX155" s="323">
        <f t="shared" ca="1" si="137"/>
        <v>0</v>
      </c>
      <c r="AY155" s="323">
        <f t="shared" ca="1" si="137"/>
        <v>0</v>
      </c>
      <c r="AZ155" s="323">
        <f t="shared" ca="1" si="137"/>
        <v>0</v>
      </c>
      <c r="BA155" s="323">
        <f t="shared" ca="1" si="137"/>
        <v>41705364</v>
      </c>
    </row>
    <row r="156" spans="1:53" s="314" customFormat="1" ht="15" customHeight="1">
      <c r="A156" s="324"/>
      <c r="B156" s="324"/>
      <c r="C156" s="324"/>
      <c r="D156" s="324"/>
      <c r="E156" s="325" t="s">
        <v>307</v>
      </c>
      <c r="F156" s="324"/>
      <c r="G156" s="326"/>
      <c r="H156" s="326"/>
      <c r="I156" s="324"/>
      <c r="J156" s="346">
        <f ca="1">MAX(J10+J155-K10-K155,0)</f>
        <v>1332078410</v>
      </c>
      <c r="K156" s="346">
        <f ca="1">MAX(K10+K155-J10-J155,0)</f>
        <v>0</v>
      </c>
      <c r="L156" s="346">
        <f ca="1">MAX(L10+L155-M10-M155,0)</f>
        <v>1694774692</v>
      </c>
      <c r="M156" s="346">
        <f ca="1">MAX(M10+M155-L10-L155,0)</f>
        <v>0</v>
      </c>
      <c r="N156" s="346">
        <f ca="1">MAX(N10+N155-O10-O155,0)</f>
        <v>0</v>
      </c>
      <c r="O156" s="346">
        <f ca="1">MAX(O10+O155-N10-N155,0)</f>
        <v>0</v>
      </c>
      <c r="P156" s="346">
        <f ca="1">MAX(P10+P155-Q10-Q155,0)</f>
        <v>0</v>
      </c>
      <c r="Q156" s="346">
        <f ca="1">MAX(Q10+Q155-P10-P155,0)</f>
        <v>0</v>
      </c>
      <c r="R156" s="346">
        <f ca="1">MAX(R10+R155-S10-S155,0)</f>
        <v>0</v>
      </c>
      <c r="S156" s="346">
        <f ca="1">MAX(S10+S155-R10-R155,0)</f>
        <v>0</v>
      </c>
      <c r="T156" s="346">
        <f ca="1">MAX(T10+T155-U10-U155,0)</f>
        <v>22610074302</v>
      </c>
      <c r="U156" s="346">
        <f ca="1">MAX(U10+U155-T10-T155,0)</f>
        <v>0</v>
      </c>
      <c r="V156" s="346">
        <f ca="1">MAX(V10+V155-W10-W155,0)</f>
        <v>4299540884</v>
      </c>
      <c r="W156" s="346">
        <f ca="1">MAX(W10+W155-V10-V155,0)</f>
        <v>0</v>
      </c>
      <c r="X156" s="346">
        <f ca="1">MAX(X10+X155-Y10-Y155,0)</f>
        <v>0</v>
      </c>
      <c r="Y156" s="346">
        <f ca="1">MAX(Y10+Y155-X10-X155,0)</f>
        <v>0</v>
      </c>
      <c r="Z156" s="346">
        <f ca="1">MAX(Z10+Z155-AA10-AA155,0)</f>
        <v>0</v>
      </c>
      <c r="AA156" s="346">
        <f ca="1">MAX(AA10+AA155-Z10-Z155,0)</f>
        <v>0</v>
      </c>
      <c r="AB156" s="346">
        <f ca="1">MAX(AB10+AB155-AC10-AC155,0)</f>
        <v>0</v>
      </c>
      <c r="AC156" s="346">
        <f ca="1">MAX(AC10+AC155-AB10-AB155,0)</f>
        <v>5000000000</v>
      </c>
      <c r="AD156" s="346">
        <f ca="1">MAX(AD10+AD155-AE10-AE155,0)</f>
        <v>0</v>
      </c>
      <c r="AE156" s="346">
        <f ca="1">MAX(AE10+AE155-AD10-AD155,0)</f>
        <v>20000000000</v>
      </c>
      <c r="AF156" s="346">
        <f ca="1">MAX(AF10+AF155-AG10-AG155,0)</f>
        <v>0</v>
      </c>
      <c r="AG156" s="346">
        <f ca="1">MAX(AG10+AG155-AF10-AF155,0)</f>
        <v>1982640000</v>
      </c>
      <c r="AH156" s="346">
        <f ca="1">MAX(AH10+AH155-AI10-AI155,0)</f>
        <v>0</v>
      </c>
      <c r="AI156" s="346">
        <f ca="1">MAX(AI10+AI155-AH10-AH155,0)</f>
        <v>4000000000</v>
      </c>
      <c r="AJ156" s="346">
        <f ca="1">MAX(AJ10+AJ155-AK10-AK155,0)</f>
        <v>583066238</v>
      </c>
      <c r="AK156" s="346">
        <f ca="1">MAX(AK10+AK155-AJ10-AJ155,0)</f>
        <v>0</v>
      </c>
      <c r="AL156" s="346">
        <f ca="1">MAX(AL10+AL155-AM10-AM155,0)</f>
        <v>44146223</v>
      </c>
      <c r="AM156" s="346">
        <f ca="1">MAX(AM10+AM155-AL10-AL155,0)</f>
        <v>0</v>
      </c>
      <c r="AN156" s="346">
        <f ca="1">MAX(AN10+AN155-AO10-AO155,0)</f>
        <v>0</v>
      </c>
      <c r="AO156" s="346">
        <f ca="1">MAX(AO10+AO155-AN10-AN155,0)</f>
        <v>0</v>
      </c>
      <c r="AP156" s="346">
        <f ca="1">MAX(AP10+AP155-AQ10-AQ155,0)</f>
        <v>0</v>
      </c>
      <c r="AQ156" s="346">
        <f ca="1">MAX(AQ10+AQ155-AP10-AP155,0)</f>
        <v>0</v>
      </c>
      <c r="AR156" s="346">
        <f ca="1">MAX(AR10+AR155-AS10-AS155,0)</f>
        <v>0</v>
      </c>
      <c r="AS156" s="346">
        <f ca="1">MAX(AS10+AS155-AR10-AR155,0)</f>
        <v>0</v>
      </c>
      <c r="AT156" s="346">
        <f ca="1">MAX(AT10+AT155-AU10-AU155,0)</f>
        <v>0</v>
      </c>
      <c r="AU156" s="346">
        <f ca="1">MAX(AU10+AU155-AT10-AT155,0)</f>
        <v>0</v>
      </c>
      <c r="AV156" s="346">
        <f ca="1">MAX(AV10+AV155-AW10-AW155,0)</f>
        <v>0</v>
      </c>
      <c r="AW156" s="346">
        <f ca="1">MAX(AW10+AW155-AV10-AV155,0)</f>
        <v>0</v>
      </c>
      <c r="AX156" s="346">
        <f ca="1">MAX(AX10+AX155-AY10-AY155,0)</f>
        <v>0</v>
      </c>
      <c r="AY156" s="346">
        <f ca="1">MAX(AY10+AY155-AX10-AX155,0)</f>
        <v>0</v>
      </c>
      <c r="AZ156" s="346">
        <f ca="1">MAX(AZ10+AZ155-BA10-BA155,0)</f>
        <v>0</v>
      </c>
      <c r="BA156" s="346">
        <f ca="1">MAX(BA10+BA155-AZ10-AZ155,0)</f>
        <v>33655343</v>
      </c>
    </row>
    <row r="157" spans="1:53" s="314" customFormat="1" ht="15" customHeight="1">
      <c r="A157" s="328"/>
      <c r="B157" s="328"/>
      <c r="C157" s="329"/>
      <c r="D157" s="328"/>
      <c r="E157" s="330" t="s">
        <v>308</v>
      </c>
      <c r="F157" s="328"/>
      <c r="G157" s="331"/>
      <c r="H157" s="331"/>
      <c r="I157" s="328"/>
      <c r="J157" s="328">
        <f ca="1">J155+'SC-I'!J76</f>
        <v>0</v>
      </c>
      <c r="K157" s="328">
        <f ca="1">K155+'SC-I'!K76</f>
        <v>10087000</v>
      </c>
      <c r="L157" s="328">
        <f ca="1">L155+'SC-I'!L76</f>
        <v>0</v>
      </c>
      <c r="M157" s="328">
        <f ca="1">M155+'SC-I'!M76</f>
        <v>0</v>
      </c>
      <c r="N157" s="328">
        <f ca="1">N155+'SC-I'!N76</f>
        <v>0</v>
      </c>
      <c r="O157" s="328">
        <f ca="1">O155+'SC-I'!O76</f>
        <v>0</v>
      </c>
      <c r="P157" s="328">
        <f ca="1">P155+'SC-I'!P76</f>
        <v>0</v>
      </c>
      <c r="Q157" s="328">
        <f ca="1">Q155+'SC-I'!Q76</f>
        <v>0</v>
      </c>
      <c r="R157" s="328">
        <f ca="1">R155+'SC-I'!T76</f>
        <v>0</v>
      </c>
      <c r="S157" s="328">
        <f ca="1">S155+'SC-I'!U76</f>
        <v>0</v>
      </c>
      <c r="T157" s="328">
        <f ca="1">T155+'SC-I'!V76</f>
        <v>10087000</v>
      </c>
      <c r="U157" s="328">
        <f ca="1">U155+'SC-I'!W76</f>
        <v>0</v>
      </c>
      <c r="V157" s="328">
        <f ca="1">V155+'SC-I'!X76</f>
        <v>0</v>
      </c>
      <c r="W157" s="328">
        <f ca="1">W155+'SC-I'!Y76</f>
        <v>10490880</v>
      </c>
      <c r="X157" s="328">
        <f ca="1">X155+'SC-I'!Z76</f>
        <v>0</v>
      </c>
      <c r="Y157" s="328">
        <f ca="1">Y155+'SC-I'!AA76</f>
        <v>0</v>
      </c>
      <c r="Z157" s="328">
        <f ca="1">Z155+'SC-I'!AB76</f>
        <v>0</v>
      </c>
      <c r="AA157" s="328">
        <f ca="1">AA155+'SC-I'!AC76</f>
        <v>0</v>
      </c>
      <c r="AB157" s="328">
        <f ca="1">AB155+'SC-I'!AD76</f>
        <v>0</v>
      </c>
      <c r="AC157" s="328">
        <f ca="1">AC155+'SC-I'!AE76</f>
        <v>0</v>
      </c>
      <c r="AD157" s="328">
        <f ca="1">AD155+'SC-I'!AF76</f>
        <v>0</v>
      </c>
      <c r="AE157" s="328">
        <f ca="1">AE155+'SC-I'!AG76</f>
        <v>0</v>
      </c>
      <c r="AF157" s="328">
        <f ca="1">AF155+'SC-I'!AH76</f>
        <v>0</v>
      </c>
      <c r="AG157" s="328">
        <f ca="1">AG155+'SC-I'!AI76</f>
        <v>0</v>
      </c>
      <c r="AH157" s="328">
        <f ca="1">AH155+'SC-I'!AJ76</f>
        <v>0</v>
      </c>
      <c r="AI157" s="328">
        <f ca="1">AI155+'SC-I'!AK76</f>
        <v>0</v>
      </c>
      <c r="AJ157" s="328">
        <f ca="1">AJ155+'SC-I'!AL76</f>
        <v>359476733</v>
      </c>
      <c r="AK157" s="328">
        <f ca="1">AK155+'SC-I'!AM76</f>
        <v>0</v>
      </c>
      <c r="AL157" s="328">
        <f ca="1">AL155+'SC-I'!AN76</f>
        <v>44146223</v>
      </c>
      <c r="AM157" s="328">
        <f ca="1">AM155+'SC-I'!AO76</f>
        <v>359476733</v>
      </c>
      <c r="AN157" s="328">
        <f ca="1">AN155+'SC-I'!AP76</f>
        <v>0</v>
      </c>
      <c r="AO157" s="328">
        <f ca="1">AO155+'SC-I'!AQ76</f>
        <v>0</v>
      </c>
      <c r="AP157" s="328">
        <f ca="1">AP155+'SC-I'!AR76</f>
        <v>0</v>
      </c>
      <c r="AQ157" s="328">
        <f ca="1">AQ155+'SC-I'!AS76</f>
        <v>0</v>
      </c>
      <c r="AR157" s="328">
        <f ca="1">AR155+'SC-I'!AT76</f>
        <v>10490880</v>
      </c>
      <c r="AS157" s="328">
        <f ca="1">AS155+'SC-I'!AU76</f>
        <v>10490880</v>
      </c>
      <c r="AT157" s="328">
        <f ca="1">AT155+'SC-I'!AV76</f>
        <v>0</v>
      </c>
      <c r="AU157" s="328">
        <f ca="1">AU155+'SC-I'!AW76</f>
        <v>0</v>
      </c>
      <c r="AV157" s="328">
        <f ca="1">AV155+'SC-I'!AX76</f>
        <v>0</v>
      </c>
      <c r="AW157" s="328">
        <f ca="1">AW155+'SC-I'!AY76</f>
        <v>0</v>
      </c>
      <c r="AX157" s="328">
        <f ca="1">AX155+'SC-I'!AZ76</f>
        <v>0</v>
      </c>
      <c r="AY157" s="328">
        <f ca="1">AY155+'SC-I'!BA76</f>
        <v>0</v>
      </c>
      <c r="AZ157" s="328">
        <f ca="1">AZ155+'SC-I'!BB76</f>
        <v>10490880</v>
      </c>
      <c r="BA157" s="328">
        <f ca="1">BA155+'SC-I'!BC76</f>
        <v>44146223</v>
      </c>
    </row>
    <row r="158" spans="1:53" ht="12" customHeight="1">
      <c r="B158" s="333"/>
      <c r="C158" s="334"/>
      <c r="D158" s="334"/>
      <c r="E158" s="334"/>
      <c r="F158" s="334"/>
      <c r="G158" s="335"/>
      <c r="H158" s="335"/>
      <c r="I158" s="334"/>
      <c r="J158" s="334"/>
      <c r="K158" s="334"/>
    </row>
    <row r="159" spans="1:53">
      <c r="M159" s="336"/>
      <c r="O159" s="336"/>
      <c r="Q159" s="336"/>
      <c r="R159" s="336"/>
      <c r="S159" s="336"/>
      <c r="T159" s="336"/>
      <c r="U159" s="336"/>
      <c r="V159" s="336"/>
      <c r="AM159" s="338"/>
      <c r="AN159" s="337" t="s">
        <v>338</v>
      </c>
      <c r="AO159" s="338"/>
      <c r="AP159" s="338"/>
      <c r="AQ159" s="338"/>
      <c r="AR159" s="339"/>
      <c r="AS159" s="339"/>
      <c r="AT159" s="338"/>
    </row>
    <row r="160" spans="1:53">
      <c r="M160" s="336"/>
      <c r="O160" s="336"/>
      <c r="Q160" s="336"/>
      <c r="R160" s="336"/>
      <c r="S160" s="336"/>
      <c r="T160" s="336"/>
      <c r="U160" s="336"/>
      <c r="V160" s="336"/>
      <c r="AM160" s="338"/>
      <c r="AN160" s="340" t="s">
        <v>312</v>
      </c>
      <c r="AO160" s="338"/>
      <c r="AP160" s="338"/>
      <c r="AQ160" s="338"/>
      <c r="AR160" s="339"/>
      <c r="AS160" s="339"/>
      <c r="AT160" s="338"/>
    </row>
    <row r="161" spans="13:52">
      <c r="M161" s="336"/>
      <c r="O161" s="336"/>
      <c r="Q161" s="336"/>
      <c r="R161" s="336"/>
      <c r="S161" s="336"/>
      <c r="T161" s="336"/>
      <c r="U161" s="336"/>
      <c r="V161" s="336"/>
      <c r="AL161" s="338"/>
      <c r="AM161" s="338"/>
      <c r="AN161" s="338"/>
      <c r="AO161" s="338"/>
      <c r="AP161" s="338"/>
      <c r="AQ161" s="338"/>
      <c r="AR161" s="338"/>
      <c r="AS161" s="338"/>
      <c r="AT161" s="339"/>
    </row>
    <row r="162" spans="13:52">
      <c r="M162" s="336"/>
      <c r="O162" s="336"/>
      <c r="Q162" s="336"/>
      <c r="R162" s="336"/>
      <c r="S162" s="336"/>
      <c r="T162" s="336"/>
      <c r="U162" s="336"/>
      <c r="V162" s="336"/>
      <c r="AL162" s="338"/>
      <c r="AM162" s="338"/>
      <c r="AN162" s="338"/>
      <c r="AO162" s="342" t="s">
        <v>14</v>
      </c>
      <c r="AQ162" s="338"/>
      <c r="AR162" s="338"/>
      <c r="AS162" s="338"/>
      <c r="AT162" s="339"/>
      <c r="AZ162" s="341" t="str">
        <f>"Ngày 30 tháng 06 năm 2015 "</f>
        <v xml:space="preserve">Ngày 30 tháng 06 năm 2015 </v>
      </c>
    </row>
    <row r="163" spans="13:52">
      <c r="M163" s="336"/>
      <c r="O163" s="336"/>
      <c r="Q163" s="336"/>
      <c r="R163" s="336"/>
      <c r="S163" s="336"/>
      <c r="T163" s="336"/>
      <c r="U163" s="336"/>
      <c r="V163" s="336"/>
      <c r="AL163" s="338"/>
      <c r="AN163" s="338"/>
      <c r="AO163" s="344" t="s">
        <v>16</v>
      </c>
      <c r="AQ163" s="338"/>
      <c r="AR163" s="338"/>
      <c r="AS163" s="343" t="s">
        <v>15</v>
      </c>
      <c r="AT163" s="339"/>
      <c r="AZ163" s="342" t="s">
        <v>206</v>
      </c>
    </row>
    <row r="164" spans="13:52">
      <c r="M164" s="336"/>
      <c r="O164" s="336"/>
      <c r="Q164" s="336"/>
      <c r="R164" s="336"/>
      <c r="S164" s="336"/>
      <c r="T164" s="336"/>
      <c r="U164" s="336"/>
      <c r="V164" s="336"/>
      <c r="AL164" s="338"/>
      <c r="AN164" s="338"/>
      <c r="AO164" s="338"/>
      <c r="AQ164" s="338"/>
      <c r="AR164" s="338"/>
      <c r="AS164" s="345" t="s">
        <v>16</v>
      </c>
      <c r="AT164" s="339"/>
      <c r="AZ164" s="344" t="s">
        <v>241</v>
      </c>
    </row>
    <row r="165" spans="13:52">
      <c r="M165" s="336"/>
      <c r="O165" s="336"/>
      <c r="Q165" s="336"/>
      <c r="R165" s="336"/>
      <c r="S165" s="336"/>
      <c r="T165" s="336"/>
      <c r="U165" s="336"/>
      <c r="V165" s="336"/>
      <c r="AL165" s="338"/>
      <c r="AN165" s="338"/>
      <c r="AO165" s="338"/>
      <c r="AP165" s="338"/>
      <c r="AQ165" s="338"/>
      <c r="AR165" s="338"/>
      <c r="AS165" s="338"/>
      <c r="AT165" s="339"/>
      <c r="AZ165" s="338"/>
    </row>
    <row r="166" spans="13:52">
      <c r="M166" s="336"/>
      <c r="O166" s="336"/>
      <c r="Q166" s="336"/>
      <c r="R166" s="336"/>
      <c r="S166" s="336"/>
      <c r="T166" s="336"/>
      <c r="U166" s="336"/>
      <c r="V166" s="336"/>
      <c r="AZ166" s="338"/>
    </row>
    <row r="167" spans="13:52">
      <c r="M167" s="336"/>
      <c r="O167" s="336"/>
      <c r="Q167" s="336"/>
      <c r="R167" s="336"/>
      <c r="S167" s="336"/>
      <c r="T167" s="336"/>
      <c r="U167" s="336"/>
      <c r="V167" s="336"/>
    </row>
    <row r="168" spans="13:52">
      <c r="M168" s="336"/>
      <c r="O168" s="336"/>
      <c r="Q168" s="336"/>
      <c r="R168" s="336"/>
      <c r="S168" s="336"/>
      <c r="T168" s="336"/>
      <c r="U168" s="336"/>
      <c r="V168" s="336"/>
    </row>
    <row r="169" spans="13:52">
      <c r="M169" s="336"/>
      <c r="O169" s="336"/>
      <c r="Q169" s="336"/>
      <c r="R169" s="336"/>
      <c r="S169" s="336"/>
      <c r="T169" s="336"/>
      <c r="U169" s="336"/>
      <c r="V169" s="336"/>
    </row>
    <row r="170" spans="13:52">
      <c r="M170" s="336"/>
      <c r="O170" s="336"/>
      <c r="Q170" s="336"/>
      <c r="R170" s="336"/>
      <c r="S170" s="336"/>
      <c r="T170" s="336"/>
      <c r="U170" s="336"/>
      <c r="V170" s="336"/>
    </row>
    <row r="171" spans="13:52">
      <c r="M171" s="336"/>
      <c r="O171" s="336"/>
      <c r="Q171" s="336"/>
      <c r="R171" s="336"/>
      <c r="S171" s="336"/>
      <c r="T171" s="336"/>
      <c r="U171" s="336"/>
      <c r="V171" s="336"/>
    </row>
    <row r="172" spans="13:52">
      <c r="M172" s="336"/>
      <c r="O172" s="336"/>
      <c r="Q172" s="336"/>
      <c r="R172" s="336"/>
      <c r="S172" s="336"/>
      <c r="T172" s="336"/>
      <c r="U172" s="336"/>
      <c r="V172" s="336"/>
    </row>
    <row r="173" spans="13:52">
      <c r="M173" s="336"/>
      <c r="O173" s="336"/>
      <c r="Q173" s="336"/>
      <c r="R173" s="336"/>
      <c r="S173" s="336"/>
      <c r="T173" s="336"/>
      <c r="U173" s="336"/>
      <c r="V173" s="336"/>
    </row>
    <row r="174" spans="13:52">
      <c r="M174" s="336"/>
      <c r="O174" s="336"/>
      <c r="Q174" s="336"/>
      <c r="R174" s="336"/>
      <c r="S174" s="336"/>
      <c r="T174" s="336"/>
      <c r="U174" s="336"/>
      <c r="V174" s="336"/>
    </row>
    <row r="175" spans="13:52">
      <c r="M175" s="336"/>
      <c r="O175" s="336"/>
      <c r="Q175" s="336"/>
      <c r="R175" s="336"/>
      <c r="S175" s="336"/>
      <c r="T175" s="336"/>
      <c r="U175" s="336"/>
      <c r="V175" s="336"/>
    </row>
    <row r="176" spans="13:52">
      <c r="M176" s="336"/>
      <c r="O176" s="336"/>
      <c r="Q176" s="336"/>
      <c r="R176" s="336"/>
      <c r="S176" s="336"/>
      <c r="T176" s="336"/>
      <c r="U176" s="336"/>
      <c r="V176" s="336"/>
    </row>
    <row r="177" spans="13:22">
      <c r="M177" s="336"/>
      <c r="O177" s="336"/>
      <c r="Q177" s="336"/>
      <c r="R177" s="336"/>
      <c r="S177" s="336"/>
      <c r="T177" s="336"/>
      <c r="U177" s="336"/>
      <c r="V177" s="336"/>
    </row>
    <row r="178" spans="13:22">
      <c r="M178" s="336"/>
      <c r="O178" s="336"/>
      <c r="Q178" s="336"/>
      <c r="R178" s="336"/>
      <c r="S178" s="336"/>
      <c r="T178" s="336"/>
      <c r="U178" s="336"/>
      <c r="V178" s="336"/>
    </row>
    <row r="179" spans="13:22">
      <c r="M179" s="336"/>
      <c r="O179" s="336"/>
      <c r="Q179" s="336"/>
      <c r="R179" s="336"/>
      <c r="S179" s="336"/>
      <c r="T179" s="336"/>
      <c r="U179" s="336"/>
      <c r="V179" s="336"/>
    </row>
    <row r="180" spans="13:22">
      <c r="M180" s="336"/>
      <c r="O180" s="336"/>
      <c r="Q180" s="336"/>
      <c r="R180" s="336"/>
      <c r="S180" s="336"/>
      <c r="T180" s="336"/>
      <c r="U180" s="336"/>
      <c r="V180" s="336"/>
    </row>
    <row r="181" spans="13:22">
      <c r="M181" s="336"/>
      <c r="O181" s="336"/>
      <c r="Q181" s="336"/>
      <c r="R181" s="336"/>
      <c r="S181" s="336"/>
      <c r="T181" s="336"/>
      <c r="U181" s="336"/>
      <c r="V181" s="336"/>
    </row>
    <row r="182" spans="13:22">
      <c r="M182" s="336"/>
      <c r="O182" s="336"/>
      <c r="Q182" s="336"/>
      <c r="R182" s="336"/>
      <c r="S182" s="336"/>
      <c r="T182" s="336"/>
      <c r="U182" s="336"/>
      <c r="V182" s="336"/>
    </row>
    <row r="183" spans="13:22">
      <c r="M183" s="336"/>
      <c r="O183" s="336"/>
      <c r="Q183" s="336"/>
      <c r="R183" s="336"/>
      <c r="S183" s="336"/>
      <c r="T183" s="336"/>
      <c r="U183" s="336"/>
      <c r="V183" s="336"/>
    </row>
    <row r="184" spans="13:22">
      <c r="M184" s="336"/>
      <c r="O184" s="336"/>
      <c r="Q184" s="336"/>
      <c r="R184" s="336"/>
      <c r="S184" s="336"/>
      <c r="T184" s="336"/>
      <c r="U184" s="336"/>
      <c r="V184" s="336"/>
    </row>
    <row r="185" spans="13:22">
      <c r="M185" s="336"/>
      <c r="O185" s="336"/>
      <c r="Q185" s="336"/>
      <c r="R185" s="336"/>
      <c r="S185" s="336"/>
      <c r="T185" s="336"/>
      <c r="U185" s="336"/>
      <c r="V185" s="336"/>
    </row>
    <row r="186" spans="13:22">
      <c r="M186" s="336"/>
      <c r="O186" s="336"/>
      <c r="Q186" s="336"/>
      <c r="R186" s="336"/>
      <c r="S186" s="336"/>
      <c r="T186" s="336"/>
      <c r="U186" s="336"/>
      <c r="V186" s="336"/>
    </row>
    <row r="187" spans="13:22">
      <c r="M187" s="336"/>
      <c r="O187" s="336"/>
      <c r="Q187" s="336"/>
      <c r="R187" s="336"/>
      <c r="S187" s="336"/>
      <c r="T187" s="336"/>
      <c r="U187" s="336"/>
      <c r="V187" s="336"/>
    </row>
    <row r="188" spans="13:22">
      <c r="M188" s="336"/>
      <c r="O188" s="336"/>
      <c r="Q188" s="336"/>
      <c r="R188" s="336"/>
      <c r="S188" s="336"/>
      <c r="T188" s="336"/>
      <c r="U188" s="336"/>
      <c r="V188" s="336"/>
    </row>
    <row r="189" spans="13:22">
      <c r="M189" s="336"/>
      <c r="O189" s="336"/>
      <c r="Q189" s="336"/>
      <c r="R189" s="336"/>
      <c r="S189" s="336"/>
      <c r="T189" s="336"/>
      <c r="U189" s="336"/>
      <c r="V189" s="336"/>
    </row>
    <row r="190" spans="13:22">
      <c r="M190" s="336"/>
      <c r="O190" s="336"/>
      <c r="Q190" s="336"/>
      <c r="R190" s="336"/>
      <c r="S190" s="336"/>
      <c r="T190" s="336"/>
      <c r="U190" s="336"/>
      <c r="V190" s="336"/>
    </row>
    <row r="191" spans="13:22">
      <c r="M191" s="336"/>
      <c r="O191" s="336"/>
      <c r="Q191" s="336"/>
      <c r="R191" s="336"/>
      <c r="S191" s="336"/>
      <c r="T191" s="336"/>
      <c r="U191" s="336"/>
      <c r="V191" s="336"/>
    </row>
    <row r="192" spans="13:22">
      <c r="M192" s="336"/>
      <c r="O192" s="336"/>
      <c r="Q192" s="336"/>
      <c r="R192" s="336"/>
      <c r="S192" s="336"/>
      <c r="T192" s="336"/>
      <c r="U192" s="336"/>
      <c r="V192" s="336"/>
    </row>
    <row r="193" spans="13:22">
      <c r="M193" s="336"/>
      <c r="O193" s="336"/>
      <c r="Q193" s="336"/>
      <c r="R193" s="336"/>
      <c r="S193" s="336"/>
      <c r="T193" s="336"/>
      <c r="U193" s="336"/>
      <c r="V193" s="336"/>
    </row>
    <row r="194" spans="13:22">
      <c r="M194" s="336"/>
      <c r="O194" s="336"/>
      <c r="Q194" s="336"/>
      <c r="R194" s="336"/>
      <c r="S194" s="336"/>
      <c r="T194" s="336"/>
      <c r="U194" s="336"/>
      <c r="V194" s="336"/>
    </row>
    <row r="195" spans="13:22">
      <c r="M195" s="336"/>
      <c r="O195" s="336"/>
      <c r="Q195" s="336"/>
      <c r="R195" s="336"/>
      <c r="S195" s="336"/>
      <c r="T195" s="336"/>
      <c r="U195" s="336"/>
      <c r="V195" s="336"/>
    </row>
    <row r="196" spans="13:22">
      <c r="M196" s="336"/>
      <c r="O196" s="336"/>
      <c r="Q196" s="336"/>
      <c r="R196" s="336"/>
      <c r="S196" s="336"/>
      <c r="T196" s="336"/>
      <c r="U196" s="336"/>
      <c r="V196" s="336"/>
    </row>
    <row r="197" spans="13:22">
      <c r="M197" s="336"/>
      <c r="O197" s="336"/>
      <c r="Q197" s="336"/>
      <c r="R197" s="336"/>
      <c r="S197" s="336"/>
      <c r="T197" s="336"/>
      <c r="U197" s="336"/>
      <c r="V197" s="336"/>
    </row>
    <row r="198" spans="13:22">
      <c r="M198" s="336"/>
      <c r="O198" s="336"/>
      <c r="Q198" s="336"/>
      <c r="R198" s="336"/>
      <c r="S198" s="336"/>
      <c r="T198" s="336"/>
      <c r="U198" s="336"/>
      <c r="V198" s="336"/>
    </row>
    <row r="199" spans="13:22">
      <c r="M199" s="336"/>
      <c r="O199" s="336"/>
      <c r="Q199" s="336"/>
      <c r="R199" s="336"/>
      <c r="S199" s="336"/>
      <c r="T199" s="336"/>
      <c r="U199" s="336"/>
      <c r="V199" s="336"/>
    </row>
    <row r="200" spans="13:22">
      <c r="M200" s="336"/>
      <c r="O200" s="336"/>
      <c r="Q200" s="336"/>
      <c r="R200" s="336"/>
      <c r="S200" s="336"/>
      <c r="T200" s="336"/>
      <c r="U200" s="336"/>
      <c r="V200" s="336"/>
    </row>
    <row r="201" spans="13:22">
      <c r="M201" s="336"/>
      <c r="O201" s="336"/>
      <c r="Q201" s="336"/>
      <c r="R201" s="336"/>
      <c r="S201" s="336"/>
      <c r="T201" s="336"/>
      <c r="U201" s="336"/>
      <c r="V201" s="336"/>
    </row>
    <row r="202" spans="13:22">
      <c r="M202" s="336"/>
      <c r="O202" s="336"/>
      <c r="Q202" s="336"/>
      <c r="R202" s="336"/>
      <c r="S202" s="336"/>
      <c r="T202" s="336"/>
      <c r="U202" s="336"/>
      <c r="V202" s="336"/>
    </row>
    <row r="203" spans="13:22">
      <c r="M203" s="336"/>
      <c r="O203" s="336"/>
      <c r="Q203" s="336"/>
      <c r="R203" s="336"/>
      <c r="S203" s="336"/>
      <c r="T203" s="336"/>
      <c r="U203" s="336"/>
      <c r="V203" s="336"/>
    </row>
    <row r="204" spans="13:22">
      <c r="M204" s="336"/>
      <c r="O204" s="336"/>
      <c r="Q204" s="336"/>
      <c r="R204" s="336"/>
      <c r="S204" s="336"/>
      <c r="T204" s="336"/>
      <c r="U204" s="336"/>
      <c r="V204" s="336"/>
    </row>
    <row r="205" spans="13:22">
      <c r="M205" s="336"/>
      <c r="O205" s="336"/>
      <c r="Q205" s="336"/>
      <c r="R205" s="336"/>
      <c r="S205" s="336"/>
      <c r="T205" s="336"/>
      <c r="U205" s="336"/>
      <c r="V205" s="336"/>
    </row>
    <row r="206" spans="13:22">
      <c r="M206" s="336"/>
      <c r="O206" s="336"/>
      <c r="Q206" s="336"/>
      <c r="R206" s="336"/>
      <c r="S206" s="336"/>
      <c r="T206" s="336"/>
      <c r="U206" s="336"/>
      <c r="V206" s="336"/>
    </row>
    <row r="207" spans="13:22">
      <c r="M207" s="336"/>
      <c r="O207" s="336"/>
      <c r="Q207" s="336"/>
      <c r="R207" s="336"/>
      <c r="S207" s="336"/>
      <c r="T207" s="336"/>
      <c r="U207" s="336"/>
      <c r="V207" s="336"/>
    </row>
    <row r="208" spans="13:22">
      <c r="M208" s="336"/>
      <c r="O208" s="336"/>
      <c r="Q208" s="336"/>
      <c r="R208" s="336"/>
      <c r="S208" s="336"/>
      <c r="T208" s="336"/>
      <c r="U208" s="336"/>
      <c r="V208" s="336"/>
    </row>
    <row r="209" spans="13:22">
      <c r="M209" s="336"/>
      <c r="O209" s="336"/>
      <c r="Q209" s="336"/>
      <c r="R209" s="336"/>
      <c r="S209" s="336"/>
      <c r="T209" s="336"/>
      <c r="U209" s="336"/>
      <c r="V209" s="336"/>
    </row>
    <row r="210" spans="13:22">
      <c r="M210" s="336"/>
      <c r="O210" s="336"/>
      <c r="Q210" s="336"/>
      <c r="R210" s="336"/>
      <c r="S210" s="336"/>
      <c r="T210" s="336"/>
      <c r="U210" s="336"/>
      <c r="V210" s="336"/>
    </row>
    <row r="211" spans="13:22">
      <c r="M211" s="336"/>
      <c r="O211" s="336"/>
      <c r="Q211" s="336"/>
      <c r="R211" s="336"/>
      <c r="S211" s="336"/>
      <c r="T211" s="336"/>
      <c r="U211" s="336"/>
      <c r="V211" s="336"/>
    </row>
    <row r="212" spans="13:22">
      <c r="M212" s="336"/>
      <c r="O212" s="336"/>
      <c r="Q212" s="336"/>
      <c r="R212" s="336"/>
      <c r="S212" s="336"/>
      <c r="T212" s="336"/>
      <c r="U212" s="336"/>
      <c r="V212" s="336"/>
    </row>
    <row r="213" spans="13:22">
      <c r="M213" s="336"/>
      <c r="O213" s="336"/>
      <c r="Q213" s="336"/>
      <c r="R213" s="336"/>
      <c r="S213" s="336"/>
      <c r="T213" s="336"/>
      <c r="U213" s="336"/>
      <c r="V213" s="336"/>
    </row>
    <row r="214" spans="13:22">
      <c r="M214" s="336"/>
      <c r="O214" s="336"/>
      <c r="Q214" s="336"/>
      <c r="R214" s="336"/>
      <c r="S214" s="336"/>
      <c r="T214" s="336"/>
      <c r="U214" s="336"/>
      <c r="V214" s="336"/>
    </row>
    <row r="215" spans="13:22">
      <c r="M215" s="336"/>
      <c r="O215" s="336"/>
      <c r="Q215" s="336"/>
      <c r="R215" s="336"/>
      <c r="S215" s="336"/>
      <c r="T215" s="336"/>
      <c r="U215" s="336"/>
      <c r="V215" s="336"/>
    </row>
    <row r="216" spans="13:22">
      <c r="M216" s="336"/>
      <c r="O216" s="336"/>
      <c r="Q216" s="336"/>
      <c r="R216" s="336"/>
      <c r="S216" s="336"/>
      <c r="T216" s="336"/>
      <c r="U216" s="336"/>
      <c r="V216" s="336"/>
    </row>
    <row r="217" spans="13:22">
      <c r="M217" s="336"/>
      <c r="O217" s="336"/>
      <c r="Q217" s="336"/>
      <c r="R217" s="336"/>
      <c r="S217" s="336"/>
      <c r="T217" s="336"/>
      <c r="U217" s="336"/>
      <c r="V217" s="336"/>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28515625" style="292" customWidth="1"/>
    <col min="3" max="3" width="7.85546875" style="292" customWidth="1"/>
    <col min="4" max="4" width="8.28515625" style="292" customWidth="1"/>
    <col min="5" max="5" width="44.7109375" style="292" customWidth="1"/>
    <col min="6" max="6" width="15.140625" style="347" customWidth="1"/>
    <col min="7" max="8" width="5.85546875" style="293" customWidth="1"/>
    <col min="9" max="9" width="4.85546875" style="292" customWidth="1"/>
    <col min="10" max="10" width="13.28515625" style="292" customWidth="1"/>
    <col min="11" max="11" width="12.85546875" style="292" customWidth="1"/>
    <col min="12" max="15" width="13.42578125" style="292" customWidth="1"/>
    <col min="16" max="16" width="13.5703125" style="292" customWidth="1"/>
    <col min="17" max="17" width="13.28515625" style="292" customWidth="1"/>
    <col min="18" max="18" width="13.5703125" style="292" customWidth="1"/>
    <col min="19" max="19" width="11.42578125" style="292" customWidth="1"/>
    <col min="20" max="20" width="13.7109375" style="292" customWidth="1"/>
    <col min="21" max="21" width="4.42578125" style="292" customWidth="1"/>
    <col min="22" max="22" width="14.140625" style="292" customWidth="1"/>
    <col min="23" max="23" width="13.85546875" style="292" customWidth="1"/>
    <col min="24" max="24" width="5.42578125" style="292" customWidth="1"/>
    <col min="25" max="25" width="6.140625" style="292" customWidth="1"/>
    <col min="26" max="26" width="9.5703125" style="292" customWidth="1"/>
    <col min="27" max="27" width="9.7109375" style="292" customWidth="1"/>
    <col min="28" max="28" width="13" style="292" customWidth="1"/>
    <col min="29" max="29" width="12.85546875" style="292" customWidth="1"/>
    <col min="30" max="30" width="4.5703125" style="292" customWidth="1"/>
    <col min="31" max="31" width="13.85546875" style="292" customWidth="1"/>
    <col min="32" max="32" width="4.5703125" style="292" customWidth="1"/>
    <col min="33" max="33" width="13.85546875" style="292" customWidth="1"/>
    <col min="34" max="34" width="4.7109375" style="292" customWidth="1"/>
    <col min="35" max="35" width="12.5703125" style="292" customWidth="1"/>
    <col min="36" max="36" width="11.7109375" style="292" customWidth="1"/>
    <col min="37" max="37" width="5.28515625" style="292" customWidth="1"/>
    <col min="38" max="38" width="11.140625" style="292" customWidth="1"/>
    <col min="39" max="39" width="10.28515625" style="292" customWidth="1"/>
    <col min="40" max="40" width="9.5703125" style="292" customWidth="1"/>
    <col min="41" max="41" width="9.140625" style="292" customWidth="1"/>
    <col min="42" max="42" width="12.7109375" style="292" customWidth="1"/>
    <col min="43" max="43" width="12.5703125" style="292" customWidth="1"/>
    <col min="44" max="44" width="15.140625" style="292" customWidth="1"/>
    <col min="45" max="45" width="15.5703125" style="292" customWidth="1"/>
    <col min="46" max="47" width="10.85546875" style="292" customWidth="1"/>
    <col min="48" max="48" width="7" style="292" customWidth="1"/>
    <col min="49" max="49" width="7.7109375" style="292" customWidth="1"/>
    <col min="50" max="50" width="7.140625" style="292" customWidth="1"/>
    <col min="51" max="51" width="6.7109375" style="292" customWidth="1"/>
    <col min="52" max="52" width="14.7109375" style="292" customWidth="1"/>
    <col min="53" max="53" width="15.140625" style="292" customWidth="1"/>
    <col min="54" max="16384" width="9.140625" style="292"/>
  </cols>
  <sheetData>
    <row r="1" spans="1:53" ht="12.75" customHeight="1">
      <c r="A1" s="288"/>
      <c r="B1" s="289" t="s">
        <v>157</v>
      </c>
      <c r="C1" s="290"/>
      <c r="D1" s="290"/>
      <c r="E1" s="291"/>
      <c r="I1" s="290"/>
      <c r="K1" s="1085" t="s">
        <v>282</v>
      </c>
      <c r="L1" s="1085"/>
      <c r="M1" s="1085"/>
      <c r="N1" s="1085"/>
      <c r="O1" s="1085"/>
      <c r="P1" s="1085"/>
      <c r="Q1" s="1085"/>
      <c r="R1" s="291"/>
      <c r="T1" s="290"/>
      <c r="U1" s="290"/>
      <c r="V1" s="290"/>
      <c r="W1" s="290"/>
      <c r="X1" s="290"/>
      <c r="Y1" s="290"/>
      <c r="Z1" s="290"/>
      <c r="AA1" s="290"/>
      <c r="AB1" s="290"/>
      <c r="AC1" s="290"/>
      <c r="AD1" s="290"/>
      <c r="AE1" s="290"/>
      <c r="AF1" s="498"/>
      <c r="AG1" s="498"/>
      <c r="AH1" s="290"/>
      <c r="AI1" s="290"/>
      <c r="AJ1" s="290"/>
      <c r="AK1" s="290"/>
      <c r="AL1" s="290"/>
      <c r="AM1" s="290"/>
      <c r="AN1" s="290"/>
      <c r="AO1" s="290"/>
      <c r="AP1" s="291"/>
      <c r="AQ1" s="291"/>
      <c r="AR1" s="290"/>
      <c r="AS1" s="290"/>
      <c r="AT1" s="290"/>
      <c r="AU1" s="290"/>
      <c r="AV1" s="290"/>
      <c r="AW1" s="290"/>
      <c r="AX1" s="290"/>
      <c r="AY1" s="290"/>
      <c r="AZ1" s="290"/>
      <c r="BA1" s="290"/>
    </row>
    <row r="2" spans="1:53" ht="12.75" customHeight="1">
      <c r="A2" s="288"/>
      <c r="B2" s="289" t="s">
        <v>271</v>
      </c>
      <c r="C2" s="290"/>
      <c r="D2" s="290"/>
      <c r="E2" s="290"/>
      <c r="I2" s="294"/>
      <c r="K2" s="1086" t="s">
        <v>224</v>
      </c>
      <c r="L2" s="1086"/>
      <c r="M2" s="1086"/>
      <c r="N2" s="1086"/>
      <c r="O2" s="1086"/>
      <c r="P2" s="1086"/>
      <c r="Q2" s="1086"/>
      <c r="R2" s="295"/>
      <c r="T2" s="294"/>
      <c r="U2" s="294"/>
      <c r="V2" s="294"/>
      <c r="W2" s="294"/>
      <c r="X2" s="294"/>
      <c r="Y2" s="294"/>
      <c r="Z2" s="294"/>
      <c r="AA2" s="294"/>
      <c r="AB2" s="294"/>
      <c r="AC2" s="294"/>
      <c r="AD2" s="294"/>
      <c r="AE2" s="294"/>
      <c r="AF2" s="499"/>
      <c r="AG2" s="499"/>
      <c r="AH2" s="294"/>
      <c r="AI2" s="294"/>
      <c r="AJ2" s="294"/>
      <c r="AK2" s="294"/>
      <c r="AL2" s="294"/>
      <c r="AM2" s="294"/>
      <c r="AN2" s="294"/>
      <c r="AO2" s="294"/>
      <c r="AP2" s="295"/>
      <c r="AQ2" s="295"/>
      <c r="AR2" s="294"/>
      <c r="AS2" s="294"/>
      <c r="AT2" s="294"/>
      <c r="AU2" s="294"/>
      <c r="AV2" s="294"/>
      <c r="AW2" s="294"/>
      <c r="AX2" s="294"/>
      <c r="AY2" s="294"/>
      <c r="AZ2" s="294"/>
      <c r="BA2" s="294"/>
    </row>
    <row r="3" spans="1:53" ht="10.5" customHeight="1">
      <c r="A3" s="290"/>
      <c r="B3" s="290"/>
      <c r="C3" s="290"/>
      <c r="D3" s="290"/>
      <c r="E3" s="290"/>
      <c r="F3" s="348"/>
      <c r="G3" s="296"/>
      <c r="H3" s="296"/>
      <c r="I3" s="294"/>
      <c r="K3" s="1086"/>
      <c r="L3" s="1086"/>
      <c r="M3" s="1086"/>
      <c r="N3" s="1086"/>
      <c r="O3" s="1086"/>
      <c r="P3" s="1086"/>
      <c r="Q3" s="1086"/>
      <c r="R3" s="295"/>
      <c r="T3" s="294"/>
      <c r="U3" s="294"/>
      <c r="V3" s="294"/>
      <c r="W3" s="294"/>
      <c r="X3" s="294"/>
      <c r="Y3" s="294"/>
      <c r="Z3" s="294"/>
      <c r="AA3" s="294"/>
      <c r="AB3" s="294"/>
      <c r="AC3" s="294"/>
      <c r="AD3" s="294"/>
      <c r="AE3" s="294"/>
      <c r="AF3" s="499"/>
      <c r="AG3" s="499"/>
      <c r="AH3" s="294"/>
      <c r="AI3" s="294"/>
      <c r="AJ3" s="294"/>
      <c r="AK3" s="294"/>
      <c r="AL3" s="294"/>
      <c r="AM3" s="294"/>
      <c r="AN3" s="294"/>
      <c r="AO3" s="294"/>
      <c r="AP3" s="295"/>
      <c r="AQ3" s="295"/>
      <c r="AR3" s="294"/>
      <c r="AS3" s="294"/>
      <c r="AT3" s="294"/>
      <c r="AU3" s="294"/>
      <c r="AV3" s="294"/>
      <c r="AW3" s="294"/>
      <c r="AX3" s="294"/>
      <c r="AY3" s="294"/>
      <c r="AZ3" s="294"/>
      <c r="BA3" s="294"/>
    </row>
    <row r="4" spans="1:53" ht="19.5" customHeight="1">
      <c r="B4" s="1087" t="s">
        <v>147</v>
      </c>
      <c r="C4" s="1087"/>
      <c r="D4" s="1087"/>
      <c r="E4" s="1087"/>
      <c r="F4" s="1087"/>
      <c r="G4" s="1087"/>
      <c r="H4" s="1087"/>
      <c r="I4" s="1087"/>
      <c r="J4" s="1087"/>
      <c r="K4" s="1087"/>
      <c r="L4" s="1087"/>
      <c r="M4" s="1087"/>
      <c r="N4" s="1087"/>
      <c r="O4" s="1087"/>
      <c r="P4" s="1087"/>
      <c r="Q4" s="1087"/>
      <c r="R4" s="1087"/>
      <c r="S4" s="297"/>
      <c r="T4" s="299"/>
      <c r="U4" s="299"/>
      <c r="V4" s="299"/>
      <c r="W4" s="299"/>
      <c r="X4" s="299"/>
      <c r="Y4" s="299"/>
      <c r="Z4" s="299"/>
      <c r="AA4" s="299"/>
      <c r="AB4" s="299"/>
      <c r="AC4" s="299"/>
      <c r="AD4" s="299"/>
      <c r="AE4" s="299"/>
      <c r="AF4" s="299"/>
      <c r="AG4" s="299"/>
      <c r="AH4" s="299"/>
      <c r="AI4" s="299"/>
      <c r="AJ4" s="299"/>
      <c r="AK4" s="299"/>
      <c r="AL4" s="299"/>
      <c r="AM4" s="299"/>
      <c r="AN4" s="299"/>
      <c r="AO4" s="299"/>
      <c r="AP4" s="349"/>
      <c r="AQ4" s="349"/>
      <c r="AR4" s="299"/>
      <c r="AS4" s="299"/>
      <c r="AT4" s="299"/>
      <c r="AU4" s="299"/>
      <c r="AV4" s="299"/>
      <c r="AW4" s="299"/>
      <c r="AX4" s="299"/>
      <c r="AY4" s="299"/>
      <c r="AZ4" s="299"/>
      <c r="BA4" s="299"/>
    </row>
    <row r="5" spans="1:53" ht="15">
      <c r="B5" s="1088" t="s">
        <v>313</v>
      </c>
      <c r="C5" s="1088"/>
      <c r="D5" s="1088"/>
      <c r="E5" s="1088"/>
      <c r="F5" s="1088"/>
      <c r="G5" s="1088"/>
      <c r="H5" s="1088"/>
      <c r="I5" s="1088"/>
      <c r="J5" s="1088"/>
      <c r="K5" s="1088"/>
      <c r="L5" s="1088"/>
      <c r="M5" s="1088"/>
      <c r="N5" s="1088"/>
      <c r="O5" s="1088"/>
      <c r="P5" s="1088"/>
      <c r="Q5" s="1088"/>
      <c r="R5" s="1088"/>
      <c r="S5" s="300"/>
      <c r="AP5" s="300"/>
      <c r="AQ5" s="300"/>
    </row>
    <row r="7" spans="1:53" ht="13.5" customHeight="1">
      <c r="A7" s="1089" t="s">
        <v>46</v>
      </c>
      <c r="B7" s="1083" t="s">
        <v>27</v>
      </c>
      <c r="C7" s="1091" t="s">
        <v>1</v>
      </c>
      <c r="D7" s="1092"/>
      <c r="E7" s="1083" t="s">
        <v>0</v>
      </c>
      <c r="F7" s="1083" t="s">
        <v>148</v>
      </c>
      <c r="G7" s="1093" t="s">
        <v>149</v>
      </c>
      <c r="H7" s="1093"/>
      <c r="I7" s="1084" t="s">
        <v>46</v>
      </c>
      <c r="J7" s="1083" t="s">
        <v>284</v>
      </c>
      <c r="K7" s="1083"/>
      <c r="L7" s="1083" t="s">
        <v>285</v>
      </c>
      <c r="M7" s="1083"/>
      <c r="N7" s="1083" t="s">
        <v>464</v>
      </c>
      <c r="O7" s="1083"/>
      <c r="P7" s="1083" t="s">
        <v>286</v>
      </c>
      <c r="Q7" s="1083"/>
      <c r="R7" s="1083" t="s">
        <v>287</v>
      </c>
      <c r="S7" s="1083"/>
      <c r="T7" s="1083" t="s">
        <v>288</v>
      </c>
      <c r="U7" s="1083"/>
      <c r="V7" s="1083" t="s">
        <v>289</v>
      </c>
      <c r="W7" s="1083"/>
      <c r="X7" s="1083" t="s">
        <v>290</v>
      </c>
      <c r="Y7" s="1083"/>
      <c r="Z7" s="1083" t="s">
        <v>291</v>
      </c>
      <c r="AA7" s="1083"/>
      <c r="AB7" s="1083" t="s">
        <v>292</v>
      </c>
      <c r="AC7" s="1083"/>
      <c r="AD7" s="1083" t="s">
        <v>293</v>
      </c>
      <c r="AE7" s="1083"/>
      <c r="AF7" s="1083" t="s">
        <v>454</v>
      </c>
      <c r="AG7" s="1083"/>
      <c r="AH7" s="1083" t="s">
        <v>294</v>
      </c>
      <c r="AI7" s="1083"/>
      <c r="AJ7" s="1083" t="s">
        <v>295</v>
      </c>
      <c r="AK7" s="1083"/>
      <c r="AL7" s="1083" t="s">
        <v>296</v>
      </c>
      <c r="AM7" s="1083"/>
      <c r="AN7" s="1083" t="s">
        <v>297</v>
      </c>
      <c r="AO7" s="1083"/>
      <c r="AP7" s="1083" t="s">
        <v>298</v>
      </c>
      <c r="AQ7" s="1083"/>
      <c r="AR7" s="1083" t="s">
        <v>299</v>
      </c>
      <c r="AS7" s="1083"/>
      <c r="AT7" s="1083" t="s">
        <v>300</v>
      </c>
      <c r="AU7" s="1083"/>
      <c r="AV7" s="1083" t="s">
        <v>301</v>
      </c>
      <c r="AW7" s="1083"/>
      <c r="AX7" s="1083" t="s">
        <v>302</v>
      </c>
      <c r="AY7" s="1083"/>
      <c r="AZ7" s="1083" t="s">
        <v>303</v>
      </c>
      <c r="BA7" s="1083"/>
    </row>
    <row r="8" spans="1:53" ht="22.5" customHeight="1">
      <c r="A8" s="1090"/>
      <c r="B8" s="1083"/>
      <c r="C8" s="303" t="s">
        <v>20</v>
      </c>
      <c r="D8" s="302" t="s">
        <v>39</v>
      </c>
      <c r="E8" s="1083"/>
      <c r="F8" s="1083"/>
      <c r="G8" s="304" t="s">
        <v>29</v>
      </c>
      <c r="H8" s="304" t="s">
        <v>30</v>
      </c>
      <c r="I8" s="1084"/>
      <c r="J8" s="302" t="s">
        <v>29</v>
      </c>
      <c r="K8" s="302" t="s">
        <v>30</v>
      </c>
      <c r="L8" s="302" t="s">
        <v>29</v>
      </c>
      <c r="M8" s="302" t="s">
        <v>30</v>
      </c>
      <c r="N8" s="502" t="s">
        <v>29</v>
      </c>
      <c r="O8" s="502"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7" t="s">
        <v>29</v>
      </c>
      <c r="AG8" s="497"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75" customHeight="1">
      <c r="A10" s="63" t="str">
        <f t="array" ref="A10">IF(C10&lt;&gt;0,SUM(($C10:C$16&lt;&gt;0)*1),"")</f>
        <v/>
      </c>
      <c r="B10" s="307"/>
      <c r="C10" s="308"/>
      <c r="D10" s="307"/>
      <c r="E10" s="309" t="s">
        <v>262</v>
      </c>
      <c r="F10" s="310"/>
      <c r="G10" s="311"/>
      <c r="H10" s="311"/>
      <c r="I10" s="312"/>
      <c r="J10" s="313">
        <f ca="1">'SC-II'!J156</f>
        <v>1332078410</v>
      </c>
      <c r="K10" s="313">
        <f ca="1">'SC-II'!K156</f>
        <v>0</v>
      </c>
      <c r="L10" s="313">
        <f ca="1">'SC-II'!L156</f>
        <v>1694774692</v>
      </c>
      <c r="M10" s="313">
        <f ca="1">'SC-II'!M156</f>
        <v>0</v>
      </c>
      <c r="N10" s="313">
        <f ca="1">'SC-II'!N156</f>
        <v>0</v>
      </c>
      <c r="O10" s="313">
        <f ca="1">'SC-II'!O156</f>
        <v>0</v>
      </c>
      <c r="P10" s="313">
        <f ca="1">'SC-II'!P156</f>
        <v>0</v>
      </c>
      <c r="Q10" s="313">
        <f ca="1">'SC-II'!Q156</f>
        <v>0</v>
      </c>
      <c r="R10" s="313">
        <f ca="1">'SC-II'!R156</f>
        <v>0</v>
      </c>
      <c r="S10" s="313">
        <f ca="1">'SC-II'!S156</f>
        <v>0</v>
      </c>
      <c r="T10" s="313">
        <f ca="1">'SC-II'!T156</f>
        <v>22610074302</v>
      </c>
      <c r="U10" s="313">
        <f ca="1">'SC-II'!U156</f>
        <v>0</v>
      </c>
      <c r="V10" s="313">
        <f ca="1">'SC-II'!V156</f>
        <v>4299540884</v>
      </c>
      <c r="W10" s="313">
        <f ca="1">'SC-II'!W156</f>
        <v>0</v>
      </c>
      <c r="X10" s="313">
        <f ca="1">'SC-II'!X156</f>
        <v>0</v>
      </c>
      <c r="Y10" s="313">
        <f ca="1">'SC-II'!Y156</f>
        <v>0</v>
      </c>
      <c r="Z10" s="313">
        <f ca="1">'SC-II'!Z156</f>
        <v>0</v>
      </c>
      <c r="AA10" s="313">
        <f ca="1">'SC-II'!AA156</f>
        <v>0</v>
      </c>
      <c r="AB10" s="313">
        <f ca="1">'SC-II'!AB156</f>
        <v>0</v>
      </c>
      <c r="AC10" s="313">
        <f ca="1">'SC-II'!AC156</f>
        <v>5000000000</v>
      </c>
      <c r="AD10" s="313">
        <f ca="1">'SC-II'!AD156</f>
        <v>0</v>
      </c>
      <c r="AE10" s="313">
        <f ca="1">'SC-II'!AE156</f>
        <v>20000000000</v>
      </c>
      <c r="AF10" s="313">
        <f ca="1">'SC-II'!AF156</f>
        <v>0</v>
      </c>
      <c r="AG10" s="313">
        <f ca="1">'SC-II'!AG156</f>
        <v>1982640000</v>
      </c>
      <c r="AH10" s="313">
        <f ca="1">'SC-II'!AH156</f>
        <v>0</v>
      </c>
      <c r="AI10" s="313">
        <f ca="1">'SC-II'!AI156</f>
        <v>4000000000</v>
      </c>
      <c r="AJ10" s="313">
        <f ca="1">'SC-II'!AJ156</f>
        <v>583066238</v>
      </c>
      <c r="AK10" s="313">
        <f ca="1">'SC-II'!AK156</f>
        <v>0</v>
      </c>
      <c r="AL10" s="313">
        <f ca="1">'SC-II'!AL156</f>
        <v>44146223</v>
      </c>
      <c r="AM10" s="313">
        <f ca="1">'SC-II'!AM156</f>
        <v>0</v>
      </c>
      <c r="AN10" s="313">
        <f ca="1">'SC-II'!AN156</f>
        <v>0</v>
      </c>
      <c r="AO10" s="313">
        <f ca="1">'SC-II'!AO156</f>
        <v>0</v>
      </c>
      <c r="AP10" s="313">
        <f ca="1">'SC-II'!AP156</f>
        <v>0</v>
      </c>
      <c r="AQ10" s="313">
        <f ca="1">'SC-II'!AQ156</f>
        <v>0</v>
      </c>
      <c r="AR10" s="313">
        <f ca="1">'SC-II'!AR156</f>
        <v>0</v>
      </c>
      <c r="AS10" s="313">
        <f ca="1">'SC-II'!AS156</f>
        <v>0</v>
      </c>
      <c r="AT10" s="313">
        <f ca="1">'SC-II'!AT156</f>
        <v>0</v>
      </c>
      <c r="AU10" s="313">
        <f ca="1">'SC-II'!AU156</f>
        <v>0</v>
      </c>
      <c r="AV10" s="313">
        <f ca="1">'SC-II'!AV156</f>
        <v>0</v>
      </c>
      <c r="AW10" s="313">
        <f ca="1">'SC-II'!AW156</f>
        <v>0</v>
      </c>
      <c r="AX10" s="313">
        <f ca="1">'SC-II'!AX156</f>
        <v>0</v>
      </c>
      <c r="AY10" s="313">
        <f ca="1">'SC-II'!AY156</f>
        <v>0</v>
      </c>
      <c r="AZ10" s="313">
        <f ca="1">'SC-II'!AZ156</f>
        <v>0</v>
      </c>
      <c r="BA10" s="313">
        <f ca="1">'SC-II'!BA156</f>
        <v>33655343</v>
      </c>
    </row>
    <row r="11" spans="1:53" s="314" customFormat="1" ht="15.75" customHeight="1">
      <c r="A11" s="63">
        <f t="array" aca="1" ref="A11" ca="1">IF(C11&lt;&gt;0,SUM(($C$11:C11&lt;&gt;0)*1),"")</f>
        <v>1</v>
      </c>
      <c r="B11" s="315">
        <f ca="1">IF(ROWS($1:1)&gt;COUNT(Dong8),"",OFFSET(TH!C$1,SMALL(Dong8,ROWS($1:1)),))</f>
        <v>42562</v>
      </c>
      <c r="C11" s="315" t="str">
        <f ca="1">IF(ROWS($1:1)&gt;COUNT(Dong8),"",OFFSET(TH!D$1,SMALL(Dong8,ROWS($1:1)),))</f>
        <v>CTGS</v>
      </c>
      <c r="D11" s="315">
        <f ca="1">IF(ROWS($1:1)&gt;COUNT(Dong8),"",OFFSET(TH!E$1,SMALL(Dong8,ROWS($1:1)),))</f>
        <v>42562</v>
      </c>
      <c r="E11" s="432" t="str">
        <f ca="1">IF(ROWS($1:1)&gt;COUNT(Dong8),"",OFFSET(TH!F$1,SMALL(Dong8,ROWS($1:1)),))</f>
        <v>Tiền điện kỳ 1 T7/2016</v>
      </c>
      <c r="F11" s="371">
        <f ca="1">IF(ROWS($1:1)&gt;COUNT(Dong8),"",OFFSET(TH!M$1,SMALL(Dong8,ROWS($1:1)),))</f>
        <v>24508900</v>
      </c>
      <c r="G11" s="373" t="str">
        <f ca="1">IF(ROWS($1:1)&gt;COUNT(Dong8),"",OFFSET(TH!N$1,SMALL(Dong8,ROWS($1:1)),))</f>
        <v>642</v>
      </c>
      <c r="H11" s="373" t="str">
        <f ca="1">IF(ROWS($1:1)&gt;COUNT(Dong8),"",OFFSET(TH!O$1,SMALL(Dong8,ROWS($1:1)),))</f>
        <v>331</v>
      </c>
      <c r="I11" s="63">
        <f t="shared" ref="I11:I26"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24508900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24508900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75" customHeight="1">
      <c r="A12" s="63" t="str">
        <f t="array" ref="A12">IF(C12&lt;&gt;0,SUM(($C$11:C12&lt;&gt;0)*1),"")</f>
        <v/>
      </c>
      <c r="B12" s="315"/>
      <c r="C12" s="315"/>
      <c r="D12" s="315"/>
      <c r="E12" s="432"/>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75" customHeight="1">
      <c r="A13" s="63" t="str">
        <f t="array" ref="A13">IF(C13&lt;&gt;0,SUM(($C$11:C13&lt;&gt;0)*1),"")</f>
        <v/>
      </c>
      <c r="B13" s="315"/>
      <c r="C13" s="315"/>
      <c r="D13" s="315"/>
      <c r="E13" s="432"/>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75" customHeight="1">
      <c r="A14" s="63" t="str">
        <f t="array" ref="A14">IF(C14&lt;&gt;0,SUM(($C$11:C14&lt;&gt;0)*1),"")</f>
        <v/>
      </c>
      <c r="B14" s="315"/>
      <c r="C14" s="315"/>
      <c r="D14" s="315"/>
      <c r="E14" s="432"/>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75" customHeight="1">
      <c r="A15" s="63" t="str">
        <f t="array" ref="A15">IF(C15&lt;&gt;0,SUM(($C$11:C15&lt;&gt;0)*1),"")</f>
        <v/>
      </c>
      <c r="B15" s="315"/>
      <c r="C15" s="315"/>
      <c r="D15" s="315"/>
      <c r="E15" s="432"/>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75" customHeight="1">
      <c r="A16" s="63" t="str">
        <f t="array" ref="A16">IF(C16&lt;&gt;0,SUM(($C$11:C16&lt;&gt;0)*1),"")</f>
        <v/>
      </c>
      <c r="B16" s="315"/>
      <c r="C16" s="315"/>
      <c r="D16" s="315"/>
      <c r="E16" s="432"/>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75" customHeight="1">
      <c r="A17" s="63" t="str">
        <f t="array" ref="A17">IF(C17&lt;&gt;0,SUM(($C$11:C17&lt;&gt;0)*1),"")</f>
        <v/>
      </c>
      <c r="B17" s="315"/>
      <c r="C17" s="315"/>
      <c r="D17" s="315"/>
      <c r="E17" s="432"/>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75" customHeight="1">
      <c r="A18" s="63" t="str">
        <f t="array" ref="A18">IF(C18&lt;&gt;0,SUM(($C$11:C18&lt;&gt;0)*1),"")</f>
        <v/>
      </c>
      <c r="B18" s="315"/>
      <c r="C18" s="315"/>
      <c r="D18" s="315"/>
      <c r="E18" s="432"/>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75" customHeight="1">
      <c r="A19" s="63" t="str">
        <f t="array" ref="A19">IF(C19&lt;&gt;0,SUM(($C$11:C19&lt;&gt;0)*1),"")</f>
        <v/>
      </c>
      <c r="B19" s="315"/>
      <c r="C19" s="315"/>
      <c r="D19" s="315"/>
      <c r="E19" s="432"/>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75" customHeight="1">
      <c r="A20" s="63" t="str">
        <f t="array" ref="A20">IF(C20&lt;&gt;0,SUM(($C$11:C20&lt;&gt;0)*1),"")</f>
        <v/>
      </c>
      <c r="B20" s="315"/>
      <c r="C20" s="315"/>
      <c r="D20" s="315"/>
      <c r="E20" s="432"/>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75" customHeight="1">
      <c r="A21" s="63" t="str">
        <f t="array" ref="A21">IF(C21&lt;&gt;0,SUM(($C$11:C21&lt;&gt;0)*1),"")</f>
        <v/>
      </c>
      <c r="B21" s="315"/>
      <c r="C21" s="315"/>
      <c r="D21" s="315"/>
      <c r="E21" s="432"/>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75" customHeight="1">
      <c r="A22" s="63" t="str">
        <f t="array" ref="A22">IF(C22&lt;&gt;0,SUM(($C$11:C22&lt;&gt;0)*1),"")</f>
        <v/>
      </c>
      <c r="B22" s="315"/>
      <c r="C22" s="315"/>
      <c r="D22" s="315"/>
      <c r="E22" s="432"/>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75" customHeight="1">
      <c r="A23" s="63" t="str">
        <f t="array" ref="A23">IF(C23&lt;&gt;0,SUM(($C$11:C23&lt;&gt;0)*1),"")</f>
        <v/>
      </c>
      <c r="B23" s="315"/>
      <c r="C23" s="315"/>
      <c r="D23" s="315"/>
      <c r="E23" s="432"/>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75" customHeight="1">
      <c r="A24" s="63" t="str">
        <f t="array" ref="A24">IF(C24&lt;&gt;0,SUM(($C$11:C24&lt;&gt;0)*1),"")</f>
        <v/>
      </c>
      <c r="B24" s="315"/>
      <c r="C24" s="315"/>
      <c r="D24" s="315"/>
      <c r="E24" s="432"/>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75" customHeight="1">
      <c r="A25" s="63" t="str">
        <f t="array" ref="A25">IF(C25&lt;&gt;0,SUM(($C$11:C25&lt;&gt;0)*1),"")</f>
        <v/>
      </c>
      <c r="B25" s="315"/>
      <c r="C25" s="315"/>
      <c r="D25" s="315"/>
      <c r="E25" s="432"/>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75" customHeight="1">
      <c r="A26" s="63" t="str">
        <f t="array" ref="A26">IF(C26&lt;&gt;0,SUM(($C$11:C26&lt;&gt;0)*1),"")</f>
        <v/>
      </c>
      <c r="B26" s="315"/>
      <c r="C26" s="315"/>
      <c r="D26" s="315"/>
      <c r="E26" s="432"/>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75" customHeight="1">
      <c r="A27" s="63" t="str">
        <f t="array" ref="A27">IF(C27&lt;&gt;0,SUM(($C$11:C27&lt;&gt;0)*1),"")</f>
        <v/>
      </c>
      <c r="B27" s="315"/>
      <c r="C27" s="315"/>
      <c r="D27" s="315"/>
      <c r="E27" s="432"/>
      <c r="F27" s="371"/>
      <c r="G27" s="373"/>
      <c r="H27" s="373"/>
      <c r="I27" s="63" t="str">
        <f>A27</f>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75" customHeight="1">
      <c r="A28" s="63" t="str">
        <f t="array" ref="A28">IF(C28&lt;&gt;0,SUM(($C$11:C28&lt;&gt;0)*1),"")</f>
        <v/>
      </c>
      <c r="B28" s="315"/>
      <c r="C28" s="315"/>
      <c r="D28" s="315"/>
      <c r="E28" s="432"/>
      <c r="F28" s="371"/>
      <c r="G28" s="373"/>
      <c r="H28" s="373"/>
      <c r="I28" s="63" t="str">
        <f t="shared" ref="I28:I91" si="45">A28</f>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75" customHeight="1">
      <c r="A29" s="63" t="str">
        <f t="array" ref="A29">IF(C29&lt;&gt;0,SUM(($C$11:C29&lt;&gt;0)*1),"")</f>
        <v/>
      </c>
      <c r="B29" s="315"/>
      <c r="C29" s="315"/>
      <c r="D29" s="315"/>
      <c r="E29" s="432"/>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75" customHeight="1">
      <c r="A30" s="63" t="str">
        <f t="array" ref="A30">IF(C30&lt;&gt;0,SUM(($C$11:C30&lt;&gt;0)*1),"")</f>
        <v/>
      </c>
      <c r="B30" s="315"/>
      <c r="C30" s="315"/>
      <c r="D30" s="315"/>
      <c r="E30" s="432"/>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75" customHeight="1">
      <c r="A31" s="63" t="str">
        <f t="array" ref="A31">IF(C31&lt;&gt;0,SUM(($C$11:C31&lt;&gt;0)*1),"")</f>
        <v/>
      </c>
      <c r="B31" s="315"/>
      <c r="C31" s="315"/>
      <c r="D31" s="315"/>
      <c r="E31" s="432"/>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75" customHeight="1">
      <c r="A32" s="63" t="str">
        <f t="array" ref="A32">IF(C32&lt;&gt;0,SUM(($C$11:C32&lt;&gt;0)*1),"")</f>
        <v/>
      </c>
      <c r="B32" s="315"/>
      <c r="C32" s="315"/>
      <c r="D32" s="315"/>
      <c r="E32" s="432"/>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75" customHeight="1">
      <c r="A33" s="63" t="str">
        <f t="array" ref="A33">IF(C33&lt;&gt;0,SUM(($C$11:C33&lt;&gt;0)*1),"")</f>
        <v/>
      </c>
      <c r="B33" s="315"/>
      <c r="C33" s="315"/>
      <c r="D33" s="315"/>
      <c r="E33" s="432"/>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75" customHeight="1">
      <c r="A34" s="63" t="str">
        <f t="array" ref="A34">IF(C34&lt;&gt;0,SUM(($C$11:C34&lt;&gt;0)*1),"")</f>
        <v/>
      </c>
      <c r="B34" s="315"/>
      <c r="C34" s="315"/>
      <c r="D34" s="315"/>
      <c r="E34" s="432"/>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75" customHeight="1">
      <c r="A35" s="63" t="str">
        <f t="array" ref="A35">IF(C35&lt;&gt;0,SUM(($C$11:C35&lt;&gt;0)*1),"")</f>
        <v/>
      </c>
      <c r="B35" s="315"/>
      <c r="C35" s="315"/>
      <c r="D35" s="315"/>
      <c r="E35" s="432"/>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75" customHeight="1">
      <c r="A36" s="63" t="str">
        <f t="array" ref="A36">IF(C36&lt;&gt;0,SUM(($C$11:C36&lt;&gt;0)*1),"")</f>
        <v/>
      </c>
      <c r="B36" s="315"/>
      <c r="C36" s="315"/>
      <c r="D36" s="315"/>
      <c r="E36" s="432"/>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75" customHeight="1">
      <c r="A37" s="63" t="str">
        <f t="array" ref="A37">IF(C37&lt;&gt;0,SUM(($C$11:C37&lt;&gt;0)*1),"")</f>
        <v/>
      </c>
      <c r="B37" s="315"/>
      <c r="C37" s="315"/>
      <c r="D37" s="315"/>
      <c r="E37" s="432"/>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75" customHeight="1">
      <c r="A38" s="63" t="str">
        <f t="array" ref="A38">IF(C38&lt;&gt;0,SUM(($C$11:C38&lt;&gt;0)*1),"")</f>
        <v/>
      </c>
      <c r="B38" s="315"/>
      <c r="C38" s="315"/>
      <c r="D38" s="315"/>
      <c r="E38" s="432"/>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75" customHeight="1">
      <c r="A39" s="63" t="str">
        <f t="array" ref="A39">IF(C39&lt;&gt;0,SUM(($C$11:C39&lt;&gt;0)*1),"")</f>
        <v/>
      </c>
      <c r="B39" s="315"/>
      <c r="C39" s="315"/>
      <c r="D39" s="315"/>
      <c r="E39" s="432"/>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75" customHeight="1">
      <c r="A40" s="63" t="str">
        <f t="array" ref="A40">IF(C40&lt;&gt;0,SUM(($C$11:C40&lt;&gt;0)*1),"")</f>
        <v/>
      </c>
      <c r="B40" s="315"/>
      <c r="C40" s="315"/>
      <c r="D40" s="315"/>
      <c r="E40" s="432"/>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75" customHeight="1">
      <c r="A41" s="63" t="str">
        <f t="array" ref="A41">IF(C41&lt;&gt;0,SUM(($C$11:C41&lt;&gt;0)*1),"")</f>
        <v/>
      </c>
      <c r="B41" s="315"/>
      <c r="C41" s="315"/>
      <c r="D41" s="315"/>
      <c r="E41" s="432"/>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75" customHeight="1">
      <c r="A42" s="63" t="str">
        <f t="array" ref="A42">IF(C42&lt;&gt;0,SUM(($C$11:C42&lt;&gt;0)*1),"")</f>
        <v/>
      </c>
      <c r="B42" s="315"/>
      <c r="C42" s="315"/>
      <c r="D42" s="315"/>
      <c r="E42" s="432"/>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75" customHeight="1">
      <c r="A43" s="63" t="str">
        <f t="array" ref="A43">IF(C43&lt;&gt;0,SUM(($C$11:C43&lt;&gt;0)*1),"")</f>
        <v/>
      </c>
      <c r="B43" s="315"/>
      <c r="C43" s="315"/>
      <c r="D43" s="315"/>
      <c r="E43" s="432"/>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75" customHeight="1">
      <c r="A44" s="63" t="str">
        <f t="array" ref="A44">IF(C44&lt;&gt;0,SUM(($C$11:C44&lt;&gt;0)*1),"")</f>
        <v/>
      </c>
      <c r="B44" s="315"/>
      <c r="C44" s="315"/>
      <c r="D44" s="315"/>
      <c r="E44" s="432"/>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75" customHeight="1">
      <c r="A45" s="63" t="str">
        <f t="array" ref="A45">IF(C45&lt;&gt;0,SUM(($C$11:C45&lt;&gt;0)*1),"")</f>
        <v/>
      </c>
      <c r="B45" s="315"/>
      <c r="C45" s="315"/>
      <c r="D45" s="315"/>
      <c r="E45" s="432"/>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75" customHeight="1">
      <c r="A46" s="63" t="str">
        <f t="array" ref="A46">IF(C46&lt;&gt;0,SUM(($C$11:C46&lt;&gt;0)*1),"")</f>
        <v/>
      </c>
      <c r="B46" s="315"/>
      <c r="C46" s="315"/>
      <c r="D46" s="315"/>
      <c r="E46" s="432"/>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75" customHeight="1">
      <c r="A47" s="63" t="str">
        <f t="array" ref="A47">IF(C47&lt;&gt;0,SUM(($C$11:C47&lt;&gt;0)*1),"")</f>
        <v/>
      </c>
      <c r="B47" s="315"/>
      <c r="C47" s="315"/>
      <c r="D47" s="315"/>
      <c r="E47" s="432"/>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75" customHeight="1">
      <c r="A48" s="63" t="str">
        <f t="array" ref="A48">IF(C48&lt;&gt;0,SUM(($C$11:C48&lt;&gt;0)*1),"")</f>
        <v/>
      </c>
      <c r="B48" s="315"/>
      <c r="C48" s="315"/>
      <c r="D48" s="315"/>
      <c r="E48" s="432"/>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75" customHeight="1">
      <c r="A49" s="63" t="str">
        <f t="array" ref="A49">IF(C49&lt;&gt;0,SUM(($C$11:C49&lt;&gt;0)*1),"")</f>
        <v/>
      </c>
      <c r="B49" s="315"/>
      <c r="C49" s="315"/>
      <c r="D49" s="315"/>
      <c r="E49" s="432"/>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75" customHeight="1">
      <c r="A50" s="63" t="str">
        <f t="array" ref="A50">IF(C50&lt;&gt;0,SUM(($C$11:C50&lt;&gt;0)*1),"")</f>
        <v/>
      </c>
      <c r="B50" s="315"/>
      <c r="C50" s="315"/>
      <c r="D50" s="315"/>
      <c r="E50" s="432"/>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75" customHeight="1">
      <c r="A51" s="63" t="str">
        <f t="array" ref="A51">IF(C51&lt;&gt;0,SUM(($C$11:C51&lt;&gt;0)*1),"")</f>
        <v/>
      </c>
      <c r="B51" s="315"/>
      <c r="C51" s="315"/>
      <c r="D51" s="315"/>
      <c r="E51" s="432"/>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75" customHeight="1">
      <c r="A52" s="63" t="str">
        <f t="array" ref="A52">IF(C52&lt;&gt;0,SUM(($C$11:C52&lt;&gt;0)*1),"")</f>
        <v/>
      </c>
      <c r="B52" s="315"/>
      <c r="C52" s="315"/>
      <c r="D52" s="315"/>
      <c r="E52" s="432"/>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75" customHeight="1">
      <c r="A53" s="63" t="str">
        <f t="array" ref="A53">IF(C53&lt;&gt;0,SUM(($C$11:C53&lt;&gt;0)*1),"")</f>
        <v/>
      </c>
      <c r="B53" s="315"/>
      <c r="C53" s="315"/>
      <c r="D53" s="315"/>
      <c r="E53" s="432"/>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75" customHeight="1">
      <c r="A54" s="63" t="str">
        <f t="array" ref="A54">IF(C54&lt;&gt;0,SUM(($C$11:C54&lt;&gt;0)*1),"")</f>
        <v/>
      </c>
      <c r="B54" s="315"/>
      <c r="C54" s="315"/>
      <c r="D54" s="315"/>
      <c r="E54" s="432"/>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75" customHeight="1">
      <c r="A55" s="63" t="str">
        <f t="array" ref="A55">IF(C55&lt;&gt;0,SUM(($C$11:C55&lt;&gt;0)*1),"")</f>
        <v/>
      </c>
      <c r="B55" s="315"/>
      <c r="C55" s="315"/>
      <c r="D55" s="315"/>
      <c r="E55" s="432"/>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75" customHeight="1">
      <c r="A56" s="63" t="str">
        <f t="array" ref="A56">IF(C56&lt;&gt;0,SUM(($C$11:C56&lt;&gt;0)*1),"")</f>
        <v/>
      </c>
      <c r="B56" s="315"/>
      <c r="C56" s="315"/>
      <c r="D56" s="315"/>
      <c r="E56" s="432"/>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75" customHeight="1">
      <c r="A57" s="63" t="str">
        <f t="array" ref="A57">IF(C57&lt;&gt;0,SUM(($C$11:C57&lt;&gt;0)*1),"")</f>
        <v/>
      </c>
      <c r="B57" s="315"/>
      <c r="C57" s="315"/>
      <c r="D57" s="315"/>
      <c r="E57" s="432"/>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75" customHeight="1">
      <c r="A58" s="63" t="str">
        <f t="array" ref="A58">IF(C58&lt;&gt;0,SUM(($C$11:C58&lt;&gt;0)*1),"")</f>
        <v/>
      </c>
      <c r="B58" s="315"/>
      <c r="C58" s="315"/>
      <c r="D58" s="315"/>
      <c r="E58" s="432"/>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75" customHeight="1">
      <c r="A59" s="63" t="str">
        <f t="array" ref="A59">IF(C59&lt;&gt;0,SUM(($C$11:C59&lt;&gt;0)*1),"")</f>
        <v/>
      </c>
      <c r="B59" s="315"/>
      <c r="C59" s="315"/>
      <c r="D59" s="315"/>
      <c r="E59" s="432"/>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75" customHeight="1">
      <c r="A60" s="63" t="str">
        <f t="array" ref="A60">IF(C60&lt;&gt;0,SUM(($C$11:C60&lt;&gt;0)*1),"")</f>
        <v/>
      </c>
      <c r="B60" s="315"/>
      <c r="C60" s="315"/>
      <c r="D60" s="315"/>
      <c r="E60" s="432"/>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75" customHeight="1">
      <c r="A61" s="63" t="str">
        <f t="array" ref="A61">IF(C61&lt;&gt;0,SUM(($C$11:C61&lt;&gt;0)*1),"")</f>
        <v/>
      </c>
      <c r="B61" s="315"/>
      <c r="C61" s="315"/>
      <c r="D61" s="315"/>
      <c r="E61" s="432"/>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75" customHeight="1">
      <c r="A62" s="63" t="str">
        <f t="array" ref="A62">IF(C62&lt;&gt;0,SUM(($C$11:C62&lt;&gt;0)*1),"")</f>
        <v/>
      </c>
      <c r="B62" s="315"/>
      <c r="C62" s="315"/>
      <c r="D62" s="315"/>
      <c r="E62" s="432"/>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75" customHeight="1">
      <c r="A63" s="63" t="str">
        <f t="array" ref="A63">IF(C63&lt;&gt;0,SUM(($C$11:C63&lt;&gt;0)*1),"")</f>
        <v/>
      </c>
      <c r="B63" s="315"/>
      <c r="C63" s="315"/>
      <c r="D63" s="315"/>
      <c r="E63" s="432"/>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75" customHeight="1">
      <c r="A64" s="63" t="str">
        <f t="array" ref="A64">IF(C64&lt;&gt;0,SUM(($C$11:C64&lt;&gt;0)*1),"")</f>
        <v/>
      </c>
      <c r="B64" s="315"/>
      <c r="C64" s="315"/>
      <c r="D64" s="315"/>
      <c r="E64" s="432"/>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75" customHeight="1">
      <c r="A65" s="63" t="str">
        <f t="array" ref="A65">IF(C65&lt;&gt;0,SUM(($C$11:C65&lt;&gt;0)*1),"")</f>
        <v/>
      </c>
      <c r="B65" s="315"/>
      <c r="C65" s="315"/>
      <c r="D65" s="315"/>
      <c r="E65" s="432"/>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75" customHeight="1">
      <c r="A66" s="63" t="str">
        <f t="array" ref="A66">IF(C66&lt;&gt;0,SUM(($C$11:C66&lt;&gt;0)*1),"")</f>
        <v/>
      </c>
      <c r="B66" s="315"/>
      <c r="C66" s="315"/>
      <c r="D66" s="315"/>
      <c r="E66" s="432"/>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75" customHeight="1">
      <c r="A67" s="63" t="str">
        <f t="array" ref="A67">IF(C67&lt;&gt;0,SUM(($C$11:C67&lt;&gt;0)*1),"")</f>
        <v/>
      </c>
      <c r="B67" s="315"/>
      <c r="C67" s="315"/>
      <c r="D67" s="315"/>
      <c r="E67" s="432"/>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75" customHeight="1">
      <c r="A68" s="63" t="str">
        <f t="array" ref="A68">IF(C68&lt;&gt;0,SUM(($C$11:C68&lt;&gt;0)*1),"")</f>
        <v/>
      </c>
      <c r="B68" s="315"/>
      <c r="C68" s="315"/>
      <c r="D68" s="315"/>
      <c r="E68" s="432"/>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75" customHeight="1">
      <c r="A69" s="63" t="str">
        <f t="array" ref="A69">IF(C69&lt;&gt;0,SUM(($C$11:C69&lt;&gt;0)*1),"")</f>
        <v/>
      </c>
      <c r="B69" s="315"/>
      <c r="C69" s="315"/>
      <c r="D69" s="315"/>
      <c r="E69" s="432"/>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75" customHeight="1">
      <c r="A70" s="63" t="str">
        <f t="array" ref="A70">IF(C70&lt;&gt;0,SUM(($C$11:C70&lt;&gt;0)*1),"")</f>
        <v/>
      </c>
      <c r="B70" s="315"/>
      <c r="C70" s="315"/>
      <c r="D70" s="315"/>
      <c r="E70" s="432"/>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75" customHeight="1">
      <c r="A71" s="63" t="str">
        <f t="array" ref="A71">IF(C71&lt;&gt;0,SUM(($C$11:C71&lt;&gt;0)*1),"")</f>
        <v/>
      </c>
      <c r="B71" s="315"/>
      <c r="C71" s="315"/>
      <c r="D71" s="315"/>
      <c r="E71" s="432"/>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75" customHeight="1">
      <c r="A72" s="63" t="str">
        <f t="array" ref="A72">IF(C72&lt;&gt;0,SUM(($C$11:C72&lt;&gt;0)*1),"")</f>
        <v/>
      </c>
      <c r="B72" s="315"/>
      <c r="C72" s="315"/>
      <c r="D72" s="315"/>
      <c r="E72" s="432"/>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75" customHeight="1">
      <c r="A73" s="63" t="str">
        <f t="array" ref="A73">IF(C73&lt;&gt;0,SUM(($C$11:C73&lt;&gt;0)*1),"")</f>
        <v/>
      </c>
      <c r="B73" s="315"/>
      <c r="C73" s="315"/>
      <c r="D73" s="315"/>
      <c r="E73" s="432"/>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75" customHeight="1">
      <c r="A74" s="63" t="str">
        <f t="array" ref="A74">IF(C74&lt;&gt;0,SUM(($C$11:C74&lt;&gt;0)*1),"")</f>
        <v/>
      </c>
      <c r="B74" s="315"/>
      <c r="C74" s="315"/>
      <c r="D74" s="315"/>
      <c r="E74" s="432"/>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75" customHeight="1">
      <c r="A75" s="63" t="str">
        <f t="array" ref="A75">IF(C75&lt;&gt;0,SUM(($C$11:C75&lt;&gt;0)*1),"")</f>
        <v/>
      </c>
      <c r="B75" s="315"/>
      <c r="C75" s="315"/>
      <c r="D75" s="315"/>
      <c r="E75" s="432"/>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75" customHeight="1">
      <c r="A76" s="63" t="str">
        <f t="array" ref="A76">IF(C76&lt;&gt;0,SUM(($C$11:C76&lt;&gt;0)*1),"")</f>
        <v/>
      </c>
      <c r="B76" s="315"/>
      <c r="C76" s="315"/>
      <c r="D76" s="315"/>
      <c r="E76" s="432"/>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75" customHeight="1">
      <c r="A77" s="63" t="str">
        <f t="array" ref="A77">IF(C77&lt;&gt;0,SUM(($C$11:C77&lt;&gt;0)*1),"")</f>
        <v/>
      </c>
      <c r="B77" s="315"/>
      <c r="C77" s="315"/>
      <c r="D77" s="315"/>
      <c r="E77" s="432"/>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75" customHeight="1">
      <c r="A78" s="63" t="str">
        <f t="array" ref="A78">IF(C78&lt;&gt;0,SUM(($C$11:C78&lt;&gt;0)*1),"")</f>
        <v/>
      </c>
      <c r="B78" s="315"/>
      <c r="C78" s="315"/>
      <c r="D78" s="315"/>
      <c r="E78" s="432"/>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75" customHeight="1">
      <c r="A79" s="63" t="str">
        <f t="array" ref="A79">IF(C79&lt;&gt;0,SUM(($C$11:C79&lt;&gt;0)*1),"")</f>
        <v/>
      </c>
      <c r="B79" s="315"/>
      <c r="C79" s="315"/>
      <c r="D79" s="315"/>
      <c r="E79" s="432"/>
      <c r="F79" s="371"/>
      <c r="G79" s="373"/>
      <c r="H79" s="373"/>
      <c r="I79" s="63" t="str">
        <f t="shared" si="45"/>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75" customHeight="1">
      <c r="A80" s="63" t="str">
        <f t="array" ref="A80">IF(C80&lt;&gt;0,SUM(($C$11:C80&lt;&gt;0)*1),"")</f>
        <v/>
      </c>
      <c r="B80" s="315"/>
      <c r="C80" s="315"/>
      <c r="D80" s="315"/>
      <c r="E80" s="432"/>
      <c r="F80" s="371"/>
      <c r="G80" s="373"/>
      <c r="H80" s="373"/>
      <c r="I80" s="63" t="str">
        <f t="shared" si="45"/>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75" customHeight="1">
      <c r="A81" s="63" t="str">
        <f t="array" ref="A81">IF(C81&lt;&gt;0,SUM(($C$11:C81&lt;&gt;0)*1),"")</f>
        <v/>
      </c>
      <c r="B81" s="315"/>
      <c r="C81" s="315"/>
      <c r="D81" s="315"/>
      <c r="E81" s="432"/>
      <c r="F81" s="371"/>
      <c r="G81" s="373"/>
      <c r="H81" s="373"/>
      <c r="I81" s="63" t="str">
        <f t="shared" si="45"/>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75" customHeight="1">
      <c r="A82" s="63" t="str">
        <f t="array" ref="A82">IF(C82&lt;&gt;0,SUM(($C$11:C82&lt;&gt;0)*1),"")</f>
        <v/>
      </c>
      <c r="B82" s="315"/>
      <c r="C82" s="315"/>
      <c r="D82" s="315"/>
      <c r="E82" s="432"/>
      <c r="F82" s="371"/>
      <c r="G82" s="373"/>
      <c r="H82" s="373"/>
      <c r="I82" s="63" t="str">
        <f t="shared" si="45"/>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75" customHeight="1">
      <c r="A83" s="63" t="str">
        <f t="array" ref="A83">IF(C83&lt;&gt;0,SUM(($C$11:C83&lt;&gt;0)*1),"")</f>
        <v/>
      </c>
      <c r="B83" s="315"/>
      <c r="C83" s="315"/>
      <c r="D83" s="315"/>
      <c r="E83" s="432"/>
      <c r="F83" s="371"/>
      <c r="G83" s="373"/>
      <c r="H83" s="373"/>
      <c r="I83" s="63" t="str">
        <f t="shared" si="45"/>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75" customHeight="1">
      <c r="A84" s="63" t="str">
        <f t="array" ref="A84">IF(C84&lt;&gt;0,SUM(($C$11:C84&lt;&gt;0)*1),"")</f>
        <v/>
      </c>
      <c r="B84" s="315"/>
      <c r="C84" s="315"/>
      <c r="D84" s="315"/>
      <c r="E84" s="432"/>
      <c r="F84" s="371"/>
      <c r="G84" s="373"/>
      <c r="H84" s="373"/>
      <c r="I84" s="63" t="str">
        <f t="shared" si="45"/>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75" customHeight="1">
      <c r="A85" s="63" t="str">
        <f t="array" ref="A85">IF(C85&lt;&gt;0,SUM(($C$11:C85&lt;&gt;0)*1),"")</f>
        <v/>
      </c>
      <c r="B85" s="315"/>
      <c r="C85" s="315"/>
      <c r="D85" s="315"/>
      <c r="E85" s="432"/>
      <c r="F85" s="371"/>
      <c r="G85" s="373"/>
      <c r="H85" s="373"/>
      <c r="I85" s="63" t="str">
        <f t="shared" si="45"/>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75" customHeight="1">
      <c r="A86" s="63" t="str">
        <f t="array" ref="A86">IF(C86&lt;&gt;0,SUM(($C$11:C86&lt;&gt;0)*1),"")</f>
        <v/>
      </c>
      <c r="B86" s="315"/>
      <c r="C86" s="315"/>
      <c r="D86" s="315"/>
      <c r="E86" s="432"/>
      <c r="F86" s="371"/>
      <c r="G86" s="373"/>
      <c r="H86" s="373"/>
      <c r="I86" s="63" t="str">
        <f t="shared" si="45"/>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75" customHeight="1">
      <c r="A87" s="63" t="str">
        <f t="array" ref="A87">IF(C87&lt;&gt;0,SUM(($C$11:C87&lt;&gt;0)*1),"")</f>
        <v/>
      </c>
      <c r="B87" s="315"/>
      <c r="C87" s="315"/>
      <c r="D87" s="315"/>
      <c r="E87" s="432"/>
      <c r="F87" s="371"/>
      <c r="G87" s="373"/>
      <c r="H87" s="373"/>
      <c r="I87" s="63" t="str">
        <f t="shared" si="45"/>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75" customHeight="1">
      <c r="A88" s="63" t="str">
        <f t="array" ref="A88">IF(C88&lt;&gt;0,SUM(($C$11:C88&lt;&gt;0)*1),"")</f>
        <v/>
      </c>
      <c r="B88" s="315"/>
      <c r="C88" s="315"/>
      <c r="D88" s="315"/>
      <c r="E88" s="432"/>
      <c r="F88" s="371"/>
      <c r="G88" s="373"/>
      <c r="H88" s="373"/>
      <c r="I88" s="63" t="str">
        <f t="shared" si="45"/>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75" customHeight="1">
      <c r="A89" s="63" t="str">
        <f t="array" ref="A89">IF(C89&lt;&gt;0,SUM(($C$11:C89&lt;&gt;0)*1),"")</f>
        <v/>
      </c>
      <c r="B89" s="315"/>
      <c r="C89" s="315"/>
      <c r="D89" s="315"/>
      <c r="E89" s="432"/>
      <c r="F89" s="371"/>
      <c r="G89" s="373"/>
      <c r="H89" s="373"/>
      <c r="I89" s="63" t="str">
        <f t="shared" si="45"/>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75" customHeight="1">
      <c r="A90" s="63" t="str">
        <f t="array" ref="A90">IF(C90&lt;&gt;0,SUM(($C$11:C90&lt;&gt;0)*1),"")</f>
        <v/>
      </c>
      <c r="B90" s="315"/>
      <c r="C90" s="315"/>
      <c r="D90" s="315"/>
      <c r="E90" s="432"/>
      <c r="F90" s="371"/>
      <c r="G90" s="373"/>
      <c r="H90" s="373"/>
      <c r="I90" s="63" t="str">
        <f t="shared" si="45"/>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75" customHeight="1">
      <c r="A91" s="63" t="str">
        <f t="array" ref="A91">IF(C91&lt;&gt;0,SUM(($C$11:C91&lt;&gt;0)*1),"")</f>
        <v/>
      </c>
      <c r="B91" s="315"/>
      <c r="C91" s="315"/>
      <c r="D91" s="315"/>
      <c r="E91" s="432"/>
      <c r="F91" s="371"/>
      <c r="G91" s="373"/>
      <c r="H91" s="373"/>
      <c r="I91" s="63" t="str">
        <f t="shared" si="45"/>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75" customHeight="1">
      <c r="A92" s="63" t="str">
        <f t="array" ref="A92">IF(C92&lt;&gt;0,SUM(($C$11:C92&lt;&gt;0)*1),"")</f>
        <v/>
      </c>
      <c r="B92" s="315"/>
      <c r="C92" s="315"/>
      <c r="D92" s="315"/>
      <c r="E92" s="432"/>
      <c r="F92" s="371"/>
      <c r="G92" s="373"/>
      <c r="H92" s="373"/>
      <c r="I92" s="63" t="str">
        <f t="shared" ref="I92:I104" si="90">A92</f>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75" customHeight="1">
      <c r="A93" s="63" t="str">
        <f t="array" ref="A93">IF(C93&lt;&gt;0,SUM(($C$11:C93&lt;&gt;0)*1),"")</f>
        <v/>
      </c>
      <c r="B93" s="315"/>
      <c r="C93" s="315"/>
      <c r="D93" s="315"/>
      <c r="E93" s="432"/>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75" customHeight="1">
      <c r="A94" s="63" t="str">
        <f t="array" ref="A94">IF(C94&lt;&gt;0,SUM(($C$11:C94&lt;&gt;0)*1),"")</f>
        <v/>
      </c>
      <c r="B94" s="315"/>
      <c r="C94" s="315"/>
      <c r="D94" s="315"/>
      <c r="E94" s="432"/>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75" customHeight="1">
      <c r="A95" s="63" t="str">
        <f t="array" ref="A95">IF(C95&lt;&gt;0,SUM(($C$11:C95&lt;&gt;0)*1),"")</f>
        <v/>
      </c>
      <c r="B95" s="315"/>
      <c r="C95" s="315"/>
      <c r="D95" s="315"/>
      <c r="E95" s="432"/>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75" customHeight="1">
      <c r="A96" s="63" t="str">
        <f t="array" ref="A96">IF(C96&lt;&gt;0,SUM(($C$11:C96&lt;&gt;0)*1),"")</f>
        <v/>
      </c>
      <c r="B96" s="315"/>
      <c r="C96" s="315"/>
      <c r="D96" s="315"/>
      <c r="E96" s="432"/>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75" customHeight="1">
      <c r="A97" s="63" t="str">
        <f t="array" ref="A97">IF(C97&lt;&gt;0,SUM(($C$11:C97&lt;&gt;0)*1),"")</f>
        <v/>
      </c>
      <c r="B97" s="315"/>
      <c r="C97" s="315"/>
      <c r="D97" s="315"/>
      <c r="E97" s="432"/>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75" customHeight="1">
      <c r="A98" s="63" t="str">
        <f t="array" ref="A98">IF(C98&lt;&gt;0,SUM(($C$11:C98&lt;&gt;0)*1),"")</f>
        <v/>
      </c>
      <c r="B98" s="315"/>
      <c r="C98" s="315"/>
      <c r="D98" s="315"/>
      <c r="E98" s="432"/>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75" customHeight="1">
      <c r="A99" s="63" t="str">
        <f t="array" ref="A99">IF(C99&lt;&gt;0,SUM(($C$11:C99&lt;&gt;0)*1),"")</f>
        <v/>
      </c>
      <c r="B99" s="315"/>
      <c r="C99" s="315"/>
      <c r="D99" s="315"/>
      <c r="E99" s="432"/>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75" customHeight="1">
      <c r="A100" s="63" t="str">
        <f t="array" ref="A100">IF(C100&lt;&gt;0,SUM(($C$11:C100&lt;&gt;0)*1),"")</f>
        <v/>
      </c>
      <c r="B100" s="315"/>
      <c r="C100" s="315"/>
      <c r="D100" s="315"/>
      <c r="E100" s="432"/>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75" customHeight="1">
      <c r="A101" s="63" t="str">
        <f t="array" ref="A101">IF(C101&lt;&gt;0,SUM(($C$11:C101&lt;&gt;0)*1),"")</f>
        <v/>
      </c>
      <c r="B101" s="315"/>
      <c r="C101" s="315"/>
      <c r="D101" s="315"/>
      <c r="E101" s="432"/>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75" customHeight="1">
      <c r="A102" s="63" t="str">
        <f t="array" ref="A102">IF(C102&lt;&gt;0,SUM(($C$11:C102&lt;&gt;0)*1),"")</f>
        <v/>
      </c>
      <c r="B102" s="315"/>
      <c r="C102" s="315"/>
      <c r="D102" s="315"/>
      <c r="E102" s="432"/>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75" customHeight="1">
      <c r="A103" s="63" t="str">
        <f t="array" ref="A103">IF(C103&lt;&gt;0,SUM(($C$11:C103&lt;&gt;0)*1),"")</f>
        <v/>
      </c>
      <c r="B103" s="315"/>
      <c r="C103" s="315"/>
      <c r="D103" s="315"/>
      <c r="E103" s="432"/>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75" customHeight="1">
      <c r="A104" s="63" t="str">
        <f t="array" ref="A104">IF(C104&lt;&gt;0,SUM(($C$11:C104&lt;&gt;0)*1),"")</f>
        <v/>
      </c>
      <c r="B104" s="315"/>
      <c r="C104" s="315"/>
      <c r="D104" s="315"/>
      <c r="E104" s="432"/>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75" customHeight="1">
      <c r="A105" s="63" t="str">
        <f t="array" ref="A105">IF(C105&lt;&gt;0,SUM(($C$11:C105&lt;&gt;0)*1),"")</f>
        <v/>
      </c>
      <c r="B105" s="315"/>
      <c r="C105" s="315"/>
      <c r="D105" s="315"/>
      <c r="E105" s="432"/>
      <c r="F105" s="371"/>
      <c r="G105" s="373"/>
      <c r="H105" s="373"/>
      <c r="I105" s="63" t="str">
        <f>A105</f>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75" customHeight="1">
      <c r="A106" s="63" t="str">
        <f t="array" ref="A106">IF(C106&lt;&gt;0,SUM(($C$11:C106&lt;&gt;0)*1),"")</f>
        <v/>
      </c>
      <c r="B106" s="315"/>
      <c r="C106" s="315"/>
      <c r="D106" s="315"/>
      <c r="E106" s="432"/>
      <c r="F106" s="371"/>
      <c r="G106" s="373"/>
      <c r="H106" s="373"/>
      <c r="I106" s="63" t="str">
        <f t="shared" ref="I106:I159" si="91">A106</f>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75" customHeight="1">
      <c r="A107" s="63" t="str">
        <f t="array" ref="A107">IF(C107&lt;&gt;0,SUM(($C$11:C107&lt;&gt;0)*1),"")</f>
        <v/>
      </c>
      <c r="B107" s="315"/>
      <c r="C107" s="315"/>
      <c r="D107" s="315"/>
      <c r="E107" s="432"/>
      <c r="F107" s="371"/>
      <c r="G107" s="373"/>
      <c r="H107" s="373"/>
      <c r="I107" s="63" t="str">
        <f t="shared" si="91"/>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75" customHeight="1">
      <c r="A108" s="63" t="str">
        <f t="array" ref="A108">IF(C108&lt;&gt;0,SUM(($C$11:C108&lt;&gt;0)*1),"")</f>
        <v/>
      </c>
      <c r="B108" s="315"/>
      <c r="C108" s="315"/>
      <c r="D108" s="315"/>
      <c r="E108" s="432"/>
      <c r="F108" s="371"/>
      <c r="G108" s="373"/>
      <c r="H108" s="373"/>
      <c r="I108" s="63" t="str">
        <f t="shared" si="91"/>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75" customHeight="1">
      <c r="A109" s="63" t="str">
        <f t="array" ref="A109">IF(C109&lt;&gt;0,SUM(($C$11:C109&lt;&gt;0)*1),"")</f>
        <v/>
      </c>
      <c r="B109" s="315"/>
      <c r="C109" s="315"/>
      <c r="D109" s="315"/>
      <c r="E109" s="432"/>
      <c r="F109" s="371"/>
      <c r="G109" s="373"/>
      <c r="H109" s="373"/>
      <c r="I109" s="63" t="str">
        <f t="shared" si="91"/>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75" customHeight="1">
      <c r="A110" s="63" t="str">
        <f t="array" ref="A110">IF(C110&lt;&gt;0,SUM(($C$11:C110&lt;&gt;0)*1),"")</f>
        <v/>
      </c>
      <c r="B110" s="315"/>
      <c r="C110" s="315"/>
      <c r="D110" s="315"/>
      <c r="E110" s="432"/>
      <c r="F110" s="371"/>
      <c r="G110" s="373"/>
      <c r="H110" s="373"/>
      <c r="I110" s="63" t="str">
        <f t="shared" si="91"/>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75" customHeight="1">
      <c r="A111" s="63" t="str">
        <f t="array" ref="A111">IF(C111&lt;&gt;0,SUM(($C$11:C111&lt;&gt;0)*1),"")</f>
        <v/>
      </c>
      <c r="B111" s="315"/>
      <c r="C111" s="315"/>
      <c r="D111" s="315"/>
      <c r="E111" s="432"/>
      <c r="F111" s="371"/>
      <c r="G111" s="373"/>
      <c r="H111" s="373"/>
      <c r="I111" s="63" t="str">
        <f t="shared" si="91"/>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75" customHeight="1">
      <c r="A112" s="63" t="str">
        <f t="array" ref="A112">IF(C112&lt;&gt;0,SUM(($C$11:C112&lt;&gt;0)*1),"")</f>
        <v/>
      </c>
      <c r="B112" s="315"/>
      <c r="C112" s="315"/>
      <c r="D112" s="315"/>
      <c r="E112" s="432"/>
      <c r="F112" s="371"/>
      <c r="G112" s="373"/>
      <c r="H112" s="373"/>
      <c r="I112" s="63" t="str">
        <f t="shared" si="91"/>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75" customHeight="1">
      <c r="A113" s="63" t="str">
        <f t="array" ref="A113">IF(C113&lt;&gt;0,SUM(($C$11:C113&lt;&gt;0)*1),"")</f>
        <v/>
      </c>
      <c r="B113" s="315"/>
      <c r="C113" s="315"/>
      <c r="D113" s="315"/>
      <c r="E113" s="432"/>
      <c r="F113" s="371"/>
      <c r="G113" s="373"/>
      <c r="H113" s="373"/>
      <c r="I113" s="63" t="str">
        <f t="shared" si="91"/>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75" customHeight="1">
      <c r="A114" s="63" t="str">
        <f t="array" ref="A114">IF(C114&lt;&gt;0,SUM(($C$11:C114&lt;&gt;0)*1),"")</f>
        <v/>
      </c>
      <c r="B114" s="315"/>
      <c r="C114" s="315"/>
      <c r="D114" s="315"/>
      <c r="E114" s="432"/>
      <c r="F114" s="371"/>
      <c r="G114" s="373"/>
      <c r="H114" s="373"/>
      <c r="I114" s="63" t="str">
        <f t="shared" si="91"/>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75" customHeight="1">
      <c r="A115" s="63" t="str">
        <f t="array" ref="A115">IF(C115&lt;&gt;0,SUM(($C$11:C115&lt;&gt;0)*1),"")</f>
        <v/>
      </c>
      <c r="B115" s="315"/>
      <c r="C115" s="315"/>
      <c r="D115" s="315"/>
      <c r="E115" s="432"/>
      <c r="F115" s="371"/>
      <c r="G115" s="373"/>
      <c r="H115" s="373"/>
      <c r="I115" s="63" t="str">
        <f t="shared" si="91"/>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75" customHeight="1">
      <c r="A116" s="63" t="str">
        <f t="array" ref="A116">IF(C116&lt;&gt;0,SUM(($C$11:C116&lt;&gt;0)*1),"")</f>
        <v/>
      </c>
      <c r="B116" s="315"/>
      <c r="C116" s="315"/>
      <c r="D116" s="315"/>
      <c r="E116" s="432"/>
      <c r="F116" s="371"/>
      <c r="G116" s="373"/>
      <c r="H116" s="373"/>
      <c r="I116" s="63" t="str">
        <f t="shared" si="91"/>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75" customHeight="1">
      <c r="A117" s="63" t="str">
        <f t="array" ref="A117">IF(C117&lt;&gt;0,SUM(($C$11:C117&lt;&gt;0)*1),"")</f>
        <v/>
      </c>
      <c r="B117" s="315"/>
      <c r="C117" s="315"/>
      <c r="D117" s="315"/>
      <c r="E117" s="432"/>
      <c r="F117" s="371"/>
      <c r="G117" s="373"/>
      <c r="H117" s="373"/>
      <c r="I117" s="63" t="str">
        <f t="shared" si="91"/>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75" customHeight="1">
      <c r="A118" s="63" t="str">
        <f t="array" ref="A118">IF(C118&lt;&gt;0,SUM(($C$11:C118&lt;&gt;0)*1),"")</f>
        <v/>
      </c>
      <c r="B118" s="315"/>
      <c r="C118" s="315"/>
      <c r="D118" s="315"/>
      <c r="E118" s="432"/>
      <c r="F118" s="371"/>
      <c r="G118" s="373"/>
      <c r="H118" s="373"/>
      <c r="I118" s="63" t="str">
        <f t="shared" si="91"/>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75" customHeight="1">
      <c r="A119" s="63" t="str">
        <f t="array" ref="A119">IF(C119&lt;&gt;0,SUM(($C$11:C119&lt;&gt;0)*1),"")</f>
        <v/>
      </c>
      <c r="B119" s="315"/>
      <c r="C119" s="315"/>
      <c r="D119" s="315"/>
      <c r="E119" s="432"/>
      <c r="F119" s="371"/>
      <c r="G119" s="373"/>
      <c r="H119" s="373"/>
      <c r="I119" s="63" t="str">
        <f t="shared" si="91"/>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75" customHeight="1">
      <c r="A120" s="63" t="str">
        <f t="array" ref="A120">IF(C120&lt;&gt;0,SUM(($C$11:C120&lt;&gt;0)*1),"")</f>
        <v/>
      </c>
      <c r="B120" s="315"/>
      <c r="C120" s="315"/>
      <c r="D120" s="315"/>
      <c r="E120" s="432"/>
      <c r="F120" s="371"/>
      <c r="G120" s="373"/>
      <c r="H120" s="373"/>
      <c r="I120" s="63" t="str">
        <f t="shared" si="91"/>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75" customHeight="1">
      <c r="A121" s="63" t="str">
        <f t="array" ref="A121">IF(C121&lt;&gt;0,SUM(($C$11:C121&lt;&gt;0)*1),"")</f>
        <v/>
      </c>
      <c r="B121" s="315"/>
      <c r="C121" s="315"/>
      <c r="D121" s="315"/>
      <c r="E121" s="432"/>
      <c r="F121" s="371"/>
      <c r="G121" s="373"/>
      <c r="H121" s="373"/>
      <c r="I121" s="63" t="str">
        <f t="shared" si="91"/>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75" customHeight="1">
      <c r="A122" s="63" t="str">
        <f t="array" ref="A122">IF(C122&lt;&gt;0,SUM(($C$11:C122&lt;&gt;0)*1),"")</f>
        <v/>
      </c>
      <c r="B122" s="315"/>
      <c r="C122" s="315"/>
      <c r="D122" s="315"/>
      <c r="E122" s="432"/>
      <c r="F122" s="371"/>
      <c r="G122" s="373"/>
      <c r="H122" s="373"/>
      <c r="I122" s="63" t="str">
        <f t="shared" si="91"/>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75" customHeight="1">
      <c r="A123" s="63" t="str">
        <f t="array" ref="A123">IF(C123&lt;&gt;0,SUM(($C$11:C123&lt;&gt;0)*1),"")</f>
        <v/>
      </c>
      <c r="B123" s="315"/>
      <c r="C123" s="315"/>
      <c r="D123" s="315"/>
      <c r="E123" s="432"/>
      <c r="F123" s="371"/>
      <c r="G123" s="373"/>
      <c r="H123" s="373"/>
      <c r="I123" s="63" t="str">
        <f t="shared" si="91"/>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75" customHeight="1">
      <c r="A124" s="63" t="str">
        <f t="array" ref="A124">IF(C124&lt;&gt;0,SUM(($C$11:C124&lt;&gt;0)*1),"")</f>
        <v/>
      </c>
      <c r="B124" s="315"/>
      <c r="C124" s="315"/>
      <c r="D124" s="315"/>
      <c r="E124" s="432"/>
      <c r="F124" s="371"/>
      <c r="G124" s="373"/>
      <c r="H124" s="373"/>
      <c r="I124" s="63" t="str">
        <f t="shared" si="91"/>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75" customHeight="1">
      <c r="A125" s="63" t="str">
        <f t="array" ref="A125">IF(C125&lt;&gt;0,SUM(($C$11:C125&lt;&gt;0)*1),"")</f>
        <v/>
      </c>
      <c r="B125" s="315"/>
      <c r="C125" s="315"/>
      <c r="D125" s="315"/>
      <c r="E125" s="432"/>
      <c r="F125" s="371"/>
      <c r="G125" s="373"/>
      <c r="H125" s="373"/>
      <c r="I125" s="63" t="str">
        <f t="shared" si="91"/>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75" customHeight="1">
      <c r="A126" s="63" t="str">
        <f t="array" ref="A126">IF(C126&lt;&gt;0,SUM(($C$11:C126&lt;&gt;0)*1),"")</f>
        <v/>
      </c>
      <c r="B126" s="315"/>
      <c r="C126" s="315"/>
      <c r="D126" s="315"/>
      <c r="E126" s="432"/>
      <c r="F126" s="371"/>
      <c r="G126" s="373"/>
      <c r="H126" s="373"/>
      <c r="I126" s="63" t="str">
        <f t="shared" si="91"/>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75" customHeight="1">
      <c r="A127" s="63" t="str">
        <f t="array" ref="A127">IF(C127&lt;&gt;0,SUM(($C$11:C127&lt;&gt;0)*1),"")</f>
        <v/>
      </c>
      <c r="B127" s="315"/>
      <c r="C127" s="315"/>
      <c r="D127" s="315"/>
      <c r="E127" s="432"/>
      <c r="F127" s="371"/>
      <c r="G127" s="373"/>
      <c r="H127" s="373"/>
      <c r="I127" s="63" t="str">
        <f t="shared" si="91"/>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75" customHeight="1">
      <c r="A128" s="63" t="str">
        <f t="array" ref="A128">IF(C128&lt;&gt;0,SUM(($C$11:C128&lt;&gt;0)*1),"")</f>
        <v/>
      </c>
      <c r="B128" s="315"/>
      <c r="C128" s="315"/>
      <c r="D128" s="315"/>
      <c r="E128" s="432"/>
      <c r="F128" s="371"/>
      <c r="G128" s="373"/>
      <c r="H128" s="373"/>
      <c r="I128" s="63" t="str">
        <f t="shared" si="91"/>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75" customHeight="1">
      <c r="A129" s="63" t="str">
        <f t="array" ref="A129">IF(C129&lt;&gt;0,SUM(($C$11:C129&lt;&gt;0)*1),"")</f>
        <v/>
      </c>
      <c r="B129" s="315"/>
      <c r="C129" s="315"/>
      <c r="D129" s="315"/>
      <c r="E129" s="432"/>
      <c r="F129" s="371"/>
      <c r="G129" s="373"/>
      <c r="H129" s="373"/>
      <c r="I129" s="63" t="str">
        <f t="shared" si="91"/>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75" customHeight="1">
      <c r="A130" s="63" t="str">
        <f t="array" ref="A130">IF(C130&lt;&gt;0,SUM(($C$11:C130&lt;&gt;0)*1),"")</f>
        <v/>
      </c>
      <c r="B130" s="315"/>
      <c r="C130" s="315"/>
      <c r="D130" s="315"/>
      <c r="E130" s="432"/>
      <c r="F130" s="371"/>
      <c r="G130" s="373"/>
      <c r="H130" s="373"/>
      <c r="I130" s="63" t="str">
        <f t="shared" si="91"/>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75" customHeight="1">
      <c r="A131" s="63" t="str">
        <f t="array" ref="A131">IF(C131&lt;&gt;0,SUM(($C$11:C131&lt;&gt;0)*1),"")</f>
        <v/>
      </c>
      <c r="B131" s="315"/>
      <c r="C131" s="315"/>
      <c r="D131" s="315"/>
      <c r="E131" s="432"/>
      <c r="F131" s="371"/>
      <c r="G131" s="373"/>
      <c r="H131" s="373"/>
      <c r="I131" s="63" t="str">
        <f t="shared" si="91"/>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75" customHeight="1">
      <c r="A132" s="63" t="str">
        <f t="array" ref="A132">IF(C132&lt;&gt;0,SUM(($C$11:C132&lt;&gt;0)*1),"")</f>
        <v/>
      </c>
      <c r="B132" s="315"/>
      <c r="C132" s="315"/>
      <c r="D132" s="315"/>
      <c r="E132" s="432"/>
      <c r="F132" s="371"/>
      <c r="G132" s="373"/>
      <c r="H132" s="373"/>
      <c r="I132" s="63" t="str">
        <f t="shared" si="91"/>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75" customHeight="1">
      <c r="A133" s="63" t="str">
        <f t="array" ref="A133">IF(C133&lt;&gt;0,SUM(($C$11:C133&lt;&gt;0)*1),"")</f>
        <v/>
      </c>
      <c r="B133" s="315"/>
      <c r="C133" s="315"/>
      <c r="D133" s="315"/>
      <c r="E133" s="432"/>
      <c r="F133" s="371"/>
      <c r="G133" s="373"/>
      <c r="H133" s="373"/>
      <c r="I133" s="63" t="str">
        <f t="shared" si="91"/>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75" customHeight="1">
      <c r="A134" s="63" t="str">
        <f t="array" ref="A134">IF(C134&lt;&gt;0,SUM(($C$11:C134&lt;&gt;0)*1),"")</f>
        <v/>
      </c>
      <c r="B134" s="315"/>
      <c r="C134" s="315"/>
      <c r="D134" s="315"/>
      <c r="E134" s="432"/>
      <c r="F134" s="371"/>
      <c r="G134" s="373"/>
      <c r="H134" s="373"/>
      <c r="I134" s="63" t="str">
        <f t="shared" si="91"/>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75" customHeight="1">
      <c r="A135" s="63" t="str">
        <f t="array" ref="A135">IF(C135&lt;&gt;0,SUM(($C$11:C135&lt;&gt;0)*1),"")</f>
        <v/>
      </c>
      <c r="B135" s="315"/>
      <c r="C135" s="315"/>
      <c r="D135" s="315"/>
      <c r="E135" s="432"/>
      <c r="F135" s="371"/>
      <c r="G135" s="373"/>
      <c r="H135" s="373"/>
      <c r="I135" s="63" t="str">
        <f t="shared" si="91"/>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75" customHeight="1">
      <c r="A136" s="63" t="str">
        <f t="array" ref="A136">IF(C136&lt;&gt;0,SUM(($C$11:C136&lt;&gt;0)*1),"")</f>
        <v/>
      </c>
      <c r="B136" s="315"/>
      <c r="C136" s="315"/>
      <c r="D136" s="315"/>
      <c r="E136" s="432"/>
      <c r="F136" s="371"/>
      <c r="G136" s="373"/>
      <c r="H136" s="373"/>
      <c r="I136" s="63" t="str">
        <f t="shared" si="91"/>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75" customHeight="1">
      <c r="A137" s="63" t="str">
        <f t="array" ref="A137">IF(C137&lt;&gt;0,SUM(($C$11:C137&lt;&gt;0)*1),"")</f>
        <v/>
      </c>
      <c r="B137" s="315"/>
      <c r="C137" s="315"/>
      <c r="D137" s="315"/>
      <c r="E137" s="432"/>
      <c r="F137" s="371"/>
      <c r="G137" s="373"/>
      <c r="H137" s="373"/>
      <c r="I137" s="63" t="str">
        <f t="shared" si="91"/>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75" customHeight="1">
      <c r="A138" s="63" t="str">
        <f t="array" ref="A138">IF(C138&lt;&gt;0,SUM(($C$11:C138&lt;&gt;0)*1),"")</f>
        <v/>
      </c>
      <c r="B138" s="315"/>
      <c r="C138" s="315"/>
      <c r="D138" s="315"/>
      <c r="E138" s="432"/>
      <c r="F138" s="371"/>
      <c r="G138" s="373"/>
      <c r="H138" s="373"/>
      <c r="I138" s="63" t="str">
        <f t="shared" si="91"/>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75" customHeight="1">
      <c r="A139" s="63" t="str">
        <f t="array" ref="A139">IF(C139&lt;&gt;0,SUM(($C$11:C139&lt;&gt;0)*1),"")</f>
        <v/>
      </c>
      <c r="B139" s="315"/>
      <c r="C139" s="315"/>
      <c r="D139" s="315"/>
      <c r="E139" s="432"/>
      <c r="F139" s="371"/>
      <c r="G139" s="373"/>
      <c r="H139" s="373"/>
      <c r="I139" s="63" t="str">
        <f t="shared" si="91"/>
        <v/>
      </c>
      <c r="J139" s="317">
        <f t="shared" ref="J139:J202" si="92">IF($G139="1111",$F139,0)</f>
        <v>0</v>
      </c>
      <c r="K139" s="317">
        <f t="shared" ref="K139:K202" si="93">IF($H139="1111",$F139,0)</f>
        <v>0</v>
      </c>
      <c r="L139" s="317">
        <f t="shared" ref="L139:L202" si="94">IF($G139="1121",$F139,0)</f>
        <v>0</v>
      </c>
      <c r="M139" s="317">
        <f t="shared" ref="M139:M202" si="95">IF($H139="1121",$F139,0)</f>
        <v>0</v>
      </c>
      <c r="N139" s="317">
        <f t="shared" si="84"/>
        <v>0</v>
      </c>
      <c r="O139" s="317">
        <f t="shared" si="85"/>
        <v>0</v>
      </c>
      <c r="P139" s="317">
        <f t="shared" ref="P139:P202" si="96">IF($G139="1331",$F139,0)</f>
        <v>0</v>
      </c>
      <c r="Q139" s="317">
        <f t="shared" ref="Q139:Q202" si="97">IF($H139="1331",$F139,0)</f>
        <v>0</v>
      </c>
      <c r="R139" s="317">
        <f t="shared" ref="R139:R202" si="98">IF($G139="1388",$F139,0)</f>
        <v>0</v>
      </c>
      <c r="S139" s="317">
        <f t="shared" ref="S139:S202" si="99">IF($H139="1388",$F139,0)</f>
        <v>0</v>
      </c>
      <c r="T139" s="317">
        <f t="shared" si="86"/>
        <v>0</v>
      </c>
      <c r="U139" s="317">
        <f t="shared" si="87"/>
        <v>0</v>
      </c>
      <c r="V139" s="317">
        <f t="shared" ref="V139:V202" si="100">IF($G139="331",$F139,0)</f>
        <v>0</v>
      </c>
      <c r="W139" s="317">
        <f t="shared" ref="W139:W202" si="101">IF($H139="331",$F139,0)</f>
        <v>0</v>
      </c>
      <c r="X139" s="317">
        <f t="shared" ref="X139:X202" si="102">IF($G139="3334",$F139,0)</f>
        <v>0</v>
      </c>
      <c r="Y139" s="317">
        <f t="shared" ref="Y139:Y202" si="103">IF($H139="3334",$F139,0)</f>
        <v>0</v>
      </c>
      <c r="Z139" s="317">
        <f t="shared" ref="Z139:Z202" si="104">IF($G139="33382",$F139,0)</f>
        <v>0</v>
      </c>
      <c r="AA139" s="317">
        <f t="shared" ref="AA139:AA202" si="105">IF($H139="33382",$F139,0)</f>
        <v>0</v>
      </c>
      <c r="AB139" s="317">
        <f t="shared" ref="AB139:AB202" si="106">IF($G139="3388",$F139,0)</f>
        <v>0</v>
      </c>
      <c r="AC139" s="317">
        <f t="shared" ref="AC139:AC202" si="107">IF($H139="3388",$F139,0)</f>
        <v>0</v>
      </c>
      <c r="AD139" s="317">
        <f t="shared" ref="AD139:AD202" si="108">IF($G139="3411",$F139,0)</f>
        <v>0</v>
      </c>
      <c r="AE139" s="317">
        <f t="shared" ref="AE139:AE202" si="109">IF($H139="3411",$F139,0)</f>
        <v>0</v>
      </c>
      <c r="AF139" s="317">
        <f t="shared" si="88"/>
        <v>0</v>
      </c>
      <c r="AG139" s="317">
        <f t="shared" si="89"/>
        <v>0</v>
      </c>
      <c r="AH139" s="317">
        <f t="shared" ref="AH139:AH202" si="110">IF($G139="4111",$F139,0)</f>
        <v>0</v>
      </c>
      <c r="AI139" s="317">
        <f t="shared" ref="AI139:AI202" si="111">IF($H139="4111",$F139,0)</f>
        <v>0</v>
      </c>
      <c r="AJ139" s="317">
        <f t="shared" ref="AJ139:AJ202" si="112">IF($G139="4211",$F139,0)</f>
        <v>0</v>
      </c>
      <c r="AK139" s="317">
        <f t="shared" ref="AK139:AK202" si="113">IF($H139="4211",$F139,0)</f>
        <v>0</v>
      </c>
      <c r="AL139" s="317">
        <f t="shared" ref="AL139:AL202" si="114">IF($G139="4212",$F139,0)</f>
        <v>0</v>
      </c>
      <c r="AM139" s="317">
        <f t="shared" ref="AM139:AM202" si="115">IF($H139="4212",$F139,0)</f>
        <v>0</v>
      </c>
      <c r="AN139" s="317">
        <f t="shared" ref="AN139:AN202" si="116">IF($G139="515",$F139,0)</f>
        <v>0</v>
      </c>
      <c r="AO139" s="317">
        <f t="shared" ref="AO139:AO202" si="117">IF($H139="515",$F139,0)</f>
        <v>0</v>
      </c>
      <c r="AP139" s="317">
        <f t="shared" ref="AP139:AP202" si="118">IF($G139="635",$F139,0)</f>
        <v>0</v>
      </c>
      <c r="AQ139" s="317">
        <f t="shared" ref="AQ139:AQ202" si="119">IF($H139="635",$F139,0)</f>
        <v>0</v>
      </c>
      <c r="AR139" s="317">
        <f t="shared" ref="AR139:AR202" si="120">IF($G139="642",$F139,0)</f>
        <v>0</v>
      </c>
      <c r="AS139" s="317">
        <f t="shared" ref="AS139:AS202" si="121">IF($H139="642",$F139,0)</f>
        <v>0</v>
      </c>
      <c r="AT139" s="317">
        <f t="shared" ref="AT139:AT202" si="122">IF($G139="711",$F139,0)</f>
        <v>0</v>
      </c>
      <c r="AU139" s="317">
        <f t="shared" ref="AU139:AU202" si="123">IF($H139="711",$F139,0)</f>
        <v>0</v>
      </c>
      <c r="AV139" s="317">
        <f t="shared" ref="AV139:AV202" si="124">IF($G139="811",$F139,0)</f>
        <v>0</v>
      </c>
      <c r="AW139" s="317">
        <f t="shared" ref="AW139:AW202" si="125">IF($H139="811",$F139,0)</f>
        <v>0</v>
      </c>
      <c r="AX139" s="317">
        <f t="shared" ref="AX139:AX202" si="126">IF($G139="821",$F139,0)</f>
        <v>0</v>
      </c>
      <c r="AY139" s="317">
        <f t="shared" ref="AY139:AY202" si="127">IF($H139="821",$F139,0)</f>
        <v>0</v>
      </c>
      <c r="AZ139" s="317">
        <f t="shared" ref="AZ139:AZ202" si="128">IF($G139="911",$F139,0)</f>
        <v>0</v>
      </c>
      <c r="BA139" s="317">
        <f t="shared" ref="BA139:BA202" si="129">IF($H139="911",$F139,0)</f>
        <v>0</v>
      </c>
    </row>
    <row r="140" spans="1:53" s="314" customFormat="1" ht="15.75" customHeight="1">
      <c r="A140" s="63" t="str">
        <f t="array" ref="A140">IF(C140&lt;&gt;0,SUM(($C$11:C140&lt;&gt;0)*1),"")</f>
        <v/>
      </c>
      <c r="B140" s="315"/>
      <c r="C140" s="315"/>
      <c r="D140" s="315"/>
      <c r="E140" s="432"/>
      <c r="F140" s="371"/>
      <c r="G140" s="373"/>
      <c r="H140" s="373"/>
      <c r="I140" s="63" t="str">
        <f t="shared" si="91"/>
        <v/>
      </c>
      <c r="J140" s="317">
        <f t="shared" si="92"/>
        <v>0</v>
      </c>
      <c r="K140" s="317">
        <f t="shared" si="93"/>
        <v>0</v>
      </c>
      <c r="L140" s="317">
        <f t="shared" si="94"/>
        <v>0</v>
      </c>
      <c r="M140" s="317">
        <f t="shared" si="95"/>
        <v>0</v>
      </c>
      <c r="N140" s="317">
        <f t="shared" ref="N140:N203" si="130">IF($G140="1122",$F140,0)</f>
        <v>0</v>
      </c>
      <c r="O140" s="317">
        <f t="shared" ref="O140:O203" si="131">IF($H140="1122",$F140,0)</f>
        <v>0</v>
      </c>
      <c r="P140" s="317">
        <f t="shared" si="96"/>
        <v>0</v>
      </c>
      <c r="Q140" s="317">
        <f t="shared" si="97"/>
        <v>0</v>
      </c>
      <c r="R140" s="317">
        <f t="shared" si="98"/>
        <v>0</v>
      </c>
      <c r="S140" s="317">
        <f t="shared" si="99"/>
        <v>0</v>
      </c>
      <c r="T140" s="317">
        <f t="shared" ref="T140:T203" si="132">IF($G140="2412",$F140,0)</f>
        <v>0</v>
      </c>
      <c r="U140" s="317">
        <f t="shared" ref="U140:U203" si="133">IF($H140="2412",$F140,0)</f>
        <v>0</v>
      </c>
      <c r="V140" s="317">
        <f t="shared" si="100"/>
        <v>0</v>
      </c>
      <c r="W140" s="317">
        <f t="shared" si="101"/>
        <v>0</v>
      </c>
      <c r="X140" s="317">
        <f t="shared" si="102"/>
        <v>0</v>
      </c>
      <c r="Y140" s="317">
        <f t="shared" si="103"/>
        <v>0</v>
      </c>
      <c r="Z140" s="317">
        <f t="shared" si="104"/>
        <v>0</v>
      </c>
      <c r="AA140" s="317">
        <f t="shared" si="105"/>
        <v>0</v>
      </c>
      <c r="AB140" s="317">
        <f t="shared" si="106"/>
        <v>0</v>
      </c>
      <c r="AC140" s="317">
        <f t="shared" si="107"/>
        <v>0</v>
      </c>
      <c r="AD140" s="317">
        <f t="shared" si="108"/>
        <v>0</v>
      </c>
      <c r="AE140" s="317">
        <f t="shared" si="109"/>
        <v>0</v>
      </c>
      <c r="AF140" s="317">
        <f t="shared" ref="AF140:AF203" si="134">IF($G140="3412",$F140,0)</f>
        <v>0</v>
      </c>
      <c r="AG140" s="317">
        <f t="shared" ref="AG140:AG203" si="135">IF($H140="3412",$F140,0)</f>
        <v>0</v>
      </c>
      <c r="AH140" s="317">
        <f t="shared" si="110"/>
        <v>0</v>
      </c>
      <c r="AI140" s="317">
        <f t="shared" si="111"/>
        <v>0</v>
      </c>
      <c r="AJ140" s="317">
        <f t="shared" si="112"/>
        <v>0</v>
      </c>
      <c r="AK140" s="317">
        <f t="shared" si="113"/>
        <v>0</v>
      </c>
      <c r="AL140" s="317">
        <f t="shared" si="114"/>
        <v>0</v>
      </c>
      <c r="AM140" s="317">
        <f t="shared" si="115"/>
        <v>0</v>
      </c>
      <c r="AN140" s="317">
        <f t="shared" si="116"/>
        <v>0</v>
      </c>
      <c r="AO140" s="317">
        <f t="shared" si="117"/>
        <v>0</v>
      </c>
      <c r="AP140" s="317">
        <f t="shared" si="118"/>
        <v>0</v>
      </c>
      <c r="AQ140" s="317">
        <f t="shared" si="119"/>
        <v>0</v>
      </c>
      <c r="AR140" s="317">
        <f t="shared" si="120"/>
        <v>0</v>
      </c>
      <c r="AS140" s="317">
        <f t="shared" si="121"/>
        <v>0</v>
      </c>
      <c r="AT140" s="317">
        <f t="shared" si="122"/>
        <v>0</v>
      </c>
      <c r="AU140" s="317">
        <f t="shared" si="123"/>
        <v>0</v>
      </c>
      <c r="AV140" s="317">
        <f t="shared" si="124"/>
        <v>0</v>
      </c>
      <c r="AW140" s="317">
        <f t="shared" si="125"/>
        <v>0</v>
      </c>
      <c r="AX140" s="317">
        <f t="shared" si="126"/>
        <v>0</v>
      </c>
      <c r="AY140" s="317">
        <f t="shared" si="127"/>
        <v>0</v>
      </c>
      <c r="AZ140" s="317">
        <f t="shared" si="128"/>
        <v>0</v>
      </c>
      <c r="BA140" s="317">
        <f t="shared" si="129"/>
        <v>0</v>
      </c>
    </row>
    <row r="141" spans="1:53" s="314" customFormat="1" ht="15.75" customHeight="1">
      <c r="A141" s="63" t="str">
        <f t="array" ref="A141">IF(C141&lt;&gt;0,SUM(($C$11:C141&lt;&gt;0)*1),"")</f>
        <v/>
      </c>
      <c r="B141" s="315"/>
      <c r="C141" s="315"/>
      <c r="D141" s="315"/>
      <c r="E141" s="432"/>
      <c r="F141" s="371"/>
      <c r="G141" s="373"/>
      <c r="H141" s="373"/>
      <c r="I141" s="63" t="str">
        <f t="shared" si="91"/>
        <v/>
      </c>
      <c r="J141" s="317">
        <f t="shared" si="92"/>
        <v>0</v>
      </c>
      <c r="K141" s="317">
        <f t="shared" si="93"/>
        <v>0</v>
      </c>
      <c r="L141" s="317">
        <f t="shared" si="94"/>
        <v>0</v>
      </c>
      <c r="M141" s="317">
        <f t="shared" si="95"/>
        <v>0</v>
      </c>
      <c r="N141" s="317">
        <f t="shared" si="130"/>
        <v>0</v>
      </c>
      <c r="O141" s="317">
        <f t="shared" si="131"/>
        <v>0</v>
      </c>
      <c r="P141" s="317">
        <f t="shared" si="96"/>
        <v>0</v>
      </c>
      <c r="Q141" s="317">
        <f t="shared" si="97"/>
        <v>0</v>
      </c>
      <c r="R141" s="317">
        <f t="shared" si="98"/>
        <v>0</v>
      </c>
      <c r="S141" s="317">
        <f t="shared" si="99"/>
        <v>0</v>
      </c>
      <c r="T141" s="317">
        <f t="shared" si="132"/>
        <v>0</v>
      </c>
      <c r="U141" s="317">
        <f t="shared" si="133"/>
        <v>0</v>
      </c>
      <c r="V141" s="317">
        <f t="shared" si="100"/>
        <v>0</v>
      </c>
      <c r="W141" s="317">
        <f t="shared" si="101"/>
        <v>0</v>
      </c>
      <c r="X141" s="317">
        <f t="shared" si="102"/>
        <v>0</v>
      </c>
      <c r="Y141" s="317">
        <f t="shared" si="103"/>
        <v>0</v>
      </c>
      <c r="Z141" s="317">
        <f t="shared" si="104"/>
        <v>0</v>
      </c>
      <c r="AA141" s="317">
        <f t="shared" si="105"/>
        <v>0</v>
      </c>
      <c r="AB141" s="317">
        <f t="shared" si="106"/>
        <v>0</v>
      </c>
      <c r="AC141" s="317">
        <f t="shared" si="107"/>
        <v>0</v>
      </c>
      <c r="AD141" s="317">
        <f t="shared" si="108"/>
        <v>0</v>
      </c>
      <c r="AE141" s="317">
        <f t="shared" si="109"/>
        <v>0</v>
      </c>
      <c r="AF141" s="317">
        <f t="shared" si="134"/>
        <v>0</v>
      </c>
      <c r="AG141" s="317">
        <f t="shared" si="135"/>
        <v>0</v>
      </c>
      <c r="AH141" s="317">
        <f t="shared" si="110"/>
        <v>0</v>
      </c>
      <c r="AI141" s="317">
        <f t="shared" si="111"/>
        <v>0</v>
      </c>
      <c r="AJ141" s="317">
        <f t="shared" si="112"/>
        <v>0</v>
      </c>
      <c r="AK141" s="317">
        <f t="shared" si="113"/>
        <v>0</v>
      </c>
      <c r="AL141" s="317">
        <f t="shared" si="114"/>
        <v>0</v>
      </c>
      <c r="AM141" s="317">
        <f t="shared" si="115"/>
        <v>0</v>
      </c>
      <c r="AN141" s="317">
        <f t="shared" si="116"/>
        <v>0</v>
      </c>
      <c r="AO141" s="317">
        <f t="shared" si="117"/>
        <v>0</v>
      </c>
      <c r="AP141" s="317">
        <f t="shared" si="118"/>
        <v>0</v>
      </c>
      <c r="AQ141" s="317">
        <f t="shared" si="119"/>
        <v>0</v>
      </c>
      <c r="AR141" s="317">
        <f t="shared" si="120"/>
        <v>0</v>
      </c>
      <c r="AS141" s="317">
        <f t="shared" si="121"/>
        <v>0</v>
      </c>
      <c r="AT141" s="317">
        <f t="shared" si="122"/>
        <v>0</v>
      </c>
      <c r="AU141" s="317">
        <f t="shared" si="123"/>
        <v>0</v>
      </c>
      <c r="AV141" s="317">
        <f t="shared" si="124"/>
        <v>0</v>
      </c>
      <c r="AW141" s="317">
        <f t="shared" si="125"/>
        <v>0</v>
      </c>
      <c r="AX141" s="317">
        <f t="shared" si="126"/>
        <v>0</v>
      </c>
      <c r="AY141" s="317">
        <f t="shared" si="127"/>
        <v>0</v>
      </c>
      <c r="AZ141" s="317">
        <f t="shared" si="128"/>
        <v>0</v>
      </c>
      <c r="BA141" s="317">
        <f t="shared" si="129"/>
        <v>0</v>
      </c>
    </row>
    <row r="142" spans="1:53" s="314" customFormat="1" ht="15.75" customHeight="1">
      <c r="A142" s="63" t="str">
        <f t="array" ref="A142">IF(C142&lt;&gt;0,SUM(($C$11:C142&lt;&gt;0)*1),"")</f>
        <v/>
      </c>
      <c r="B142" s="315"/>
      <c r="C142" s="315"/>
      <c r="D142" s="315"/>
      <c r="E142" s="432"/>
      <c r="F142" s="371"/>
      <c r="G142" s="373"/>
      <c r="H142" s="373"/>
      <c r="I142" s="63" t="str">
        <f t="shared" si="91"/>
        <v/>
      </c>
      <c r="J142" s="317">
        <f t="shared" si="92"/>
        <v>0</v>
      </c>
      <c r="K142" s="317">
        <f t="shared" si="93"/>
        <v>0</v>
      </c>
      <c r="L142" s="317">
        <f t="shared" si="94"/>
        <v>0</v>
      </c>
      <c r="M142" s="317">
        <f t="shared" si="95"/>
        <v>0</v>
      </c>
      <c r="N142" s="317">
        <f t="shared" si="130"/>
        <v>0</v>
      </c>
      <c r="O142" s="317">
        <f t="shared" si="131"/>
        <v>0</v>
      </c>
      <c r="P142" s="317">
        <f t="shared" si="96"/>
        <v>0</v>
      </c>
      <c r="Q142" s="317">
        <f t="shared" si="97"/>
        <v>0</v>
      </c>
      <c r="R142" s="317">
        <f t="shared" si="98"/>
        <v>0</v>
      </c>
      <c r="S142" s="317">
        <f t="shared" si="99"/>
        <v>0</v>
      </c>
      <c r="T142" s="317">
        <f t="shared" si="132"/>
        <v>0</v>
      </c>
      <c r="U142" s="317">
        <f t="shared" si="133"/>
        <v>0</v>
      </c>
      <c r="V142" s="317">
        <f t="shared" si="100"/>
        <v>0</v>
      </c>
      <c r="W142" s="317">
        <f t="shared" si="101"/>
        <v>0</v>
      </c>
      <c r="X142" s="317">
        <f t="shared" si="102"/>
        <v>0</v>
      </c>
      <c r="Y142" s="317">
        <f t="shared" si="103"/>
        <v>0</v>
      </c>
      <c r="Z142" s="317">
        <f t="shared" si="104"/>
        <v>0</v>
      </c>
      <c r="AA142" s="317">
        <f t="shared" si="105"/>
        <v>0</v>
      </c>
      <c r="AB142" s="317">
        <f t="shared" si="106"/>
        <v>0</v>
      </c>
      <c r="AC142" s="317">
        <f t="shared" si="107"/>
        <v>0</v>
      </c>
      <c r="AD142" s="317">
        <f t="shared" si="108"/>
        <v>0</v>
      </c>
      <c r="AE142" s="317">
        <f t="shared" si="109"/>
        <v>0</v>
      </c>
      <c r="AF142" s="317">
        <f t="shared" si="134"/>
        <v>0</v>
      </c>
      <c r="AG142" s="317">
        <f t="shared" si="135"/>
        <v>0</v>
      </c>
      <c r="AH142" s="317">
        <f t="shared" si="110"/>
        <v>0</v>
      </c>
      <c r="AI142" s="317">
        <f t="shared" si="111"/>
        <v>0</v>
      </c>
      <c r="AJ142" s="317">
        <f t="shared" si="112"/>
        <v>0</v>
      </c>
      <c r="AK142" s="317">
        <f t="shared" si="113"/>
        <v>0</v>
      </c>
      <c r="AL142" s="317">
        <f t="shared" si="114"/>
        <v>0</v>
      </c>
      <c r="AM142" s="317">
        <f t="shared" si="115"/>
        <v>0</v>
      </c>
      <c r="AN142" s="317">
        <f t="shared" si="116"/>
        <v>0</v>
      </c>
      <c r="AO142" s="317">
        <f t="shared" si="117"/>
        <v>0</v>
      </c>
      <c r="AP142" s="317">
        <f t="shared" si="118"/>
        <v>0</v>
      </c>
      <c r="AQ142" s="317">
        <f t="shared" si="119"/>
        <v>0</v>
      </c>
      <c r="AR142" s="317">
        <f t="shared" si="120"/>
        <v>0</v>
      </c>
      <c r="AS142" s="317">
        <f t="shared" si="121"/>
        <v>0</v>
      </c>
      <c r="AT142" s="317">
        <f t="shared" si="122"/>
        <v>0</v>
      </c>
      <c r="AU142" s="317">
        <f t="shared" si="123"/>
        <v>0</v>
      </c>
      <c r="AV142" s="317">
        <f t="shared" si="124"/>
        <v>0</v>
      </c>
      <c r="AW142" s="317">
        <f t="shared" si="125"/>
        <v>0</v>
      </c>
      <c r="AX142" s="317">
        <f t="shared" si="126"/>
        <v>0</v>
      </c>
      <c r="AY142" s="317">
        <f t="shared" si="127"/>
        <v>0</v>
      </c>
      <c r="AZ142" s="317">
        <f t="shared" si="128"/>
        <v>0</v>
      </c>
      <c r="BA142" s="317">
        <f t="shared" si="129"/>
        <v>0</v>
      </c>
    </row>
    <row r="143" spans="1:53" s="314" customFormat="1" ht="15.75" customHeight="1">
      <c r="A143" s="63" t="str">
        <f t="array" ref="A143">IF(C143&lt;&gt;0,SUM(($C$11:C143&lt;&gt;0)*1),"")</f>
        <v/>
      </c>
      <c r="B143" s="315"/>
      <c r="C143" s="315"/>
      <c r="D143" s="315"/>
      <c r="E143" s="432"/>
      <c r="F143" s="371"/>
      <c r="G143" s="373"/>
      <c r="H143" s="373"/>
      <c r="I143" s="63" t="str">
        <f t="shared" si="91"/>
        <v/>
      </c>
      <c r="J143" s="317">
        <f t="shared" si="92"/>
        <v>0</v>
      </c>
      <c r="K143" s="317">
        <f t="shared" si="93"/>
        <v>0</v>
      </c>
      <c r="L143" s="317">
        <f t="shared" si="94"/>
        <v>0</v>
      </c>
      <c r="M143" s="317">
        <f t="shared" si="95"/>
        <v>0</v>
      </c>
      <c r="N143" s="317">
        <f t="shared" si="130"/>
        <v>0</v>
      </c>
      <c r="O143" s="317">
        <f t="shared" si="131"/>
        <v>0</v>
      </c>
      <c r="P143" s="317">
        <f t="shared" si="96"/>
        <v>0</v>
      </c>
      <c r="Q143" s="317">
        <f t="shared" si="97"/>
        <v>0</v>
      </c>
      <c r="R143" s="317">
        <f t="shared" si="98"/>
        <v>0</v>
      </c>
      <c r="S143" s="317">
        <f t="shared" si="99"/>
        <v>0</v>
      </c>
      <c r="T143" s="317">
        <f t="shared" si="132"/>
        <v>0</v>
      </c>
      <c r="U143" s="317">
        <f t="shared" si="133"/>
        <v>0</v>
      </c>
      <c r="V143" s="317">
        <f t="shared" si="100"/>
        <v>0</v>
      </c>
      <c r="W143" s="317">
        <f t="shared" si="101"/>
        <v>0</v>
      </c>
      <c r="X143" s="317">
        <f t="shared" si="102"/>
        <v>0</v>
      </c>
      <c r="Y143" s="317">
        <f t="shared" si="103"/>
        <v>0</v>
      </c>
      <c r="Z143" s="317">
        <f t="shared" si="104"/>
        <v>0</v>
      </c>
      <c r="AA143" s="317">
        <f t="shared" si="105"/>
        <v>0</v>
      </c>
      <c r="AB143" s="317">
        <f t="shared" si="106"/>
        <v>0</v>
      </c>
      <c r="AC143" s="317">
        <f t="shared" si="107"/>
        <v>0</v>
      </c>
      <c r="AD143" s="317">
        <f t="shared" si="108"/>
        <v>0</v>
      </c>
      <c r="AE143" s="317">
        <f t="shared" si="109"/>
        <v>0</v>
      </c>
      <c r="AF143" s="317">
        <f t="shared" si="134"/>
        <v>0</v>
      </c>
      <c r="AG143" s="317">
        <f t="shared" si="135"/>
        <v>0</v>
      </c>
      <c r="AH143" s="317">
        <f t="shared" si="110"/>
        <v>0</v>
      </c>
      <c r="AI143" s="317">
        <f t="shared" si="111"/>
        <v>0</v>
      </c>
      <c r="AJ143" s="317">
        <f t="shared" si="112"/>
        <v>0</v>
      </c>
      <c r="AK143" s="317">
        <f t="shared" si="113"/>
        <v>0</v>
      </c>
      <c r="AL143" s="317">
        <f t="shared" si="114"/>
        <v>0</v>
      </c>
      <c r="AM143" s="317">
        <f t="shared" si="115"/>
        <v>0</v>
      </c>
      <c r="AN143" s="317">
        <f t="shared" si="116"/>
        <v>0</v>
      </c>
      <c r="AO143" s="317">
        <f t="shared" si="117"/>
        <v>0</v>
      </c>
      <c r="AP143" s="317">
        <f t="shared" si="118"/>
        <v>0</v>
      </c>
      <c r="AQ143" s="317">
        <f t="shared" si="119"/>
        <v>0</v>
      </c>
      <c r="AR143" s="317">
        <f t="shared" si="120"/>
        <v>0</v>
      </c>
      <c r="AS143" s="317">
        <f t="shared" si="121"/>
        <v>0</v>
      </c>
      <c r="AT143" s="317">
        <f t="shared" si="122"/>
        <v>0</v>
      </c>
      <c r="AU143" s="317">
        <f t="shared" si="123"/>
        <v>0</v>
      </c>
      <c r="AV143" s="317">
        <f t="shared" si="124"/>
        <v>0</v>
      </c>
      <c r="AW143" s="317">
        <f t="shared" si="125"/>
        <v>0</v>
      </c>
      <c r="AX143" s="317">
        <f t="shared" si="126"/>
        <v>0</v>
      </c>
      <c r="AY143" s="317">
        <f t="shared" si="127"/>
        <v>0</v>
      </c>
      <c r="AZ143" s="317">
        <f t="shared" si="128"/>
        <v>0</v>
      </c>
      <c r="BA143" s="317">
        <f t="shared" si="129"/>
        <v>0</v>
      </c>
    </row>
    <row r="144" spans="1:53" s="314" customFormat="1" ht="15.75" customHeight="1">
      <c r="A144" s="63" t="str">
        <f t="array" ref="A144">IF(C144&lt;&gt;0,SUM(($C$11:C144&lt;&gt;0)*1),"")</f>
        <v/>
      </c>
      <c r="B144" s="315"/>
      <c r="C144" s="315"/>
      <c r="D144" s="315"/>
      <c r="E144" s="432"/>
      <c r="F144" s="371"/>
      <c r="G144" s="373"/>
      <c r="H144" s="373"/>
      <c r="I144" s="63" t="str">
        <f t="shared" si="91"/>
        <v/>
      </c>
      <c r="J144" s="317">
        <f t="shared" si="92"/>
        <v>0</v>
      </c>
      <c r="K144" s="317">
        <f t="shared" si="93"/>
        <v>0</v>
      </c>
      <c r="L144" s="317">
        <f t="shared" si="94"/>
        <v>0</v>
      </c>
      <c r="M144" s="317">
        <f t="shared" si="95"/>
        <v>0</v>
      </c>
      <c r="N144" s="317">
        <f t="shared" si="130"/>
        <v>0</v>
      </c>
      <c r="O144" s="317">
        <f t="shared" si="131"/>
        <v>0</v>
      </c>
      <c r="P144" s="317">
        <f t="shared" si="96"/>
        <v>0</v>
      </c>
      <c r="Q144" s="317">
        <f t="shared" si="97"/>
        <v>0</v>
      </c>
      <c r="R144" s="317">
        <f t="shared" si="98"/>
        <v>0</v>
      </c>
      <c r="S144" s="317">
        <f t="shared" si="99"/>
        <v>0</v>
      </c>
      <c r="T144" s="317">
        <f t="shared" si="132"/>
        <v>0</v>
      </c>
      <c r="U144" s="317">
        <f t="shared" si="133"/>
        <v>0</v>
      </c>
      <c r="V144" s="317">
        <f t="shared" si="100"/>
        <v>0</v>
      </c>
      <c r="W144" s="317">
        <f t="shared" si="101"/>
        <v>0</v>
      </c>
      <c r="X144" s="317">
        <f t="shared" si="102"/>
        <v>0</v>
      </c>
      <c r="Y144" s="317">
        <f t="shared" si="103"/>
        <v>0</v>
      </c>
      <c r="Z144" s="317">
        <f t="shared" si="104"/>
        <v>0</v>
      </c>
      <c r="AA144" s="317">
        <f t="shared" si="105"/>
        <v>0</v>
      </c>
      <c r="AB144" s="317">
        <f t="shared" si="106"/>
        <v>0</v>
      </c>
      <c r="AC144" s="317">
        <f t="shared" si="107"/>
        <v>0</v>
      </c>
      <c r="AD144" s="317">
        <f t="shared" si="108"/>
        <v>0</v>
      </c>
      <c r="AE144" s="317">
        <f t="shared" si="109"/>
        <v>0</v>
      </c>
      <c r="AF144" s="317">
        <f t="shared" si="134"/>
        <v>0</v>
      </c>
      <c r="AG144" s="317">
        <f t="shared" si="135"/>
        <v>0</v>
      </c>
      <c r="AH144" s="317">
        <f t="shared" si="110"/>
        <v>0</v>
      </c>
      <c r="AI144" s="317">
        <f t="shared" si="111"/>
        <v>0</v>
      </c>
      <c r="AJ144" s="317">
        <f t="shared" si="112"/>
        <v>0</v>
      </c>
      <c r="AK144" s="317">
        <f t="shared" si="113"/>
        <v>0</v>
      </c>
      <c r="AL144" s="317">
        <f t="shared" si="114"/>
        <v>0</v>
      </c>
      <c r="AM144" s="317">
        <f t="shared" si="115"/>
        <v>0</v>
      </c>
      <c r="AN144" s="317">
        <f t="shared" si="116"/>
        <v>0</v>
      </c>
      <c r="AO144" s="317">
        <f t="shared" si="117"/>
        <v>0</v>
      </c>
      <c r="AP144" s="317">
        <f t="shared" si="118"/>
        <v>0</v>
      </c>
      <c r="AQ144" s="317">
        <f t="shared" si="119"/>
        <v>0</v>
      </c>
      <c r="AR144" s="317">
        <f t="shared" si="120"/>
        <v>0</v>
      </c>
      <c r="AS144" s="317">
        <f t="shared" si="121"/>
        <v>0</v>
      </c>
      <c r="AT144" s="317">
        <f t="shared" si="122"/>
        <v>0</v>
      </c>
      <c r="AU144" s="317">
        <f t="shared" si="123"/>
        <v>0</v>
      </c>
      <c r="AV144" s="317">
        <f t="shared" si="124"/>
        <v>0</v>
      </c>
      <c r="AW144" s="317">
        <f t="shared" si="125"/>
        <v>0</v>
      </c>
      <c r="AX144" s="317">
        <f t="shared" si="126"/>
        <v>0</v>
      </c>
      <c r="AY144" s="317">
        <f t="shared" si="127"/>
        <v>0</v>
      </c>
      <c r="AZ144" s="317">
        <f t="shared" si="128"/>
        <v>0</v>
      </c>
      <c r="BA144" s="317">
        <f t="shared" si="129"/>
        <v>0</v>
      </c>
    </row>
    <row r="145" spans="1:53" s="314" customFormat="1" ht="15.75" customHeight="1">
      <c r="A145" s="63" t="str">
        <f t="array" ref="A145">IF(C145&lt;&gt;0,SUM(($C$11:C145&lt;&gt;0)*1),"")</f>
        <v/>
      </c>
      <c r="B145" s="315"/>
      <c r="C145" s="315"/>
      <c r="D145" s="315"/>
      <c r="E145" s="432"/>
      <c r="F145" s="371"/>
      <c r="G145" s="373"/>
      <c r="H145" s="373"/>
      <c r="I145" s="63" t="str">
        <f t="shared" si="91"/>
        <v/>
      </c>
      <c r="J145" s="317">
        <f t="shared" si="92"/>
        <v>0</v>
      </c>
      <c r="K145" s="317">
        <f t="shared" si="93"/>
        <v>0</v>
      </c>
      <c r="L145" s="317">
        <f t="shared" si="94"/>
        <v>0</v>
      </c>
      <c r="M145" s="317">
        <f t="shared" si="95"/>
        <v>0</v>
      </c>
      <c r="N145" s="317">
        <f t="shared" si="130"/>
        <v>0</v>
      </c>
      <c r="O145" s="317">
        <f t="shared" si="131"/>
        <v>0</v>
      </c>
      <c r="P145" s="317">
        <f t="shared" si="96"/>
        <v>0</v>
      </c>
      <c r="Q145" s="317">
        <f t="shared" si="97"/>
        <v>0</v>
      </c>
      <c r="R145" s="317">
        <f t="shared" si="98"/>
        <v>0</v>
      </c>
      <c r="S145" s="317">
        <f t="shared" si="99"/>
        <v>0</v>
      </c>
      <c r="T145" s="317">
        <f t="shared" si="132"/>
        <v>0</v>
      </c>
      <c r="U145" s="317">
        <f t="shared" si="133"/>
        <v>0</v>
      </c>
      <c r="V145" s="317">
        <f t="shared" si="100"/>
        <v>0</v>
      </c>
      <c r="W145" s="317">
        <f t="shared" si="101"/>
        <v>0</v>
      </c>
      <c r="X145" s="317">
        <f t="shared" si="102"/>
        <v>0</v>
      </c>
      <c r="Y145" s="317">
        <f t="shared" si="103"/>
        <v>0</v>
      </c>
      <c r="Z145" s="317">
        <f t="shared" si="104"/>
        <v>0</v>
      </c>
      <c r="AA145" s="317">
        <f t="shared" si="105"/>
        <v>0</v>
      </c>
      <c r="AB145" s="317">
        <f t="shared" si="106"/>
        <v>0</v>
      </c>
      <c r="AC145" s="317">
        <f t="shared" si="107"/>
        <v>0</v>
      </c>
      <c r="AD145" s="317">
        <f t="shared" si="108"/>
        <v>0</v>
      </c>
      <c r="AE145" s="317">
        <f t="shared" si="109"/>
        <v>0</v>
      </c>
      <c r="AF145" s="317">
        <f t="shared" si="134"/>
        <v>0</v>
      </c>
      <c r="AG145" s="317">
        <f t="shared" si="135"/>
        <v>0</v>
      </c>
      <c r="AH145" s="317">
        <f t="shared" si="110"/>
        <v>0</v>
      </c>
      <c r="AI145" s="317">
        <f t="shared" si="111"/>
        <v>0</v>
      </c>
      <c r="AJ145" s="317">
        <f t="shared" si="112"/>
        <v>0</v>
      </c>
      <c r="AK145" s="317">
        <f t="shared" si="113"/>
        <v>0</v>
      </c>
      <c r="AL145" s="317">
        <f t="shared" si="114"/>
        <v>0</v>
      </c>
      <c r="AM145" s="317">
        <f t="shared" si="115"/>
        <v>0</v>
      </c>
      <c r="AN145" s="317">
        <f t="shared" si="116"/>
        <v>0</v>
      </c>
      <c r="AO145" s="317">
        <f t="shared" si="117"/>
        <v>0</v>
      </c>
      <c r="AP145" s="317">
        <f t="shared" si="118"/>
        <v>0</v>
      </c>
      <c r="AQ145" s="317">
        <f t="shared" si="119"/>
        <v>0</v>
      </c>
      <c r="AR145" s="317">
        <f t="shared" si="120"/>
        <v>0</v>
      </c>
      <c r="AS145" s="317">
        <f t="shared" si="121"/>
        <v>0</v>
      </c>
      <c r="AT145" s="317">
        <f t="shared" si="122"/>
        <v>0</v>
      </c>
      <c r="AU145" s="317">
        <f t="shared" si="123"/>
        <v>0</v>
      </c>
      <c r="AV145" s="317">
        <f t="shared" si="124"/>
        <v>0</v>
      </c>
      <c r="AW145" s="317">
        <f t="shared" si="125"/>
        <v>0</v>
      </c>
      <c r="AX145" s="317">
        <f t="shared" si="126"/>
        <v>0</v>
      </c>
      <c r="AY145" s="317">
        <f t="shared" si="127"/>
        <v>0</v>
      </c>
      <c r="AZ145" s="317">
        <f t="shared" si="128"/>
        <v>0</v>
      </c>
      <c r="BA145" s="317">
        <f t="shared" si="129"/>
        <v>0</v>
      </c>
    </row>
    <row r="146" spans="1:53" s="314" customFormat="1" ht="15.75" customHeight="1">
      <c r="A146" s="63" t="str">
        <f t="array" ref="A146">IF(C146&lt;&gt;0,SUM(($C$11:C146&lt;&gt;0)*1),"")</f>
        <v/>
      </c>
      <c r="B146" s="315"/>
      <c r="C146" s="315"/>
      <c r="D146" s="315"/>
      <c r="E146" s="432"/>
      <c r="F146" s="371"/>
      <c r="G146" s="373"/>
      <c r="H146" s="373"/>
      <c r="I146" s="63" t="str">
        <f t="shared" si="91"/>
        <v/>
      </c>
      <c r="J146" s="317">
        <f t="shared" si="92"/>
        <v>0</v>
      </c>
      <c r="K146" s="317">
        <f t="shared" si="93"/>
        <v>0</v>
      </c>
      <c r="L146" s="317">
        <f t="shared" si="94"/>
        <v>0</v>
      </c>
      <c r="M146" s="317">
        <f t="shared" si="95"/>
        <v>0</v>
      </c>
      <c r="N146" s="317">
        <f t="shared" si="130"/>
        <v>0</v>
      </c>
      <c r="O146" s="317">
        <f t="shared" si="131"/>
        <v>0</v>
      </c>
      <c r="P146" s="317">
        <f t="shared" si="96"/>
        <v>0</v>
      </c>
      <c r="Q146" s="317">
        <f t="shared" si="97"/>
        <v>0</v>
      </c>
      <c r="R146" s="317">
        <f t="shared" si="98"/>
        <v>0</v>
      </c>
      <c r="S146" s="317">
        <f t="shared" si="99"/>
        <v>0</v>
      </c>
      <c r="T146" s="317">
        <f t="shared" si="132"/>
        <v>0</v>
      </c>
      <c r="U146" s="317">
        <f t="shared" si="133"/>
        <v>0</v>
      </c>
      <c r="V146" s="317">
        <f t="shared" si="100"/>
        <v>0</v>
      </c>
      <c r="W146" s="317">
        <f t="shared" si="101"/>
        <v>0</v>
      </c>
      <c r="X146" s="317">
        <f t="shared" si="102"/>
        <v>0</v>
      </c>
      <c r="Y146" s="317">
        <f t="shared" si="103"/>
        <v>0</v>
      </c>
      <c r="Z146" s="317">
        <f t="shared" si="104"/>
        <v>0</v>
      </c>
      <c r="AA146" s="317">
        <f t="shared" si="105"/>
        <v>0</v>
      </c>
      <c r="AB146" s="317">
        <f t="shared" si="106"/>
        <v>0</v>
      </c>
      <c r="AC146" s="317">
        <f t="shared" si="107"/>
        <v>0</v>
      </c>
      <c r="AD146" s="317">
        <f t="shared" si="108"/>
        <v>0</v>
      </c>
      <c r="AE146" s="317">
        <f t="shared" si="109"/>
        <v>0</v>
      </c>
      <c r="AF146" s="317">
        <f t="shared" si="134"/>
        <v>0</v>
      </c>
      <c r="AG146" s="317">
        <f t="shared" si="135"/>
        <v>0</v>
      </c>
      <c r="AH146" s="317">
        <f t="shared" si="110"/>
        <v>0</v>
      </c>
      <c r="AI146" s="317">
        <f t="shared" si="111"/>
        <v>0</v>
      </c>
      <c r="AJ146" s="317">
        <f t="shared" si="112"/>
        <v>0</v>
      </c>
      <c r="AK146" s="317">
        <f t="shared" si="113"/>
        <v>0</v>
      </c>
      <c r="AL146" s="317">
        <f t="shared" si="114"/>
        <v>0</v>
      </c>
      <c r="AM146" s="317">
        <f t="shared" si="115"/>
        <v>0</v>
      </c>
      <c r="AN146" s="317">
        <f t="shared" si="116"/>
        <v>0</v>
      </c>
      <c r="AO146" s="317">
        <f t="shared" si="117"/>
        <v>0</v>
      </c>
      <c r="AP146" s="317">
        <f t="shared" si="118"/>
        <v>0</v>
      </c>
      <c r="AQ146" s="317">
        <f t="shared" si="119"/>
        <v>0</v>
      </c>
      <c r="AR146" s="317">
        <f t="shared" si="120"/>
        <v>0</v>
      </c>
      <c r="AS146" s="317">
        <f t="shared" si="121"/>
        <v>0</v>
      </c>
      <c r="AT146" s="317">
        <f t="shared" si="122"/>
        <v>0</v>
      </c>
      <c r="AU146" s="317">
        <f t="shared" si="123"/>
        <v>0</v>
      </c>
      <c r="AV146" s="317">
        <f t="shared" si="124"/>
        <v>0</v>
      </c>
      <c r="AW146" s="317">
        <f t="shared" si="125"/>
        <v>0</v>
      </c>
      <c r="AX146" s="317">
        <f t="shared" si="126"/>
        <v>0</v>
      </c>
      <c r="AY146" s="317">
        <f t="shared" si="127"/>
        <v>0</v>
      </c>
      <c r="AZ146" s="317">
        <f t="shared" si="128"/>
        <v>0</v>
      </c>
      <c r="BA146" s="317">
        <f t="shared" si="129"/>
        <v>0</v>
      </c>
    </row>
    <row r="147" spans="1:53" s="314" customFormat="1" ht="15.75" customHeight="1">
      <c r="A147" s="63" t="str">
        <f t="array" ref="A147">IF(C147&lt;&gt;0,SUM(($C$11:C147&lt;&gt;0)*1),"")</f>
        <v/>
      </c>
      <c r="B147" s="315"/>
      <c r="C147" s="315"/>
      <c r="D147" s="315"/>
      <c r="E147" s="432"/>
      <c r="F147" s="371"/>
      <c r="G147" s="373"/>
      <c r="H147" s="373"/>
      <c r="I147" s="63" t="str">
        <f t="shared" si="91"/>
        <v/>
      </c>
      <c r="J147" s="317">
        <f t="shared" si="92"/>
        <v>0</v>
      </c>
      <c r="K147" s="317">
        <f t="shared" si="93"/>
        <v>0</v>
      </c>
      <c r="L147" s="317">
        <f t="shared" si="94"/>
        <v>0</v>
      </c>
      <c r="M147" s="317">
        <f t="shared" si="95"/>
        <v>0</v>
      </c>
      <c r="N147" s="317">
        <f t="shared" si="130"/>
        <v>0</v>
      </c>
      <c r="O147" s="317">
        <f t="shared" si="131"/>
        <v>0</v>
      </c>
      <c r="P147" s="317">
        <f t="shared" si="96"/>
        <v>0</v>
      </c>
      <c r="Q147" s="317">
        <f t="shared" si="97"/>
        <v>0</v>
      </c>
      <c r="R147" s="317">
        <f t="shared" si="98"/>
        <v>0</v>
      </c>
      <c r="S147" s="317">
        <f t="shared" si="99"/>
        <v>0</v>
      </c>
      <c r="T147" s="317">
        <f t="shared" si="132"/>
        <v>0</v>
      </c>
      <c r="U147" s="317">
        <f t="shared" si="133"/>
        <v>0</v>
      </c>
      <c r="V147" s="317">
        <f t="shared" si="100"/>
        <v>0</v>
      </c>
      <c r="W147" s="317">
        <f t="shared" si="101"/>
        <v>0</v>
      </c>
      <c r="X147" s="317">
        <f t="shared" si="102"/>
        <v>0</v>
      </c>
      <c r="Y147" s="317">
        <f t="shared" si="103"/>
        <v>0</v>
      </c>
      <c r="Z147" s="317">
        <f t="shared" si="104"/>
        <v>0</v>
      </c>
      <c r="AA147" s="317">
        <f t="shared" si="105"/>
        <v>0</v>
      </c>
      <c r="AB147" s="317">
        <f t="shared" si="106"/>
        <v>0</v>
      </c>
      <c r="AC147" s="317">
        <f t="shared" si="107"/>
        <v>0</v>
      </c>
      <c r="AD147" s="317">
        <f t="shared" si="108"/>
        <v>0</v>
      </c>
      <c r="AE147" s="317">
        <f t="shared" si="109"/>
        <v>0</v>
      </c>
      <c r="AF147" s="317">
        <f t="shared" si="134"/>
        <v>0</v>
      </c>
      <c r="AG147" s="317">
        <f t="shared" si="135"/>
        <v>0</v>
      </c>
      <c r="AH147" s="317">
        <f t="shared" si="110"/>
        <v>0</v>
      </c>
      <c r="AI147" s="317">
        <f t="shared" si="111"/>
        <v>0</v>
      </c>
      <c r="AJ147" s="317">
        <f t="shared" si="112"/>
        <v>0</v>
      </c>
      <c r="AK147" s="317">
        <f t="shared" si="113"/>
        <v>0</v>
      </c>
      <c r="AL147" s="317">
        <f t="shared" si="114"/>
        <v>0</v>
      </c>
      <c r="AM147" s="317">
        <f t="shared" si="115"/>
        <v>0</v>
      </c>
      <c r="AN147" s="317">
        <f t="shared" si="116"/>
        <v>0</v>
      </c>
      <c r="AO147" s="317">
        <f t="shared" si="117"/>
        <v>0</v>
      </c>
      <c r="AP147" s="317">
        <f t="shared" si="118"/>
        <v>0</v>
      </c>
      <c r="AQ147" s="317">
        <f t="shared" si="119"/>
        <v>0</v>
      </c>
      <c r="AR147" s="317">
        <f t="shared" si="120"/>
        <v>0</v>
      </c>
      <c r="AS147" s="317">
        <f t="shared" si="121"/>
        <v>0</v>
      </c>
      <c r="AT147" s="317">
        <f t="shared" si="122"/>
        <v>0</v>
      </c>
      <c r="AU147" s="317">
        <f t="shared" si="123"/>
        <v>0</v>
      </c>
      <c r="AV147" s="317">
        <f t="shared" si="124"/>
        <v>0</v>
      </c>
      <c r="AW147" s="317">
        <f t="shared" si="125"/>
        <v>0</v>
      </c>
      <c r="AX147" s="317">
        <f t="shared" si="126"/>
        <v>0</v>
      </c>
      <c r="AY147" s="317">
        <f t="shared" si="127"/>
        <v>0</v>
      </c>
      <c r="AZ147" s="317">
        <f t="shared" si="128"/>
        <v>0</v>
      </c>
      <c r="BA147" s="317">
        <f t="shared" si="129"/>
        <v>0</v>
      </c>
    </row>
    <row r="148" spans="1:53" s="314" customFormat="1" ht="15.75" customHeight="1">
      <c r="A148" s="63" t="str">
        <f t="array" ref="A148">IF(C148&lt;&gt;0,SUM(($C$11:C148&lt;&gt;0)*1),"")</f>
        <v/>
      </c>
      <c r="B148" s="315"/>
      <c r="C148" s="315"/>
      <c r="D148" s="315"/>
      <c r="E148" s="432"/>
      <c r="F148" s="371"/>
      <c r="G148" s="373"/>
      <c r="H148" s="373"/>
      <c r="I148" s="63" t="str">
        <f t="shared" si="91"/>
        <v/>
      </c>
      <c r="J148" s="317">
        <f t="shared" si="92"/>
        <v>0</v>
      </c>
      <c r="K148" s="317">
        <f t="shared" si="93"/>
        <v>0</v>
      </c>
      <c r="L148" s="317">
        <f t="shared" si="94"/>
        <v>0</v>
      </c>
      <c r="M148" s="317">
        <f t="shared" si="95"/>
        <v>0</v>
      </c>
      <c r="N148" s="317">
        <f t="shared" si="130"/>
        <v>0</v>
      </c>
      <c r="O148" s="317">
        <f t="shared" si="131"/>
        <v>0</v>
      </c>
      <c r="P148" s="317">
        <f t="shared" si="96"/>
        <v>0</v>
      </c>
      <c r="Q148" s="317">
        <f t="shared" si="97"/>
        <v>0</v>
      </c>
      <c r="R148" s="317">
        <f t="shared" si="98"/>
        <v>0</v>
      </c>
      <c r="S148" s="317">
        <f t="shared" si="99"/>
        <v>0</v>
      </c>
      <c r="T148" s="317">
        <f t="shared" si="132"/>
        <v>0</v>
      </c>
      <c r="U148" s="317">
        <f t="shared" si="133"/>
        <v>0</v>
      </c>
      <c r="V148" s="317">
        <f t="shared" si="100"/>
        <v>0</v>
      </c>
      <c r="W148" s="317">
        <f t="shared" si="101"/>
        <v>0</v>
      </c>
      <c r="X148" s="317">
        <f t="shared" si="102"/>
        <v>0</v>
      </c>
      <c r="Y148" s="317">
        <f t="shared" si="103"/>
        <v>0</v>
      </c>
      <c r="Z148" s="317">
        <f t="shared" si="104"/>
        <v>0</v>
      </c>
      <c r="AA148" s="317">
        <f t="shared" si="105"/>
        <v>0</v>
      </c>
      <c r="AB148" s="317">
        <f t="shared" si="106"/>
        <v>0</v>
      </c>
      <c r="AC148" s="317">
        <f t="shared" si="107"/>
        <v>0</v>
      </c>
      <c r="AD148" s="317">
        <f t="shared" si="108"/>
        <v>0</v>
      </c>
      <c r="AE148" s="317">
        <f t="shared" si="109"/>
        <v>0</v>
      </c>
      <c r="AF148" s="317">
        <f t="shared" si="134"/>
        <v>0</v>
      </c>
      <c r="AG148" s="317">
        <f t="shared" si="135"/>
        <v>0</v>
      </c>
      <c r="AH148" s="317">
        <f t="shared" si="110"/>
        <v>0</v>
      </c>
      <c r="AI148" s="317">
        <f t="shared" si="111"/>
        <v>0</v>
      </c>
      <c r="AJ148" s="317">
        <f t="shared" si="112"/>
        <v>0</v>
      </c>
      <c r="AK148" s="317">
        <f t="shared" si="113"/>
        <v>0</v>
      </c>
      <c r="AL148" s="317">
        <f t="shared" si="114"/>
        <v>0</v>
      </c>
      <c r="AM148" s="317">
        <f t="shared" si="115"/>
        <v>0</v>
      </c>
      <c r="AN148" s="317">
        <f t="shared" si="116"/>
        <v>0</v>
      </c>
      <c r="AO148" s="317">
        <f t="shared" si="117"/>
        <v>0</v>
      </c>
      <c r="AP148" s="317">
        <f t="shared" si="118"/>
        <v>0</v>
      </c>
      <c r="AQ148" s="317">
        <f t="shared" si="119"/>
        <v>0</v>
      </c>
      <c r="AR148" s="317">
        <f t="shared" si="120"/>
        <v>0</v>
      </c>
      <c r="AS148" s="317">
        <f t="shared" si="121"/>
        <v>0</v>
      </c>
      <c r="AT148" s="317">
        <f t="shared" si="122"/>
        <v>0</v>
      </c>
      <c r="AU148" s="317">
        <f t="shared" si="123"/>
        <v>0</v>
      </c>
      <c r="AV148" s="317">
        <f t="shared" si="124"/>
        <v>0</v>
      </c>
      <c r="AW148" s="317">
        <f t="shared" si="125"/>
        <v>0</v>
      </c>
      <c r="AX148" s="317">
        <f t="shared" si="126"/>
        <v>0</v>
      </c>
      <c r="AY148" s="317">
        <f t="shared" si="127"/>
        <v>0</v>
      </c>
      <c r="AZ148" s="317">
        <f t="shared" si="128"/>
        <v>0</v>
      </c>
      <c r="BA148" s="317">
        <f t="shared" si="129"/>
        <v>0</v>
      </c>
    </row>
    <row r="149" spans="1:53" s="314" customFormat="1" ht="15.75" customHeight="1">
      <c r="A149" s="63" t="str">
        <f t="array" ref="A149">IF(C149&lt;&gt;0,SUM(($C$11:C149&lt;&gt;0)*1),"")</f>
        <v/>
      </c>
      <c r="B149" s="315"/>
      <c r="C149" s="315"/>
      <c r="D149" s="315"/>
      <c r="E149" s="432"/>
      <c r="F149" s="371"/>
      <c r="G149" s="373"/>
      <c r="H149" s="373"/>
      <c r="I149" s="63" t="str">
        <f t="shared" si="91"/>
        <v/>
      </c>
      <c r="J149" s="317">
        <f t="shared" si="92"/>
        <v>0</v>
      </c>
      <c r="K149" s="317">
        <f t="shared" si="93"/>
        <v>0</v>
      </c>
      <c r="L149" s="317">
        <f t="shared" si="94"/>
        <v>0</v>
      </c>
      <c r="M149" s="317">
        <f t="shared" si="95"/>
        <v>0</v>
      </c>
      <c r="N149" s="317">
        <f t="shared" si="130"/>
        <v>0</v>
      </c>
      <c r="O149" s="317">
        <f t="shared" si="131"/>
        <v>0</v>
      </c>
      <c r="P149" s="317">
        <f t="shared" si="96"/>
        <v>0</v>
      </c>
      <c r="Q149" s="317">
        <f t="shared" si="97"/>
        <v>0</v>
      </c>
      <c r="R149" s="317">
        <f t="shared" si="98"/>
        <v>0</v>
      </c>
      <c r="S149" s="317">
        <f t="shared" si="99"/>
        <v>0</v>
      </c>
      <c r="T149" s="317">
        <f t="shared" si="132"/>
        <v>0</v>
      </c>
      <c r="U149" s="317">
        <f t="shared" si="133"/>
        <v>0</v>
      </c>
      <c r="V149" s="317">
        <f t="shared" si="100"/>
        <v>0</v>
      </c>
      <c r="W149" s="317">
        <f t="shared" si="101"/>
        <v>0</v>
      </c>
      <c r="X149" s="317">
        <f t="shared" si="102"/>
        <v>0</v>
      </c>
      <c r="Y149" s="317">
        <f t="shared" si="103"/>
        <v>0</v>
      </c>
      <c r="Z149" s="317">
        <f t="shared" si="104"/>
        <v>0</v>
      </c>
      <c r="AA149" s="317">
        <f t="shared" si="105"/>
        <v>0</v>
      </c>
      <c r="AB149" s="317">
        <f t="shared" si="106"/>
        <v>0</v>
      </c>
      <c r="AC149" s="317">
        <f t="shared" si="107"/>
        <v>0</v>
      </c>
      <c r="AD149" s="317">
        <f t="shared" si="108"/>
        <v>0</v>
      </c>
      <c r="AE149" s="317">
        <f t="shared" si="109"/>
        <v>0</v>
      </c>
      <c r="AF149" s="317">
        <f t="shared" si="134"/>
        <v>0</v>
      </c>
      <c r="AG149" s="317">
        <f t="shared" si="135"/>
        <v>0</v>
      </c>
      <c r="AH149" s="317">
        <f t="shared" si="110"/>
        <v>0</v>
      </c>
      <c r="AI149" s="317">
        <f t="shared" si="111"/>
        <v>0</v>
      </c>
      <c r="AJ149" s="317">
        <f t="shared" si="112"/>
        <v>0</v>
      </c>
      <c r="AK149" s="317">
        <f t="shared" si="113"/>
        <v>0</v>
      </c>
      <c r="AL149" s="317">
        <f t="shared" si="114"/>
        <v>0</v>
      </c>
      <c r="AM149" s="317">
        <f t="shared" si="115"/>
        <v>0</v>
      </c>
      <c r="AN149" s="317">
        <f t="shared" si="116"/>
        <v>0</v>
      </c>
      <c r="AO149" s="317">
        <f t="shared" si="117"/>
        <v>0</v>
      </c>
      <c r="AP149" s="317">
        <f t="shared" si="118"/>
        <v>0</v>
      </c>
      <c r="AQ149" s="317">
        <f t="shared" si="119"/>
        <v>0</v>
      </c>
      <c r="AR149" s="317">
        <f t="shared" si="120"/>
        <v>0</v>
      </c>
      <c r="AS149" s="317">
        <f t="shared" si="121"/>
        <v>0</v>
      </c>
      <c r="AT149" s="317">
        <f t="shared" si="122"/>
        <v>0</v>
      </c>
      <c r="AU149" s="317">
        <f t="shared" si="123"/>
        <v>0</v>
      </c>
      <c r="AV149" s="317">
        <f t="shared" si="124"/>
        <v>0</v>
      </c>
      <c r="AW149" s="317">
        <f t="shared" si="125"/>
        <v>0</v>
      </c>
      <c r="AX149" s="317">
        <f t="shared" si="126"/>
        <v>0</v>
      </c>
      <c r="AY149" s="317">
        <f t="shared" si="127"/>
        <v>0</v>
      </c>
      <c r="AZ149" s="317">
        <f t="shared" si="128"/>
        <v>0</v>
      </c>
      <c r="BA149" s="317">
        <f t="shared" si="129"/>
        <v>0</v>
      </c>
    </row>
    <row r="150" spans="1:53" s="314" customFormat="1" ht="15.75" customHeight="1">
      <c r="A150" s="63" t="str">
        <f t="array" ref="A150">IF(C150&lt;&gt;0,SUM(($C$11:C150&lt;&gt;0)*1),"")</f>
        <v/>
      </c>
      <c r="B150" s="315"/>
      <c r="C150" s="315"/>
      <c r="D150" s="315"/>
      <c r="E150" s="432"/>
      <c r="F150" s="371"/>
      <c r="G150" s="373"/>
      <c r="H150" s="373"/>
      <c r="I150" s="63" t="str">
        <f t="shared" si="91"/>
        <v/>
      </c>
      <c r="J150" s="317">
        <f t="shared" si="92"/>
        <v>0</v>
      </c>
      <c r="K150" s="317">
        <f t="shared" si="93"/>
        <v>0</v>
      </c>
      <c r="L150" s="317">
        <f t="shared" si="94"/>
        <v>0</v>
      </c>
      <c r="M150" s="317">
        <f t="shared" si="95"/>
        <v>0</v>
      </c>
      <c r="N150" s="317">
        <f t="shared" si="130"/>
        <v>0</v>
      </c>
      <c r="O150" s="317">
        <f t="shared" si="131"/>
        <v>0</v>
      </c>
      <c r="P150" s="317">
        <f t="shared" si="96"/>
        <v>0</v>
      </c>
      <c r="Q150" s="317">
        <f t="shared" si="97"/>
        <v>0</v>
      </c>
      <c r="R150" s="317">
        <f t="shared" si="98"/>
        <v>0</v>
      </c>
      <c r="S150" s="317">
        <f t="shared" si="99"/>
        <v>0</v>
      </c>
      <c r="T150" s="317">
        <f t="shared" si="132"/>
        <v>0</v>
      </c>
      <c r="U150" s="317">
        <f t="shared" si="133"/>
        <v>0</v>
      </c>
      <c r="V150" s="317">
        <f t="shared" si="100"/>
        <v>0</v>
      </c>
      <c r="W150" s="317">
        <f t="shared" si="101"/>
        <v>0</v>
      </c>
      <c r="X150" s="317">
        <f t="shared" si="102"/>
        <v>0</v>
      </c>
      <c r="Y150" s="317">
        <f t="shared" si="103"/>
        <v>0</v>
      </c>
      <c r="Z150" s="317">
        <f t="shared" si="104"/>
        <v>0</v>
      </c>
      <c r="AA150" s="317">
        <f t="shared" si="105"/>
        <v>0</v>
      </c>
      <c r="AB150" s="317">
        <f t="shared" si="106"/>
        <v>0</v>
      </c>
      <c r="AC150" s="317">
        <f t="shared" si="107"/>
        <v>0</v>
      </c>
      <c r="AD150" s="317">
        <f t="shared" si="108"/>
        <v>0</v>
      </c>
      <c r="AE150" s="317">
        <f t="shared" si="109"/>
        <v>0</v>
      </c>
      <c r="AF150" s="317">
        <f t="shared" si="134"/>
        <v>0</v>
      </c>
      <c r="AG150" s="317">
        <f t="shared" si="135"/>
        <v>0</v>
      </c>
      <c r="AH150" s="317">
        <f t="shared" si="110"/>
        <v>0</v>
      </c>
      <c r="AI150" s="317">
        <f t="shared" si="111"/>
        <v>0</v>
      </c>
      <c r="AJ150" s="317">
        <f t="shared" si="112"/>
        <v>0</v>
      </c>
      <c r="AK150" s="317">
        <f t="shared" si="113"/>
        <v>0</v>
      </c>
      <c r="AL150" s="317">
        <f t="shared" si="114"/>
        <v>0</v>
      </c>
      <c r="AM150" s="317">
        <f t="shared" si="115"/>
        <v>0</v>
      </c>
      <c r="AN150" s="317">
        <f t="shared" si="116"/>
        <v>0</v>
      </c>
      <c r="AO150" s="317">
        <f t="shared" si="117"/>
        <v>0</v>
      </c>
      <c r="AP150" s="317">
        <f t="shared" si="118"/>
        <v>0</v>
      </c>
      <c r="AQ150" s="317">
        <f t="shared" si="119"/>
        <v>0</v>
      </c>
      <c r="AR150" s="317">
        <f t="shared" si="120"/>
        <v>0</v>
      </c>
      <c r="AS150" s="317">
        <f t="shared" si="121"/>
        <v>0</v>
      </c>
      <c r="AT150" s="317">
        <f t="shared" si="122"/>
        <v>0</v>
      </c>
      <c r="AU150" s="317">
        <f t="shared" si="123"/>
        <v>0</v>
      </c>
      <c r="AV150" s="317">
        <f t="shared" si="124"/>
        <v>0</v>
      </c>
      <c r="AW150" s="317">
        <f t="shared" si="125"/>
        <v>0</v>
      </c>
      <c r="AX150" s="317">
        <f t="shared" si="126"/>
        <v>0</v>
      </c>
      <c r="AY150" s="317">
        <f t="shared" si="127"/>
        <v>0</v>
      </c>
      <c r="AZ150" s="317">
        <f t="shared" si="128"/>
        <v>0</v>
      </c>
      <c r="BA150" s="317">
        <f t="shared" si="129"/>
        <v>0</v>
      </c>
    </row>
    <row r="151" spans="1:53" s="314" customFormat="1" ht="15.75" customHeight="1">
      <c r="A151" s="63" t="str">
        <f t="array" ref="A151">IF(C151&lt;&gt;0,SUM(($C$11:C151&lt;&gt;0)*1),"")</f>
        <v/>
      </c>
      <c r="B151" s="315"/>
      <c r="C151" s="315"/>
      <c r="D151" s="315"/>
      <c r="E151" s="432"/>
      <c r="F151" s="371"/>
      <c r="G151" s="373"/>
      <c r="H151" s="373"/>
      <c r="I151" s="63" t="str">
        <f t="shared" si="91"/>
        <v/>
      </c>
      <c r="J151" s="317">
        <f t="shared" si="92"/>
        <v>0</v>
      </c>
      <c r="K151" s="317">
        <f t="shared" si="93"/>
        <v>0</v>
      </c>
      <c r="L151" s="317">
        <f t="shared" si="94"/>
        <v>0</v>
      </c>
      <c r="M151" s="317">
        <f t="shared" si="95"/>
        <v>0</v>
      </c>
      <c r="N151" s="317">
        <f t="shared" si="130"/>
        <v>0</v>
      </c>
      <c r="O151" s="317">
        <f t="shared" si="131"/>
        <v>0</v>
      </c>
      <c r="P151" s="317">
        <f t="shared" si="96"/>
        <v>0</v>
      </c>
      <c r="Q151" s="317">
        <f t="shared" si="97"/>
        <v>0</v>
      </c>
      <c r="R151" s="317">
        <f t="shared" si="98"/>
        <v>0</v>
      </c>
      <c r="S151" s="317">
        <f t="shared" si="99"/>
        <v>0</v>
      </c>
      <c r="T151" s="317">
        <f t="shared" si="132"/>
        <v>0</v>
      </c>
      <c r="U151" s="317">
        <f t="shared" si="133"/>
        <v>0</v>
      </c>
      <c r="V151" s="317">
        <f t="shared" si="100"/>
        <v>0</v>
      </c>
      <c r="W151" s="317">
        <f t="shared" si="101"/>
        <v>0</v>
      </c>
      <c r="X151" s="317">
        <f t="shared" si="102"/>
        <v>0</v>
      </c>
      <c r="Y151" s="317">
        <f t="shared" si="103"/>
        <v>0</v>
      </c>
      <c r="Z151" s="317">
        <f t="shared" si="104"/>
        <v>0</v>
      </c>
      <c r="AA151" s="317">
        <f t="shared" si="105"/>
        <v>0</v>
      </c>
      <c r="AB151" s="317">
        <f t="shared" si="106"/>
        <v>0</v>
      </c>
      <c r="AC151" s="317">
        <f t="shared" si="107"/>
        <v>0</v>
      </c>
      <c r="AD151" s="317">
        <f t="shared" si="108"/>
        <v>0</v>
      </c>
      <c r="AE151" s="317">
        <f t="shared" si="109"/>
        <v>0</v>
      </c>
      <c r="AF151" s="317">
        <f t="shared" si="134"/>
        <v>0</v>
      </c>
      <c r="AG151" s="317">
        <f t="shared" si="135"/>
        <v>0</v>
      </c>
      <c r="AH151" s="317">
        <f t="shared" si="110"/>
        <v>0</v>
      </c>
      <c r="AI151" s="317">
        <f t="shared" si="111"/>
        <v>0</v>
      </c>
      <c r="AJ151" s="317">
        <f t="shared" si="112"/>
        <v>0</v>
      </c>
      <c r="AK151" s="317">
        <f t="shared" si="113"/>
        <v>0</v>
      </c>
      <c r="AL151" s="317">
        <f t="shared" si="114"/>
        <v>0</v>
      </c>
      <c r="AM151" s="317">
        <f t="shared" si="115"/>
        <v>0</v>
      </c>
      <c r="AN151" s="317">
        <f t="shared" si="116"/>
        <v>0</v>
      </c>
      <c r="AO151" s="317">
        <f t="shared" si="117"/>
        <v>0</v>
      </c>
      <c r="AP151" s="317">
        <f t="shared" si="118"/>
        <v>0</v>
      </c>
      <c r="AQ151" s="317">
        <f t="shared" si="119"/>
        <v>0</v>
      </c>
      <c r="AR151" s="317">
        <f t="shared" si="120"/>
        <v>0</v>
      </c>
      <c r="AS151" s="317">
        <f t="shared" si="121"/>
        <v>0</v>
      </c>
      <c r="AT151" s="317">
        <f t="shared" si="122"/>
        <v>0</v>
      </c>
      <c r="AU151" s="317">
        <f t="shared" si="123"/>
        <v>0</v>
      </c>
      <c r="AV151" s="317">
        <f t="shared" si="124"/>
        <v>0</v>
      </c>
      <c r="AW151" s="317">
        <f t="shared" si="125"/>
        <v>0</v>
      </c>
      <c r="AX151" s="317">
        <f t="shared" si="126"/>
        <v>0</v>
      </c>
      <c r="AY151" s="317">
        <f t="shared" si="127"/>
        <v>0</v>
      </c>
      <c r="AZ151" s="317">
        <f t="shared" si="128"/>
        <v>0</v>
      </c>
      <c r="BA151" s="317">
        <f t="shared" si="129"/>
        <v>0</v>
      </c>
    </row>
    <row r="152" spans="1:53" s="314" customFormat="1" ht="15.75" customHeight="1">
      <c r="A152" s="63" t="str">
        <f t="array" ref="A152">IF(C152&lt;&gt;0,SUM(($C$11:C152&lt;&gt;0)*1),"")</f>
        <v/>
      </c>
      <c r="B152" s="315"/>
      <c r="C152" s="315"/>
      <c r="D152" s="315"/>
      <c r="E152" s="432"/>
      <c r="F152" s="371"/>
      <c r="G152" s="373"/>
      <c r="H152" s="373"/>
      <c r="I152" s="63" t="str">
        <f t="shared" si="91"/>
        <v/>
      </c>
      <c r="J152" s="317">
        <f t="shared" si="92"/>
        <v>0</v>
      </c>
      <c r="K152" s="317">
        <f t="shared" si="93"/>
        <v>0</v>
      </c>
      <c r="L152" s="317">
        <f t="shared" si="94"/>
        <v>0</v>
      </c>
      <c r="M152" s="317">
        <f t="shared" si="95"/>
        <v>0</v>
      </c>
      <c r="N152" s="317">
        <f t="shared" si="130"/>
        <v>0</v>
      </c>
      <c r="O152" s="317">
        <f t="shared" si="131"/>
        <v>0</v>
      </c>
      <c r="P152" s="317">
        <f t="shared" si="96"/>
        <v>0</v>
      </c>
      <c r="Q152" s="317">
        <f t="shared" si="97"/>
        <v>0</v>
      </c>
      <c r="R152" s="317">
        <f t="shared" si="98"/>
        <v>0</v>
      </c>
      <c r="S152" s="317">
        <f t="shared" si="99"/>
        <v>0</v>
      </c>
      <c r="T152" s="317">
        <f t="shared" si="132"/>
        <v>0</v>
      </c>
      <c r="U152" s="317">
        <f t="shared" si="133"/>
        <v>0</v>
      </c>
      <c r="V152" s="317">
        <f t="shared" si="100"/>
        <v>0</v>
      </c>
      <c r="W152" s="317">
        <f t="shared" si="101"/>
        <v>0</v>
      </c>
      <c r="X152" s="317">
        <f t="shared" si="102"/>
        <v>0</v>
      </c>
      <c r="Y152" s="317">
        <f t="shared" si="103"/>
        <v>0</v>
      </c>
      <c r="Z152" s="317">
        <f t="shared" si="104"/>
        <v>0</v>
      </c>
      <c r="AA152" s="317">
        <f t="shared" si="105"/>
        <v>0</v>
      </c>
      <c r="AB152" s="317">
        <f t="shared" si="106"/>
        <v>0</v>
      </c>
      <c r="AC152" s="317">
        <f t="shared" si="107"/>
        <v>0</v>
      </c>
      <c r="AD152" s="317">
        <f t="shared" si="108"/>
        <v>0</v>
      </c>
      <c r="AE152" s="317">
        <f t="shared" si="109"/>
        <v>0</v>
      </c>
      <c r="AF152" s="317">
        <f t="shared" si="134"/>
        <v>0</v>
      </c>
      <c r="AG152" s="317">
        <f t="shared" si="135"/>
        <v>0</v>
      </c>
      <c r="AH152" s="317">
        <f t="shared" si="110"/>
        <v>0</v>
      </c>
      <c r="AI152" s="317">
        <f t="shared" si="111"/>
        <v>0</v>
      </c>
      <c r="AJ152" s="317">
        <f t="shared" si="112"/>
        <v>0</v>
      </c>
      <c r="AK152" s="317">
        <f t="shared" si="113"/>
        <v>0</v>
      </c>
      <c r="AL152" s="317">
        <f t="shared" si="114"/>
        <v>0</v>
      </c>
      <c r="AM152" s="317">
        <f t="shared" si="115"/>
        <v>0</v>
      </c>
      <c r="AN152" s="317">
        <f t="shared" si="116"/>
        <v>0</v>
      </c>
      <c r="AO152" s="317">
        <f t="shared" si="117"/>
        <v>0</v>
      </c>
      <c r="AP152" s="317">
        <f t="shared" si="118"/>
        <v>0</v>
      </c>
      <c r="AQ152" s="317">
        <f t="shared" si="119"/>
        <v>0</v>
      </c>
      <c r="AR152" s="317">
        <f t="shared" si="120"/>
        <v>0</v>
      </c>
      <c r="AS152" s="317">
        <f t="shared" si="121"/>
        <v>0</v>
      </c>
      <c r="AT152" s="317">
        <f t="shared" si="122"/>
        <v>0</v>
      </c>
      <c r="AU152" s="317">
        <f t="shared" si="123"/>
        <v>0</v>
      </c>
      <c r="AV152" s="317">
        <f t="shared" si="124"/>
        <v>0</v>
      </c>
      <c r="AW152" s="317">
        <f t="shared" si="125"/>
        <v>0</v>
      </c>
      <c r="AX152" s="317">
        <f t="shared" si="126"/>
        <v>0</v>
      </c>
      <c r="AY152" s="317">
        <f t="shared" si="127"/>
        <v>0</v>
      </c>
      <c r="AZ152" s="317">
        <f t="shared" si="128"/>
        <v>0</v>
      </c>
      <c r="BA152" s="317">
        <f t="shared" si="129"/>
        <v>0</v>
      </c>
    </row>
    <row r="153" spans="1:53" s="314" customFormat="1" ht="15.75" customHeight="1">
      <c r="A153" s="63" t="str">
        <f t="array" ref="A153">IF(C153&lt;&gt;0,SUM(($C$11:C153&lt;&gt;0)*1),"")</f>
        <v/>
      </c>
      <c r="B153" s="315"/>
      <c r="C153" s="315"/>
      <c r="D153" s="315"/>
      <c r="E153" s="432"/>
      <c r="F153" s="371"/>
      <c r="G153" s="373"/>
      <c r="H153" s="373"/>
      <c r="I153" s="63" t="str">
        <f t="shared" si="91"/>
        <v/>
      </c>
      <c r="J153" s="317">
        <f t="shared" si="92"/>
        <v>0</v>
      </c>
      <c r="K153" s="317">
        <f t="shared" si="93"/>
        <v>0</v>
      </c>
      <c r="L153" s="317">
        <f t="shared" si="94"/>
        <v>0</v>
      </c>
      <c r="M153" s="317">
        <f t="shared" si="95"/>
        <v>0</v>
      </c>
      <c r="N153" s="317">
        <f t="shared" si="130"/>
        <v>0</v>
      </c>
      <c r="O153" s="317">
        <f t="shared" si="131"/>
        <v>0</v>
      </c>
      <c r="P153" s="317">
        <f t="shared" si="96"/>
        <v>0</v>
      </c>
      <c r="Q153" s="317">
        <f t="shared" si="97"/>
        <v>0</v>
      </c>
      <c r="R153" s="317">
        <f t="shared" si="98"/>
        <v>0</v>
      </c>
      <c r="S153" s="317">
        <f t="shared" si="99"/>
        <v>0</v>
      </c>
      <c r="T153" s="317">
        <f t="shared" si="132"/>
        <v>0</v>
      </c>
      <c r="U153" s="317">
        <f t="shared" si="133"/>
        <v>0</v>
      </c>
      <c r="V153" s="317">
        <f t="shared" si="100"/>
        <v>0</v>
      </c>
      <c r="W153" s="317">
        <f t="shared" si="101"/>
        <v>0</v>
      </c>
      <c r="X153" s="317">
        <f t="shared" si="102"/>
        <v>0</v>
      </c>
      <c r="Y153" s="317">
        <f t="shared" si="103"/>
        <v>0</v>
      </c>
      <c r="Z153" s="317">
        <f t="shared" si="104"/>
        <v>0</v>
      </c>
      <c r="AA153" s="317">
        <f t="shared" si="105"/>
        <v>0</v>
      </c>
      <c r="AB153" s="317">
        <f t="shared" si="106"/>
        <v>0</v>
      </c>
      <c r="AC153" s="317">
        <f t="shared" si="107"/>
        <v>0</v>
      </c>
      <c r="AD153" s="317">
        <f t="shared" si="108"/>
        <v>0</v>
      </c>
      <c r="AE153" s="317">
        <f t="shared" si="109"/>
        <v>0</v>
      </c>
      <c r="AF153" s="317">
        <f t="shared" si="134"/>
        <v>0</v>
      </c>
      <c r="AG153" s="317">
        <f t="shared" si="135"/>
        <v>0</v>
      </c>
      <c r="AH153" s="317">
        <f t="shared" si="110"/>
        <v>0</v>
      </c>
      <c r="AI153" s="317">
        <f t="shared" si="111"/>
        <v>0</v>
      </c>
      <c r="AJ153" s="317">
        <f t="shared" si="112"/>
        <v>0</v>
      </c>
      <c r="AK153" s="317">
        <f t="shared" si="113"/>
        <v>0</v>
      </c>
      <c r="AL153" s="317">
        <f t="shared" si="114"/>
        <v>0</v>
      </c>
      <c r="AM153" s="317">
        <f t="shared" si="115"/>
        <v>0</v>
      </c>
      <c r="AN153" s="317">
        <f t="shared" si="116"/>
        <v>0</v>
      </c>
      <c r="AO153" s="317">
        <f t="shared" si="117"/>
        <v>0</v>
      </c>
      <c r="AP153" s="317">
        <f t="shared" si="118"/>
        <v>0</v>
      </c>
      <c r="AQ153" s="317">
        <f t="shared" si="119"/>
        <v>0</v>
      </c>
      <c r="AR153" s="317">
        <f t="shared" si="120"/>
        <v>0</v>
      </c>
      <c r="AS153" s="317">
        <f t="shared" si="121"/>
        <v>0</v>
      </c>
      <c r="AT153" s="317">
        <f t="shared" si="122"/>
        <v>0</v>
      </c>
      <c r="AU153" s="317">
        <f t="shared" si="123"/>
        <v>0</v>
      </c>
      <c r="AV153" s="317">
        <f t="shared" si="124"/>
        <v>0</v>
      </c>
      <c r="AW153" s="317">
        <f t="shared" si="125"/>
        <v>0</v>
      </c>
      <c r="AX153" s="317">
        <f t="shared" si="126"/>
        <v>0</v>
      </c>
      <c r="AY153" s="317">
        <f t="shared" si="127"/>
        <v>0</v>
      </c>
      <c r="AZ153" s="317">
        <f t="shared" si="128"/>
        <v>0</v>
      </c>
      <c r="BA153" s="317">
        <f t="shared" si="129"/>
        <v>0</v>
      </c>
    </row>
    <row r="154" spans="1:53" s="314" customFormat="1" ht="15.75" customHeight="1">
      <c r="A154" s="63" t="str">
        <f t="array" ref="A154">IF(C154&lt;&gt;0,SUM(($C$11:C154&lt;&gt;0)*1),"")</f>
        <v/>
      </c>
      <c r="B154" s="315"/>
      <c r="C154" s="315"/>
      <c r="D154" s="315"/>
      <c r="E154" s="432"/>
      <c r="F154" s="371"/>
      <c r="G154" s="373"/>
      <c r="H154" s="373"/>
      <c r="I154" s="63" t="str">
        <f t="shared" si="91"/>
        <v/>
      </c>
      <c r="J154" s="317">
        <f t="shared" si="92"/>
        <v>0</v>
      </c>
      <c r="K154" s="317">
        <f t="shared" si="93"/>
        <v>0</v>
      </c>
      <c r="L154" s="317">
        <f t="shared" si="94"/>
        <v>0</v>
      </c>
      <c r="M154" s="317">
        <f t="shared" si="95"/>
        <v>0</v>
      </c>
      <c r="N154" s="317">
        <f t="shared" si="130"/>
        <v>0</v>
      </c>
      <c r="O154" s="317">
        <f t="shared" si="131"/>
        <v>0</v>
      </c>
      <c r="P154" s="317">
        <f t="shared" si="96"/>
        <v>0</v>
      </c>
      <c r="Q154" s="317">
        <f t="shared" si="97"/>
        <v>0</v>
      </c>
      <c r="R154" s="317">
        <f t="shared" si="98"/>
        <v>0</v>
      </c>
      <c r="S154" s="317">
        <f t="shared" si="99"/>
        <v>0</v>
      </c>
      <c r="T154" s="317">
        <f t="shared" si="132"/>
        <v>0</v>
      </c>
      <c r="U154" s="317">
        <f t="shared" si="133"/>
        <v>0</v>
      </c>
      <c r="V154" s="317">
        <f t="shared" si="100"/>
        <v>0</v>
      </c>
      <c r="W154" s="317">
        <f t="shared" si="101"/>
        <v>0</v>
      </c>
      <c r="X154" s="317">
        <f t="shared" si="102"/>
        <v>0</v>
      </c>
      <c r="Y154" s="317">
        <f t="shared" si="103"/>
        <v>0</v>
      </c>
      <c r="Z154" s="317">
        <f t="shared" si="104"/>
        <v>0</v>
      </c>
      <c r="AA154" s="317">
        <f t="shared" si="105"/>
        <v>0</v>
      </c>
      <c r="AB154" s="317">
        <f t="shared" si="106"/>
        <v>0</v>
      </c>
      <c r="AC154" s="317">
        <f t="shared" si="107"/>
        <v>0</v>
      </c>
      <c r="AD154" s="317">
        <f t="shared" si="108"/>
        <v>0</v>
      </c>
      <c r="AE154" s="317">
        <f t="shared" si="109"/>
        <v>0</v>
      </c>
      <c r="AF154" s="317">
        <f t="shared" si="134"/>
        <v>0</v>
      </c>
      <c r="AG154" s="317">
        <f t="shared" si="135"/>
        <v>0</v>
      </c>
      <c r="AH154" s="317">
        <f t="shared" si="110"/>
        <v>0</v>
      </c>
      <c r="AI154" s="317">
        <f t="shared" si="111"/>
        <v>0</v>
      </c>
      <c r="AJ154" s="317">
        <f t="shared" si="112"/>
        <v>0</v>
      </c>
      <c r="AK154" s="317">
        <f t="shared" si="113"/>
        <v>0</v>
      </c>
      <c r="AL154" s="317">
        <f t="shared" si="114"/>
        <v>0</v>
      </c>
      <c r="AM154" s="317">
        <f t="shared" si="115"/>
        <v>0</v>
      </c>
      <c r="AN154" s="317">
        <f t="shared" si="116"/>
        <v>0</v>
      </c>
      <c r="AO154" s="317">
        <f t="shared" si="117"/>
        <v>0</v>
      </c>
      <c r="AP154" s="317">
        <f t="shared" si="118"/>
        <v>0</v>
      </c>
      <c r="AQ154" s="317">
        <f t="shared" si="119"/>
        <v>0</v>
      </c>
      <c r="AR154" s="317">
        <f t="shared" si="120"/>
        <v>0</v>
      </c>
      <c r="AS154" s="317">
        <f t="shared" si="121"/>
        <v>0</v>
      </c>
      <c r="AT154" s="317">
        <f t="shared" si="122"/>
        <v>0</v>
      </c>
      <c r="AU154" s="317">
        <f t="shared" si="123"/>
        <v>0</v>
      </c>
      <c r="AV154" s="317">
        <f t="shared" si="124"/>
        <v>0</v>
      </c>
      <c r="AW154" s="317">
        <f t="shared" si="125"/>
        <v>0</v>
      </c>
      <c r="AX154" s="317">
        <f t="shared" si="126"/>
        <v>0</v>
      </c>
      <c r="AY154" s="317">
        <f t="shared" si="127"/>
        <v>0</v>
      </c>
      <c r="AZ154" s="317">
        <f t="shared" si="128"/>
        <v>0</v>
      </c>
      <c r="BA154" s="317">
        <f t="shared" si="129"/>
        <v>0</v>
      </c>
    </row>
    <row r="155" spans="1:53" s="314" customFormat="1" ht="15.75" customHeight="1">
      <c r="A155" s="63" t="str">
        <f t="array" ref="A155">IF(C155&lt;&gt;0,SUM(($C$11:C155&lt;&gt;0)*1),"")</f>
        <v/>
      </c>
      <c r="B155" s="315"/>
      <c r="C155" s="315"/>
      <c r="D155" s="315"/>
      <c r="E155" s="432"/>
      <c r="F155" s="371"/>
      <c r="G155" s="373"/>
      <c r="H155" s="373"/>
      <c r="I155" s="63" t="str">
        <f t="shared" si="91"/>
        <v/>
      </c>
      <c r="J155" s="317">
        <f t="shared" si="92"/>
        <v>0</v>
      </c>
      <c r="K155" s="317">
        <f t="shared" si="93"/>
        <v>0</v>
      </c>
      <c r="L155" s="317">
        <f t="shared" si="94"/>
        <v>0</v>
      </c>
      <c r="M155" s="317">
        <f t="shared" si="95"/>
        <v>0</v>
      </c>
      <c r="N155" s="317">
        <f t="shared" si="130"/>
        <v>0</v>
      </c>
      <c r="O155" s="317">
        <f t="shared" si="131"/>
        <v>0</v>
      </c>
      <c r="P155" s="317">
        <f t="shared" si="96"/>
        <v>0</v>
      </c>
      <c r="Q155" s="317">
        <f t="shared" si="97"/>
        <v>0</v>
      </c>
      <c r="R155" s="317">
        <f t="shared" si="98"/>
        <v>0</v>
      </c>
      <c r="S155" s="317">
        <f t="shared" si="99"/>
        <v>0</v>
      </c>
      <c r="T155" s="317">
        <f t="shared" si="132"/>
        <v>0</v>
      </c>
      <c r="U155" s="317">
        <f t="shared" si="133"/>
        <v>0</v>
      </c>
      <c r="V155" s="317">
        <f t="shared" si="100"/>
        <v>0</v>
      </c>
      <c r="W155" s="317">
        <f t="shared" si="101"/>
        <v>0</v>
      </c>
      <c r="X155" s="317">
        <f t="shared" si="102"/>
        <v>0</v>
      </c>
      <c r="Y155" s="317">
        <f t="shared" si="103"/>
        <v>0</v>
      </c>
      <c r="Z155" s="317">
        <f t="shared" si="104"/>
        <v>0</v>
      </c>
      <c r="AA155" s="317">
        <f t="shared" si="105"/>
        <v>0</v>
      </c>
      <c r="AB155" s="317">
        <f t="shared" si="106"/>
        <v>0</v>
      </c>
      <c r="AC155" s="317">
        <f t="shared" si="107"/>
        <v>0</v>
      </c>
      <c r="AD155" s="317">
        <f t="shared" si="108"/>
        <v>0</v>
      </c>
      <c r="AE155" s="317">
        <f t="shared" si="109"/>
        <v>0</v>
      </c>
      <c r="AF155" s="317">
        <f t="shared" si="134"/>
        <v>0</v>
      </c>
      <c r="AG155" s="317">
        <f t="shared" si="135"/>
        <v>0</v>
      </c>
      <c r="AH155" s="317">
        <f t="shared" si="110"/>
        <v>0</v>
      </c>
      <c r="AI155" s="317">
        <f t="shared" si="111"/>
        <v>0</v>
      </c>
      <c r="AJ155" s="317">
        <f t="shared" si="112"/>
        <v>0</v>
      </c>
      <c r="AK155" s="317">
        <f t="shared" si="113"/>
        <v>0</v>
      </c>
      <c r="AL155" s="317">
        <f t="shared" si="114"/>
        <v>0</v>
      </c>
      <c r="AM155" s="317">
        <f t="shared" si="115"/>
        <v>0</v>
      </c>
      <c r="AN155" s="317">
        <f t="shared" si="116"/>
        <v>0</v>
      </c>
      <c r="AO155" s="317">
        <f t="shared" si="117"/>
        <v>0</v>
      </c>
      <c r="AP155" s="317">
        <f t="shared" si="118"/>
        <v>0</v>
      </c>
      <c r="AQ155" s="317">
        <f t="shared" si="119"/>
        <v>0</v>
      </c>
      <c r="AR155" s="317">
        <f t="shared" si="120"/>
        <v>0</v>
      </c>
      <c r="AS155" s="317">
        <f t="shared" si="121"/>
        <v>0</v>
      </c>
      <c r="AT155" s="317">
        <f t="shared" si="122"/>
        <v>0</v>
      </c>
      <c r="AU155" s="317">
        <f t="shared" si="123"/>
        <v>0</v>
      </c>
      <c r="AV155" s="317">
        <f t="shared" si="124"/>
        <v>0</v>
      </c>
      <c r="AW155" s="317">
        <f t="shared" si="125"/>
        <v>0</v>
      </c>
      <c r="AX155" s="317">
        <f t="shared" si="126"/>
        <v>0</v>
      </c>
      <c r="AY155" s="317">
        <f t="shared" si="127"/>
        <v>0</v>
      </c>
      <c r="AZ155" s="317">
        <f t="shared" si="128"/>
        <v>0</v>
      </c>
      <c r="BA155" s="317">
        <f t="shared" si="129"/>
        <v>0</v>
      </c>
    </row>
    <row r="156" spans="1:53" s="314" customFormat="1" ht="15.75" customHeight="1">
      <c r="A156" s="63" t="str">
        <f t="array" ref="A156">IF(C156&lt;&gt;0,SUM(($C$11:C156&lt;&gt;0)*1),"")</f>
        <v/>
      </c>
      <c r="B156" s="315"/>
      <c r="C156" s="315"/>
      <c r="D156" s="315"/>
      <c r="E156" s="432"/>
      <c r="F156" s="371"/>
      <c r="G156" s="373"/>
      <c r="H156" s="373"/>
      <c r="I156" s="63" t="str">
        <f t="shared" si="91"/>
        <v/>
      </c>
      <c r="J156" s="317">
        <f t="shared" si="92"/>
        <v>0</v>
      </c>
      <c r="K156" s="317">
        <f t="shared" si="93"/>
        <v>0</v>
      </c>
      <c r="L156" s="317">
        <f t="shared" si="94"/>
        <v>0</v>
      </c>
      <c r="M156" s="317">
        <f t="shared" si="95"/>
        <v>0</v>
      </c>
      <c r="N156" s="317">
        <f t="shared" si="130"/>
        <v>0</v>
      </c>
      <c r="O156" s="317">
        <f t="shared" si="131"/>
        <v>0</v>
      </c>
      <c r="P156" s="317">
        <f t="shared" si="96"/>
        <v>0</v>
      </c>
      <c r="Q156" s="317">
        <f t="shared" si="97"/>
        <v>0</v>
      </c>
      <c r="R156" s="317">
        <f t="shared" si="98"/>
        <v>0</v>
      </c>
      <c r="S156" s="317">
        <f t="shared" si="99"/>
        <v>0</v>
      </c>
      <c r="T156" s="317">
        <f t="shared" si="132"/>
        <v>0</v>
      </c>
      <c r="U156" s="317">
        <f t="shared" si="133"/>
        <v>0</v>
      </c>
      <c r="V156" s="317">
        <f t="shared" si="100"/>
        <v>0</v>
      </c>
      <c r="W156" s="317">
        <f t="shared" si="101"/>
        <v>0</v>
      </c>
      <c r="X156" s="317">
        <f t="shared" si="102"/>
        <v>0</v>
      </c>
      <c r="Y156" s="317">
        <f t="shared" si="103"/>
        <v>0</v>
      </c>
      <c r="Z156" s="317">
        <f t="shared" si="104"/>
        <v>0</v>
      </c>
      <c r="AA156" s="317">
        <f t="shared" si="105"/>
        <v>0</v>
      </c>
      <c r="AB156" s="317">
        <f t="shared" si="106"/>
        <v>0</v>
      </c>
      <c r="AC156" s="317">
        <f t="shared" si="107"/>
        <v>0</v>
      </c>
      <c r="AD156" s="317">
        <f t="shared" si="108"/>
        <v>0</v>
      </c>
      <c r="AE156" s="317">
        <f t="shared" si="109"/>
        <v>0</v>
      </c>
      <c r="AF156" s="317">
        <f t="shared" si="134"/>
        <v>0</v>
      </c>
      <c r="AG156" s="317">
        <f t="shared" si="135"/>
        <v>0</v>
      </c>
      <c r="AH156" s="317">
        <f t="shared" si="110"/>
        <v>0</v>
      </c>
      <c r="AI156" s="317">
        <f t="shared" si="111"/>
        <v>0</v>
      </c>
      <c r="AJ156" s="317">
        <f t="shared" si="112"/>
        <v>0</v>
      </c>
      <c r="AK156" s="317">
        <f t="shared" si="113"/>
        <v>0</v>
      </c>
      <c r="AL156" s="317">
        <f t="shared" si="114"/>
        <v>0</v>
      </c>
      <c r="AM156" s="317">
        <f t="shared" si="115"/>
        <v>0</v>
      </c>
      <c r="AN156" s="317">
        <f t="shared" si="116"/>
        <v>0</v>
      </c>
      <c r="AO156" s="317">
        <f t="shared" si="117"/>
        <v>0</v>
      </c>
      <c r="AP156" s="317">
        <f t="shared" si="118"/>
        <v>0</v>
      </c>
      <c r="AQ156" s="317">
        <f t="shared" si="119"/>
        <v>0</v>
      </c>
      <c r="AR156" s="317">
        <f t="shared" si="120"/>
        <v>0</v>
      </c>
      <c r="AS156" s="317">
        <f t="shared" si="121"/>
        <v>0</v>
      </c>
      <c r="AT156" s="317">
        <f t="shared" si="122"/>
        <v>0</v>
      </c>
      <c r="AU156" s="317">
        <f t="shared" si="123"/>
        <v>0</v>
      </c>
      <c r="AV156" s="317">
        <f t="shared" si="124"/>
        <v>0</v>
      </c>
      <c r="AW156" s="317">
        <f t="shared" si="125"/>
        <v>0</v>
      </c>
      <c r="AX156" s="317">
        <f t="shared" si="126"/>
        <v>0</v>
      </c>
      <c r="AY156" s="317">
        <f t="shared" si="127"/>
        <v>0</v>
      </c>
      <c r="AZ156" s="317">
        <f t="shared" si="128"/>
        <v>0</v>
      </c>
      <c r="BA156" s="317">
        <f t="shared" si="129"/>
        <v>0</v>
      </c>
    </row>
    <row r="157" spans="1:53" s="314" customFormat="1" ht="15.75" customHeight="1">
      <c r="A157" s="63" t="str">
        <f t="array" ref="A157">IF(C157&lt;&gt;0,SUM(($C$11:C157&lt;&gt;0)*1),"")</f>
        <v/>
      </c>
      <c r="B157" s="315"/>
      <c r="C157" s="315"/>
      <c r="D157" s="315"/>
      <c r="E157" s="432"/>
      <c r="F157" s="371"/>
      <c r="G157" s="373"/>
      <c r="H157" s="373"/>
      <c r="I157" s="63" t="str">
        <f t="shared" si="91"/>
        <v/>
      </c>
      <c r="J157" s="317">
        <f t="shared" si="92"/>
        <v>0</v>
      </c>
      <c r="K157" s="317">
        <f t="shared" si="93"/>
        <v>0</v>
      </c>
      <c r="L157" s="317">
        <f t="shared" si="94"/>
        <v>0</v>
      </c>
      <c r="M157" s="317">
        <f t="shared" si="95"/>
        <v>0</v>
      </c>
      <c r="N157" s="317">
        <f t="shared" si="130"/>
        <v>0</v>
      </c>
      <c r="O157" s="317">
        <f t="shared" si="131"/>
        <v>0</v>
      </c>
      <c r="P157" s="317">
        <f t="shared" si="96"/>
        <v>0</v>
      </c>
      <c r="Q157" s="317">
        <f t="shared" si="97"/>
        <v>0</v>
      </c>
      <c r="R157" s="317">
        <f t="shared" si="98"/>
        <v>0</v>
      </c>
      <c r="S157" s="317">
        <f t="shared" si="99"/>
        <v>0</v>
      </c>
      <c r="T157" s="317">
        <f t="shared" si="132"/>
        <v>0</v>
      </c>
      <c r="U157" s="317">
        <f t="shared" si="133"/>
        <v>0</v>
      </c>
      <c r="V157" s="317">
        <f t="shared" si="100"/>
        <v>0</v>
      </c>
      <c r="W157" s="317">
        <f t="shared" si="101"/>
        <v>0</v>
      </c>
      <c r="X157" s="317">
        <f t="shared" si="102"/>
        <v>0</v>
      </c>
      <c r="Y157" s="317">
        <f t="shared" si="103"/>
        <v>0</v>
      </c>
      <c r="Z157" s="317">
        <f t="shared" si="104"/>
        <v>0</v>
      </c>
      <c r="AA157" s="317">
        <f t="shared" si="105"/>
        <v>0</v>
      </c>
      <c r="AB157" s="317">
        <f t="shared" si="106"/>
        <v>0</v>
      </c>
      <c r="AC157" s="317">
        <f t="shared" si="107"/>
        <v>0</v>
      </c>
      <c r="AD157" s="317">
        <f t="shared" si="108"/>
        <v>0</v>
      </c>
      <c r="AE157" s="317">
        <f t="shared" si="109"/>
        <v>0</v>
      </c>
      <c r="AF157" s="317">
        <f t="shared" si="134"/>
        <v>0</v>
      </c>
      <c r="AG157" s="317">
        <f t="shared" si="135"/>
        <v>0</v>
      </c>
      <c r="AH157" s="317">
        <f t="shared" si="110"/>
        <v>0</v>
      </c>
      <c r="AI157" s="317">
        <f t="shared" si="111"/>
        <v>0</v>
      </c>
      <c r="AJ157" s="317">
        <f t="shared" si="112"/>
        <v>0</v>
      </c>
      <c r="AK157" s="317">
        <f t="shared" si="113"/>
        <v>0</v>
      </c>
      <c r="AL157" s="317">
        <f t="shared" si="114"/>
        <v>0</v>
      </c>
      <c r="AM157" s="317">
        <f t="shared" si="115"/>
        <v>0</v>
      </c>
      <c r="AN157" s="317">
        <f t="shared" si="116"/>
        <v>0</v>
      </c>
      <c r="AO157" s="317">
        <f t="shared" si="117"/>
        <v>0</v>
      </c>
      <c r="AP157" s="317">
        <f t="shared" si="118"/>
        <v>0</v>
      </c>
      <c r="AQ157" s="317">
        <f t="shared" si="119"/>
        <v>0</v>
      </c>
      <c r="AR157" s="317">
        <f t="shared" si="120"/>
        <v>0</v>
      </c>
      <c r="AS157" s="317">
        <f t="shared" si="121"/>
        <v>0</v>
      </c>
      <c r="AT157" s="317">
        <f t="shared" si="122"/>
        <v>0</v>
      </c>
      <c r="AU157" s="317">
        <f t="shared" si="123"/>
        <v>0</v>
      </c>
      <c r="AV157" s="317">
        <f t="shared" si="124"/>
        <v>0</v>
      </c>
      <c r="AW157" s="317">
        <f t="shared" si="125"/>
        <v>0</v>
      </c>
      <c r="AX157" s="317">
        <f t="shared" si="126"/>
        <v>0</v>
      </c>
      <c r="AY157" s="317">
        <f t="shared" si="127"/>
        <v>0</v>
      </c>
      <c r="AZ157" s="317">
        <f t="shared" si="128"/>
        <v>0</v>
      </c>
      <c r="BA157" s="317">
        <f t="shared" si="129"/>
        <v>0</v>
      </c>
    </row>
    <row r="158" spans="1:53" s="314" customFormat="1" ht="15.75" customHeight="1">
      <c r="A158" s="63" t="str">
        <f t="array" ref="A158">IF(C158&lt;&gt;0,SUM(($C$11:C158&lt;&gt;0)*1),"")</f>
        <v/>
      </c>
      <c r="B158" s="315"/>
      <c r="C158" s="315"/>
      <c r="D158" s="315"/>
      <c r="E158" s="432"/>
      <c r="F158" s="371"/>
      <c r="G158" s="373"/>
      <c r="H158" s="373"/>
      <c r="I158" s="63" t="str">
        <f t="shared" si="91"/>
        <v/>
      </c>
      <c r="J158" s="317">
        <f t="shared" si="92"/>
        <v>0</v>
      </c>
      <c r="K158" s="317">
        <f t="shared" si="93"/>
        <v>0</v>
      </c>
      <c r="L158" s="317">
        <f t="shared" si="94"/>
        <v>0</v>
      </c>
      <c r="M158" s="317">
        <f t="shared" si="95"/>
        <v>0</v>
      </c>
      <c r="N158" s="317">
        <f t="shared" si="130"/>
        <v>0</v>
      </c>
      <c r="O158" s="317">
        <f t="shared" si="131"/>
        <v>0</v>
      </c>
      <c r="P158" s="317">
        <f t="shared" si="96"/>
        <v>0</v>
      </c>
      <c r="Q158" s="317">
        <f t="shared" si="97"/>
        <v>0</v>
      </c>
      <c r="R158" s="317">
        <f t="shared" si="98"/>
        <v>0</v>
      </c>
      <c r="S158" s="317">
        <f t="shared" si="99"/>
        <v>0</v>
      </c>
      <c r="T158" s="317">
        <f t="shared" si="132"/>
        <v>0</v>
      </c>
      <c r="U158" s="317">
        <f t="shared" si="133"/>
        <v>0</v>
      </c>
      <c r="V158" s="317">
        <f t="shared" si="100"/>
        <v>0</v>
      </c>
      <c r="W158" s="317">
        <f t="shared" si="101"/>
        <v>0</v>
      </c>
      <c r="X158" s="317">
        <f t="shared" si="102"/>
        <v>0</v>
      </c>
      <c r="Y158" s="317">
        <f t="shared" si="103"/>
        <v>0</v>
      </c>
      <c r="Z158" s="317">
        <f t="shared" si="104"/>
        <v>0</v>
      </c>
      <c r="AA158" s="317">
        <f t="shared" si="105"/>
        <v>0</v>
      </c>
      <c r="AB158" s="317">
        <f t="shared" si="106"/>
        <v>0</v>
      </c>
      <c r="AC158" s="317">
        <f t="shared" si="107"/>
        <v>0</v>
      </c>
      <c r="AD158" s="317">
        <f t="shared" si="108"/>
        <v>0</v>
      </c>
      <c r="AE158" s="317">
        <f t="shared" si="109"/>
        <v>0</v>
      </c>
      <c r="AF158" s="317">
        <f t="shared" si="134"/>
        <v>0</v>
      </c>
      <c r="AG158" s="317">
        <f t="shared" si="135"/>
        <v>0</v>
      </c>
      <c r="AH158" s="317">
        <f t="shared" si="110"/>
        <v>0</v>
      </c>
      <c r="AI158" s="317">
        <f t="shared" si="111"/>
        <v>0</v>
      </c>
      <c r="AJ158" s="317">
        <f t="shared" si="112"/>
        <v>0</v>
      </c>
      <c r="AK158" s="317">
        <f t="shared" si="113"/>
        <v>0</v>
      </c>
      <c r="AL158" s="317">
        <f t="shared" si="114"/>
        <v>0</v>
      </c>
      <c r="AM158" s="317">
        <f t="shared" si="115"/>
        <v>0</v>
      </c>
      <c r="AN158" s="317">
        <f t="shared" si="116"/>
        <v>0</v>
      </c>
      <c r="AO158" s="317">
        <f t="shared" si="117"/>
        <v>0</v>
      </c>
      <c r="AP158" s="317">
        <f t="shared" si="118"/>
        <v>0</v>
      </c>
      <c r="AQ158" s="317">
        <f t="shared" si="119"/>
        <v>0</v>
      </c>
      <c r="AR158" s="317">
        <f t="shared" si="120"/>
        <v>0</v>
      </c>
      <c r="AS158" s="317">
        <f t="shared" si="121"/>
        <v>0</v>
      </c>
      <c r="AT158" s="317">
        <f t="shared" si="122"/>
        <v>0</v>
      </c>
      <c r="AU158" s="317">
        <f t="shared" si="123"/>
        <v>0</v>
      </c>
      <c r="AV158" s="317">
        <f t="shared" si="124"/>
        <v>0</v>
      </c>
      <c r="AW158" s="317">
        <f t="shared" si="125"/>
        <v>0</v>
      </c>
      <c r="AX158" s="317">
        <f t="shared" si="126"/>
        <v>0</v>
      </c>
      <c r="AY158" s="317">
        <f t="shared" si="127"/>
        <v>0</v>
      </c>
      <c r="AZ158" s="317">
        <f t="shared" si="128"/>
        <v>0</v>
      </c>
      <c r="BA158" s="317">
        <f t="shared" si="129"/>
        <v>0</v>
      </c>
    </row>
    <row r="159" spans="1:53" s="314" customFormat="1" ht="15.75" customHeight="1">
      <c r="A159" s="63" t="str">
        <f t="array" ref="A159">IF(C159&lt;&gt;0,SUM(($C$11:C159&lt;&gt;0)*1),"")</f>
        <v/>
      </c>
      <c r="B159" s="315"/>
      <c r="C159" s="315"/>
      <c r="D159" s="315"/>
      <c r="E159" s="432"/>
      <c r="F159" s="371"/>
      <c r="G159" s="373"/>
      <c r="H159" s="373"/>
      <c r="I159" s="63" t="str">
        <f t="shared" si="91"/>
        <v/>
      </c>
      <c r="J159" s="317">
        <f t="shared" si="92"/>
        <v>0</v>
      </c>
      <c r="K159" s="317">
        <f t="shared" si="93"/>
        <v>0</v>
      </c>
      <c r="L159" s="317">
        <f t="shared" si="94"/>
        <v>0</v>
      </c>
      <c r="M159" s="317">
        <f t="shared" si="95"/>
        <v>0</v>
      </c>
      <c r="N159" s="317">
        <f t="shared" si="130"/>
        <v>0</v>
      </c>
      <c r="O159" s="317">
        <f t="shared" si="131"/>
        <v>0</v>
      </c>
      <c r="P159" s="317">
        <f t="shared" si="96"/>
        <v>0</v>
      </c>
      <c r="Q159" s="317">
        <f t="shared" si="97"/>
        <v>0</v>
      </c>
      <c r="R159" s="317">
        <f t="shared" si="98"/>
        <v>0</v>
      </c>
      <c r="S159" s="317">
        <f t="shared" si="99"/>
        <v>0</v>
      </c>
      <c r="T159" s="317">
        <f t="shared" si="132"/>
        <v>0</v>
      </c>
      <c r="U159" s="317">
        <f t="shared" si="133"/>
        <v>0</v>
      </c>
      <c r="V159" s="317">
        <f t="shared" si="100"/>
        <v>0</v>
      </c>
      <c r="W159" s="317">
        <f t="shared" si="101"/>
        <v>0</v>
      </c>
      <c r="X159" s="317">
        <f t="shared" si="102"/>
        <v>0</v>
      </c>
      <c r="Y159" s="317">
        <f t="shared" si="103"/>
        <v>0</v>
      </c>
      <c r="Z159" s="317">
        <f t="shared" si="104"/>
        <v>0</v>
      </c>
      <c r="AA159" s="317">
        <f t="shared" si="105"/>
        <v>0</v>
      </c>
      <c r="AB159" s="317">
        <f t="shared" si="106"/>
        <v>0</v>
      </c>
      <c r="AC159" s="317">
        <f t="shared" si="107"/>
        <v>0</v>
      </c>
      <c r="AD159" s="317">
        <f t="shared" si="108"/>
        <v>0</v>
      </c>
      <c r="AE159" s="317">
        <f t="shared" si="109"/>
        <v>0</v>
      </c>
      <c r="AF159" s="317">
        <f t="shared" si="134"/>
        <v>0</v>
      </c>
      <c r="AG159" s="317">
        <f t="shared" si="135"/>
        <v>0</v>
      </c>
      <c r="AH159" s="317">
        <f t="shared" si="110"/>
        <v>0</v>
      </c>
      <c r="AI159" s="317">
        <f t="shared" si="111"/>
        <v>0</v>
      </c>
      <c r="AJ159" s="317">
        <f t="shared" si="112"/>
        <v>0</v>
      </c>
      <c r="AK159" s="317">
        <f t="shared" si="113"/>
        <v>0</v>
      </c>
      <c r="AL159" s="317">
        <f t="shared" si="114"/>
        <v>0</v>
      </c>
      <c r="AM159" s="317">
        <f t="shared" si="115"/>
        <v>0</v>
      </c>
      <c r="AN159" s="317">
        <f t="shared" si="116"/>
        <v>0</v>
      </c>
      <c r="AO159" s="317">
        <f t="shared" si="117"/>
        <v>0</v>
      </c>
      <c r="AP159" s="317">
        <f t="shared" si="118"/>
        <v>0</v>
      </c>
      <c r="AQ159" s="317">
        <f t="shared" si="119"/>
        <v>0</v>
      </c>
      <c r="AR159" s="317">
        <f t="shared" si="120"/>
        <v>0</v>
      </c>
      <c r="AS159" s="317">
        <f t="shared" si="121"/>
        <v>0</v>
      </c>
      <c r="AT159" s="317">
        <f t="shared" si="122"/>
        <v>0</v>
      </c>
      <c r="AU159" s="317">
        <f t="shared" si="123"/>
        <v>0</v>
      </c>
      <c r="AV159" s="317">
        <f t="shared" si="124"/>
        <v>0</v>
      </c>
      <c r="AW159" s="317">
        <f t="shared" si="125"/>
        <v>0</v>
      </c>
      <c r="AX159" s="317">
        <f t="shared" si="126"/>
        <v>0</v>
      </c>
      <c r="AY159" s="317">
        <f t="shared" si="127"/>
        <v>0</v>
      </c>
      <c r="AZ159" s="317">
        <f t="shared" si="128"/>
        <v>0</v>
      </c>
      <c r="BA159" s="317">
        <f t="shared" si="129"/>
        <v>0</v>
      </c>
    </row>
    <row r="160" spans="1:53" s="314" customFormat="1" ht="15.75" customHeight="1">
      <c r="A160" s="63" t="str">
        <f t="array" ref="A160">IF(C160&lt;&gt;0,SUM(($C$11:C160&lt;&gt;0)*1),"")</f>
        <v/>
      </c>
      <c r="B160" s="315"/>
      <c r="C160" s="315"/>
      <c r="D160" s="315"/>
      <c r="E160" s="432"/>
      <c r="F160" s="371"/>
      <c r="G160" s="373"/>
      <c r="H160" s="373"/>
      <c r="I160" s="63" t="str">
        <f>A160</f>
        <v/>
      </c>
      <c r="J160" s="317">
        <f t="shared" si="92"/>
        <v>0</v>
      </c>
      <c r="K160" s="317">
        <f t="shared" si="93"/>
        <v>0</v>
      </c>
      <c r="L160" s="317">
        <f t="shared" si="94"/>
        <v>0</v>
      </c>
      <c r="M160" s="317">
        <f t="shared" si="95"/>
        <v>0</v>
      </c>
      <c r="N160" s="317">
        <f t="shared" si="130"/>
        <v>0</v>
      </c>
      <c r="O160" s="317">
        <f t="shared" si="131"/>
        <v>0</v>
      </c>
      <c r="P160" s="317">
        <f t="shared" si="96"/>
        <v>0</v>
      </c>
      <c r="Q160" s="317">
        <f t="shared" si="97"/>
        <v>0</v>
      </c>
      <c r="R160" s="317">
        <f t="shared" si="98"/>
        <v>0</v>
      </c>
      <c r="S160" s="317">
        <f t="shared" si="99"/>
        <v>0</v>
      </c>
      <c r="T160" s="317">
        <f t="shared" si="132"/>
        <v>0</v>
      </c>
      <c r="U160" s="317">
        <f t="shared" si="133"/>
        <v>0</v>
      </c>
      <c r="V160" s="317">
        <f t="shared" si="100"/>
        <v>0</v>
      </c>
      <c r="W160" s="317">
        <f t="shared" si="101"/>
        <v>0</v>
      </c>
      <c r="X160" s="317">
        <f t="shared" si="102"/>
        <v>0</v>
      </c>
      <c r="Y160" s="317">
        <f t="shared" si="103"/>
        <v>0</v>
      </c>
      <c r="Z160" s="317">
        <f t="shared" si="104"/>
        <v>0</v>
      </c>
      <c r="AA160" s="317">
        <f t="shared" si="105"/>
        <v>0</v>
      </c>
      <c r="AB160" s="317">
        <f t="shared" si="106"/>
        <v>0</v>
      </c>
      <c r="AC160" s="317">
        <f t="shared" si="107"/>
        <v>0</v>
      </c>
      <c r="AD160" s="317">
        <f t="shared" si="108"/>
        <v>0</v>
      </c>
      <c r="AE160" s="317">
        <f t="shared" si="109"/>
        <v>0</v>
      </c>
      <c r="AF160" s="317">
        <f t="shared" si="134"/>
        <v>0</v>
      </c>
      <c r="AG160" s="317">
        <f t="shared" si="135"/>
        <v>0</v>
      </c>
      <c r="AH160" s="317">
        <f t="shared" si="110"/>
        <v>0</v>
      </c>
      <c r="AI160" s="317">
        <f t="shared" si="111"/>
        <v>0</v>
      </c>
      <c r="AJ160" s="317">
        <f t="shared" si="112"/>
        <v>0</v>
      </c>
      <c r="AK160" s="317">
        <f t="shared" si="113"/>
        <v>0</v>
      </c>
      <c r="AL160" s="317">
        <f t="shared" si="114"/>
        <v>0</v>
      </c>
      <c r="AM160" s="317">
        <f t="shared" si="115"/>
        <v>0</v>
      </c>
      <c r="AN160" s="317">
        <f t="shared" si="116"/>
        <v>0</v>
      </c>
      <c r="AO160" s="317">
        <f t="shared" si="117"/>
        <v>0</v>
      </c>
      <c r="AP160" s="317">
        <f t="shared" si="118"/>
        <v>0</v>
      </c>
      <c r="AQ160" s="317">
        <f t="shared" si="119"/>
        <v>0</v>
      </c>
      <c r="AR160" s="317">
        <f t="shared" si="120"/>
        <v>0</v>
      </c>
      <c r="AS160" s="317">
        <f t="shared" si="121"/>
        <v>0</v>
      </c>
      <c r="AT160" s="317">
        <f t="shared" si="122"/>
        <v>0</v>
      </c>
      <c r="AU160" s="317">
        <f t="shared" si="123"/>
        <v>0</v>
      </c>
      <c r="AV160" s="317">
        <f t="shared" si="124"/>
        <v>0</v>
      </c>
      <c r="AW160" s="317">
        <f t="shared" si="125"/>
        <v>0</v>
      </c>
      <c r="AX160" s="317">
        <f t="shared" si="126"/>
        <v>0</v>
      </c>
      <c r="AY160" s="317">
        <f t="shared" si="127"/>
        <v>0</v>
      </c>
      <c r="AZ160" s="317">
        <f t="shared" si="128"/>
        <v>0</v>
      </c>
      <c r="BA160" s="317">
        <f t="shared" si="129"/>
        <v>0</v>
      </c>
    </row>
    <row r="161" spans="1:53" s="314" customFormat="1" ht="15.75" customHeight="1">
      <c r="A161" s="63" t="str">
        <f t="array" ref="A161">IF(C161&lt;&gt;0,SUM(($C$11:C161&lt;&gt;0)*1),"")</f>
        <v/>
      </c>
      <c r="B161" s="315"/>
      <c r="C161" s="315"/>
      <c r="D161" s="315"/>
      <c r="E161" s="432"/>
      <c r="F161" s="371"/>
      <c r="G161" s="373"/>
      <c r="H161" s="373"/>
      <c r="I161" s="63" t="str">
        <f>A161</f>
        <v/>
      </c>
      <c r="J161" s="317">
        <f t="shared" si="92"/>
        <v>0</v>
      </c>
      <c r="K161" s="317">
        <f t="shared" si="93"/>
        <v>0</v>
      </c>
      <c r="L161" s="317">
        <f t="shared" si="94"/>
        <v>0</v>
      </c>
      <c r="M161" s="317">
        <f t="shared" si="95"/>
        <v>0</v>
      </c>
      <c r="N161" s="317">
        <f t="shared" si="130"/>
        <v>0</v>
      </c>
      <c r="O161" s="317">
        <f t="shared" si="131"/>
        <v>0</v>
      </c>
      <c r="P161" s="317">
        <f t="shared" si="96"/>
        <v>0</v>
      </c>
      <c r="Q161" s="317">
        <f t="shared" si="97"/>
        <v>0</v>
      </c>
      <c r="R161" s="317">
        <f t="shared" si="98"/>
        <v>0</v>
      </c>
      <c r="S161" s="317">
        <f t="shared" si="99"/>
        <v>0</v>
      </c>
      <c r="T161" s="317">
        <f t="shared" si="132"/>
        <v>0</v>
      </c>
      <c r="U161" s="317">
        <f t="shared" si="133"/>
        <v>0</v>
      </c>
      <c r="V161" s="317">
        <f t="shared" si="100"/>
        <v>0</v>
      </c>
      <c r="W161" s="317">
        <f t="shared" si="101"/>
        <v>0</v>
      </c>
      <c r="X161" s="317">
        <f t="shared" si="102"/>
        <v>0</v>
      </c>
      <c r="Y161" s="317">
        <f t="shared" si="103"/>
        <v>0</v>
      </c>
      <c r="Z161" s="317">
        <f t="shared" si="104"/>
        <v>0</v>
      </c>
      <c r="AA161" s="317">
        <f t="shared" si="105"/>
        <v>0</v>
      </c>
      <c r="AB161" s="317">
        <f t="shared" si="106"/>
        <v>0</v>
      </c>
      <c r="AC161" s="317">
        <f t="shared" si="107"/>
        <v>0</v>
      </c>
      <c r="AD161" s="317">
        <f t="shared" si="108"/>
        <v>0</v>
      </c>
      <c r="AE161" s="317">
        <f t="shared" si="109"/>
        <v>0</v>
      </c>
      <c r="AF161" s="317">
        <f t="shared" si="134"/>
        <v>0</v>
      </c>
      <c r="AG161" s="317">
        <f t="shared" si="135"/>
        <v>0</v>
      </c>
      <c r="AH161" s="317">
        <f t="shared" si="110"/>
        <v>0</v>
      </c>
      <c r="AI161" s="317">
        <f t="shared" si="111"/>
        <v>0</v>
      </c>
      <c r="AJ161" s="317">
        <f t="shared" si="112"/>
        <v>0</v>
      </c>
      <c r="AK161" s="317">
        <f t="shared" si="113"/>
        <v>0</v>
      </c>
      <c r="AL161" s="317">
        <f t="shared" si="114"/>
        <v>0</v>
      </c>
      <c r="AM161" s="317">
        <f t="shared" si="115"/>
        <v>0</v>
      </c>
      <c r="AN161" s="317">
        <f t="shared" si="116"/>
        <v>0</v>
      </c>
      <c r="AO161" s="317">
        <f t="shared" si="117"/>
        <v>0</v>
      </c>
      <c r="AP161" s="317">
        <f t="shared" si="118"/>
        <v>0</v>
      </c>
      <c r="AQ161" s="317">
        <f t="shared" si="119"/>
        <v>0</v>
      </c>
      <c r="AR161" s="317">
        <f t="shared" si="120"/>
        <v>0</v>
      </c>
      <c r="AS161" s="317">
        <f t="shared" si="121"/>
        <v>0</v>
      </c>
      <c r="AT161" s="317">
        <f t="shared" si="122"/>
        <v>0</v>
      </c>
      <c r="AU161" s="317">
        <f t="shared" si="123"/>
        <v>0</v>
      </c>
      <c r="AV161" s="317">
        <f t="shared" si="124"/>
        <v>0</v>
      </c>
      <c r="AW161" s="317">
        <f t="shared" si="125"/>
        <v>0</v>
      </c>
      <c r="AX161" s="317">
        <f t="shared" si="126"/>
        <v>0</v>
      </c>
      <c r="AY161" s="317">
        <f t="shared" si="127"/>
        <v>0</v>
      </c>
      <c r="AZ161" s="317">
        <f t="shared" si="128"/>
        <v>0</v>
      </c>
      <c r="BA161" s="317">
        <f t="shared" si="129"/>
        <v>0</v>
      </c>
    </row>
    <row r="162" spans="1:53" s="314" customFormat="1" ht="15.75" customHeight="1">
      <c r="A162" s="63" t="str">
        <f t="array" ref="A162">IF(C162&lt;&gt;0,SUM(($C$11:C162&lt;&gt;0)*1),"")</f>
        <v/>
      </c>
      <c r="B162" s="315"/>
      <c r="C162" s="315"/>
      <c r="D162" s="315"/>
      <c r="E162" s="432"/>
      <c r="F162" s="371"/>
      <c r="G162" s="373"/>
      <c r="H162" s="373"/>
      <c r="I162" s="63" t="str">
        <f t="shared" ref="I162:I175" si="136">A162</f>
        <v/>
      </c>
      <c r="J162" s="317">
        <f t="shared" si="92"/>
        <v>0</v>
      </c>
      <c r="K162" s="317">
        <f t="shared" si="93"/>
        <v>0</v>
      </c>
      <c r="L162" s="317">
        <f t="shared" si="94"/>
        <v>0</v>
      </c>
      <c r="M162" s="317">
        <f t="shared" si="95"/>
        <v>0</v>
      </c>
      <c r="N162" s="317">
        <f t="shared" si="130"/>
        <v>0</v>
      </c>
      <c r="O162" s="317">
        <f t="shared" si="131"/>
        <v>0</v>
      </c>
      <c r="P162" s="317">
        <f t="shared" si="96"/>
        <v>0</v>
      </c>
      <c r="Q162" s="317">
        <f t="shared" si="97"/>
        <v>0</v>
      </c>
      <c r="R162" s="317">
        <f t="shared" si="98"/>
        <v>0</v>
      </c>
      <c r="S162" s="317">
        <f t="shared" si="99"/>
        <v>0</v>
      </c>
      <c r="T162" s="317">
        <f t="shared" si="132"/>
        <v>0</v>
      </c>
      <c r="U162" s="317">
        <f t="shared" si="133"/>
        <v>0</v>
      </c>
      <c r="V162" s="317">
        <f t="shared" si="100"/>
        <v>0</v>
      </c>
      <c r="W162" s="317">
        <f t="shared" si="101"/>
        <v>0</v>
      </c>
      <c r="X162" s="317">
        <f t="shared" si="102"/>
        <v>0</v>
      </c>
      <c r="Y162" s="317">
        <f t="shared" si="103"/>
        <v>0</v>
      </c>
      <c r="Z162" s="317">
        <f t="shared" si="104"/>
        <v>0</v>
      </c>
      <c r="AA162" s="317">
        <f t="shared" si="105"/>
        <v>0</v>
      </c>
      <c r="AB162" s="317">
        <f t="shared" si="106"/>
        <v>0</v>
      </c>
      <c r="AC162" s="317">
        <f t="shared" si="107"/>
        <v>0</v>
      </c>
      <c r="AD162" s="317">
        <f t="shared" si="108"/>
        <v>0</v>
      </c>
      <c r="AE162" s="317">
        <f t="shared" si="109"/>
        <v>0</v>
      </c>
      <c r="AF162" s="317">
        <f t="shared" si="134"/>
        <v>0</v>
      </c>
      <c r="AG162" s="317">
        <f t="shared" si="135"/>
        <v>0</v>
      </c>
      <c r="AH162" s="317">
        <f t="shared" si="110"/>
        <v>0</v>
      </c>
      <c r="AI162" s="317">
        <f t="shared" si="111"/>
        <v>0</v>
      </c>
      <c r="AJ162" s="317">
        <f t="shared" si="112"/>
        <v>0</v>
      </c>
      <c r="AK162" s="317">
        <f t="shared" si="113"/>
        <v>0</v>
      </c>
      <c r="AL162" s="317">
        <f t="shared" si="114"/>
        <v>0</v>
      </c>
      <c r="AM162" s="317">
        <f t="shared" si="115"/>
        <v>0</v>
      </c>
      <c r="AN162" s="317">
        <f t="shared" si="116"/>
        <v>0</v>
      </c>
      <c r="AO162" s="317">
        <f t="shared" si="117"/>
        <v>0</v>
      </c>
      <c r="AP162" s="317">
        <f t="shared" si="118"/>
        <v>0</v>
      </c>
      <c r="AQ162" s="317">
        <f t="shared" si="119"/>
        <v>0</v>
      </c>
      <c r="AR162" s="317">
        <f t="shared" si="120"/>
        <v>0</v>
      </c>
      <c r="AS162" s="317">
        <f t="shared" si="121"/>
        <v>0</v>
      </c>
      <c r="AT162" s="317">
        <f t="shared" si="122"/>
        <v>0</v>
      </c>
      <c r="AU162" s="317">
        <f t="shared" si="123"/>
        <v>0</v>
      </c>
      <c r="AV162" s="317">
        <f t="shared" si="124"/>
        <v>0</v>
      </c>
      <c r="AW162" s="317">
        <f t="shared" si="125"/>
        <v>0</v>
      </c>
      <c r="AX162" s="317">
        <f t="shared" si="126"/>
        <v>0</v>
      </c>
      <c r="AY162" s="317">
        <f t="shared" si="127"/>
        <v>0</v>
      </c>
      <c r="AZ162" s="317">
        <f t="shared" si="128"/>
        <v>0</v>
      </c>
      <c r="BA162" s="317">
        <f t="shared" si="129"/>
        <v>0</v>
      </c>
    </row>
    <row r="163" spans="1:53" s="314" customFormat="1" ht="15.75" customHeight="1">
      <c r="A163" s="63" t="str">
        <f t="array" ref="A163">IF(C163&lt;&gt;0,SUM(($C$11:C163&lt;&gt;0)*1),"")</f>
        <v/>
      </c>
      <c r="B163" s="315"/>
      <c r="C163" s="315"/>
      <c r="D163" s="315"/>
      <c r="E163" s="432"/>
      <c r="F163" s="371"/>
      <c r="G163" s="373"/>
      <c r="H163" s="373"/>
      <c r="I163" s="63" t="str">
        <f t="shared" si="136"/>
        <v/>
      </c>
      <c r="J163" s="317">
        <f t="shared" si="92"/>
        <v>0</v>
      </c>
      <c r="K163" s="317">
        <f t="shared" si="93"/>
        <v>0</v>
      </c>
      <c r="L163" s="317">
        <f t="shared" si="94"/>
        <v>0</v>
      </c>
      <c r="M163" s="317">
        <f t="shared" si="95"/>
        <v>0</v>
      </c>
      <c r="N163" s="317">
        <f t="shared" si="130"/>
        <v>0</v>
      </c>
      <c r="O163" s="317">
        <f t="shared" si="131"/>
        <v>0</v>
      </c>
      <c r="P163" s="317">
        <f t="shared" si="96"/>
        <v>0</v>
      </c>
      <c r="Q163" s="317">
        <f t="shared" si="97"/>
        <v>0</v>
      </c>
      <c r="R163" s="317">
        <f t="shared" si="98"/>
        <v>0</v>
      </c>
      <c r="S163" s="317">
        <f t="shared" si="99"/>
        <v>0</v>
      </c>
      <c r="T163" s="317">
        <f t="shared" si="132"/>
        <v>0</v>
      </c>
      <c r="U163" s="317">
        <f t="shared" si="133"/>
        <v>0</v>
      </c>
      <c r="V163" s="317">
        <f t="shared" si="100"/>
        <v>0</v>
      </c>
      <c r="W163" s="317">
        <f t="shared" si="101"/>
        <v>0</v>
      </c>
      <c r="X163" s="317">
        <f t="shared" si="102"/>
        <v>0</v>
      </c>
      <c r="Y163" s="317">
        <f t="shared" si="103"/>
        <v>0</v>
      </c>
      <c r="Z163" s="317">
        <f t="shared" si="104"/>
        <v>0</v>
      </c>
      <c r="AA163" s="317">
        <f t="shared" si="105"/>
        <v>0</v>
      </c>
      <c r="AB163" s="317">
        <f t="shared" si="106"/>
        <v>0</v>
      </c>
      <c r="AC163" s="317">
        <f t="shared" si="107"/>
        <v>0</v>
      </c>
      <c r="AD163" s="317">
        <f t="shared" si="108"/>
        <v>0</v>
      </c>
      <c r="AE163" s="317">
        <f t="shared" si="109"/>
        <v>0</v>
      </c>
      <c r="AF163" s="317">
        <f t="shared" si="134"/>
        <v>0</v>
      </c>
      <c r="AG163" s="317">
        <f t="shared" si="135"/>
        <v>0</v>
      </c>
      <c r="AH163" s="317">
        <f t="shared" si="110"/>
        <v>0</v>
      </c>
      <c r="AI163" s="317">
        <f t="shared" si="111"/>
        <v>0</v>
      </c>
      <c r="AJ163" s="317">
        <f t="shared" si="112"/>
        <v>0</v>
      </c>
      <c r="AK163" s="317">
        <f t="shared" si="113"/>
        <v>0</v>
      </c>
      <c r="AL163" s="317">
        <f t="shared" si="114"/>
        <v>0</v>
      </c>
      <c r="AM163" s="317">
        <f t="shared" si="115"/>
        <v>0</v>
      </c>
      <c r="AN163" s="317">
        <f t="shared" si="116"/>
        <v>0</v>
      </c>
      <c r="AO163" s="317">
        <f t="shared" si="117"/>
        <v>0</v>
      </c>
      <c r="AP163" s="317">
        <f t="shared" si="118"/>
        <v>0</v>
      </c>
      <c r="AQ163" s="317">
        <f t="shared" si="119"/>
        <v>0</v>
      </c>
      <c r="AR163" s="317">
        <f t="shared" si="120"/>
        <v>0</v>
      </c>
      <c r="AS163" s="317">
        <f t="shared" si="121"/>
        <v>0</v>
      </c>
      <c r="AT163" s="317">
        <f t="shared" si="122"/>
        <v>0</v>
      </c>
      <c r="AU163" s="317">
        <f t="shared" si="123"/>
        <v>0</v>
      </c>
      <c r="AV163" s="317">
        <f t="shared" si="124"/>
        <v>0</v>
      </c>
      <c r="AW163" s="317">
        <f t="shared" si="125"/>
        <v>0</v>
      </c>
      <c r="AX163" s="317">
        <f t="shared" si="126"/>
        <v>0</v>
      </c>
      <c r="AY163" s="317">
        <f t="shared" si="127"/>
        <v>0</v>
      </c>
      <c r="AZ163" s="317">
        <f t="shared" si="128"/>
        <v>0</v>
      </c>
      <c r="BA163" s="317">
        <f t="shared" si="129"/>
        <v>0</v>
      </c>
    </row>
    <row r="164" spans="1:53" s="314" customFormat="1" ht="15.75" customHeight="1">
      <c r="A164" s="63" t="str">
        <f t="array" ref="A164">IF(C164&lt;&gt;0,SUM(($C$11:C164&lt;&gt;0)*1),"")</f>
        <v/>
      </c>
      <c r="B164" s="315"/>
      <c r="C164" s="315"/>
      <c r="D164" s="315"/>
      <c r="E164" s="432"/>
      <c r="F164" s="371"/>
      <c r="G164" s="373"/>
      <c r="H164" s="373"/>
      <c r="I164" s="63" t="str">
        <f t="shared" si="136"/>
        <v/>
      </c>
      <c r="J164" s="317">
        <f t="shared" si="92"/>
        <v>0</v>
      </c>
      <c r="K164" s="317">
        <f t="shared" si="93"/>
        <v>0</v>
      </c>
      <c r="L164" s="317">
        <f t="shared" si="94"/>
        <v>0</v>
      </c>
      <c r="M164" s="317">
        <f t="shared" si="95"/>
        <v>0</v>
      </c>
      <c r="N164" s="317">
        <f t="shared" si="130"/>
        <v>0</v>
      </c>
      <c r="O164" s="317">
        <f t="shared" si="131"/>
        <v>0</v>
      </c>
      <c r="P164" s="317">
        <f t="shared" si="96"/>
        <v>0</v>
      </c>
      <c r="Q164" s="317">
        <f t="shared" si="97"/>
        <v>0</v>
      </c>
      <c r="R164" s="317">
        <f t="shared" si="98"/>
        <v>0</v>
      </c>
      <c r="S164" s="317">
        <f t="shared" si="99"/>
        <v>0</v>
      </c>
      <c r="T164" s="317">
        <f t="shared" si="132"/>
        <v>0</v>
      </c>
      <c r="U164" s="317">
        <f t="shared" si="133"/>
        <v>0</v>
      </c>
      <c r="V164" s="317">
        <f t="shared" si="100"/>
        <v>0</v>
      </c>
      <c r="W164" s="317">
        <f t="shared" si="101"/>
        <v>0</v>
      </c>
      <c r="X164" s="317">
        <f t="shared" si="102"/>
        <v>0</v>
      </c>
      <c r="Y164" s="317">
        <f t="shared" si="103"/>
        <v>0</v>
      </c>
      <c r="Z164" s="317">
        <f t="shared" si="104"/>
        <v>0</v>
      </c>
      <c r="AA164" s="317">
        <f t="shared" si="105"/>
        <v>0</v>
      </c>
      <c r="AB164" s="317">
        <f t="shared" si="106"/>
        <v>0</v>
      </c>
      <c r="AC164" s="317">
        <f t="shared" si="107"/>
        <v>0</v>
      </c>
      <c r="AD164" s="317">
        <f t="shared" si="108"/>
        <v>0</v>
      </c>
      <c r="AE164" s="317">
        <f t="shared" si="109"/>
        <v>0</v>
      </c>
      <c r="AF164" s="317">
        <f t="shared" si="134"/>
        <v>0</v>
      </c>
      <c r="AG164" s="317">
        <f t="shared" si="135"/>
        <v>0</v>
      </c>
      <c r="AH164" s="317">
        <f t="shared" si="110"/>
        <v>0</v>
      </c>
      <c r="AI164" s="317">
        <f t="shared" si="111"/>
        <v>0</v>
      </c>
      <c r="AJ164" s="317">
        <f t="shared" si="112"/>
        <v>0</v>
      </c>
      <c r="AK164" s="317">
        <f t="shared" si="113"/>
        <v>0</v>
      </c>
      <c r="AL164" s="317">
        <f t="shared" si="114"/>
        <v>0</v>
      </c>
      <c r="AM164" s="317">
        <f t="shared" si="115"/>
        <v>0</v>
      </c>
      <c r="AN164" s="317">
        <f t="shared" si="116"/>
        <v>0</v>
      </c>
      <c r="AO164" s="317">
        <f t="shared" si="117"/>
        <v>0</v>
      </c>
      <c r="AP164" s="317">
        <f t="shared" si="118"/>
        <v>0</v>
      </c>
      <c r="AQ164" s="317">
        <f t="shared" si="119"/>
        <v>0</v>
      </c>
      <c r="AR164" s="317">
        <f t="shared" si="120"/>
        <v>0</v>
      </c>
      <c r="AS164" s="317">
        <f t="shared" si="121"/>
        <v>0</v>
      </c>
      <c r="AT164" s="317">
        <f t="shared" si="122"/>
        <v>0</v>
      </c>
      <c r="AU164" s="317">
        <f t="shared" si="123"/>
        <v>0</v>
      </c>
      <c r="AV164" s="317">
        <f t="shared" si="124"/>
        <v>0</v>
      </c>
      <c r="AW164" s="317">
        <f t="shared" si="125"/>
        <v>0</v>
      </c>
      <c r="AX164" s="317">
        <f t="shared" si="126"/>
        <v>0</v>
      </c>
      <c r="AY164" s="317">
        <f t="shared" si="127"/>
        <v>0</v>
      </c>
      <c r="AZ164" s="317">
        <f t="shared" si="128"/>
        <v>0</v>
      </c>
      <c r="BA164" s="317">
        <f t="shared" si="129"/>
        <v>0</v>
      </c>
    </row>
    <row r="165" spans="1:53" s="314" customFormat="1" ht="15.75" customHeight="1">
      <c r="A165" s="63" t="str">
        <f t="array" ref="A165">IF(C165&lt;&gt;0,SUM(($C$11:C165&lt;&gt;0)*1),"")</f>
        <v/>
      </c>
      <c r="B165" s="315"/>
      <c r="C165" s="315"/>
      <c r="D165" s="315"/>
      <c r="E165" s="432"/>
      <c r="F165" s="371"/>
      <c r="G165" s="373"/>
      <c r="H165" s="373"/>
      <c r="I165" s="63" t="str">
        <f t="shared" si="136"/>
        <v/>
      </c>
      <c r="J165" s="317">
        <f t="shared" si="92"/>
        <v>0</v>
      </c>
      <c r="K165" s="317">
        <f t="shared" si="93"/>
        <v>0</v>
      </c>
      <c r="L165" s="317">
        <f t="shared" si="94"/>
        <v>0</v>
      </c>
      <c r="M165" s="317">
        <f t="shared" si="95"/>
        <v>0</v>
      </c>
      <c r="N165" s="317">
        <f t="shared" si="130"/>
        <v>0</v>
      </c>
      <c r="O165" s="317">
        <f t="shared" si="131"/>
        <v>0</v>
      </c>
      <c r="P165" s="317">
        <f t="shared" si="96"/>
        <v>0</v>
      </c>
      <c r="Q165" s="317">
        <f t="shared" si="97"/>
        <v>0</v>
      </c>
      <c r="R165" s="317">
        <f t="shared" si="98"/>
        <v>0</v>
      </c>
      <c r="S165" s="317">
        <f t="shared" si="99"/>
        <v>0</v>
      </c>
      <c r="T165" s="317">
        <f t="shared" si="132"/>
        <v>0</v>
      </c>
      <c r="U165" s="317">
        <f t="shared" si="133"/>
        <v>0</v>
      </c>
      <c r="V165" s="317">
        <f t="shared" si="100"/>
        <v>0</v>
      </c>
      <c r="W165" s="317">
        <f t="shared" si="101"/>
        <v>0</v>
      </c>
      <c r="X165" s="317">
        <f t="shared" si="102"/>
        <v>0</v>
      </c>
      <c r="Y165" s="317">
        <f t="shared" si="103"/>
        <v>0</v>
      </c>
      <c r="Z165" s="317">
        <f t="shared" si="104"/>
        <v>0</v>
      </c>
      <c r="AA165" s="317">
        <f t="shared" si="105"/>
        <v>0</v>
      </c>
      <c r="AB165" s="317">
        <f t="shared" si="106"/>
        <v>0</v>
      </c>
      <c r="AC165" s="317">
        <f t="shared" si="107"/>
        <v>0</v>
      </c>
      <c r="AD165" s="317">
        <f t="shared" si="108"/>
        <v>0</v>
      </c>
      <c r="AE165" s="317">
        <f t="shared" si="109"/>
        <v>0</v>
      </c>
      <c r="AF165" s="317">
        <f t="shared" si="134"/>
        <v>0</v>
      </c>
      <c r="AG165" s="317">
        <f t="shared" si="135"/>
        <v>0</v>
      </c>
      <c r="AH165" s="317">
        <f t="shared" si="110"/>
        <v>0</v>
      </c>
      <c r="AI165" s="317">
        <f t="shared" si="111"/>
        <v>0</v>
      </c>
      <c r="AJ165" s="317">
        <f t="shared" si="112"/>
        <v>0</v>
      </c>
      <c r="AK165" s="317">
        <f t="shared" si="113"/>
        <v>0</v>
      </c>
      <c r="AL165" s="317">
        <f t="shared" si="114"/>
        <v>0</v>
      </c>
      <c r="AM165" s="317">
        <f t="shared" si="115"/>
        <v>0</v>
      </c>
      <c r="AN165" s="317">
        <f t="shared" si="116"/>
        <v>0</v>
      </c>
      <c r="AO165" s="317">
        <f t="shared" si="117"/>
        <v>0</v>
      </c>
      <c r="AP165" s="317">
        <f t="shared" si="118"/>
        <v>0</v>
      </c>
      <c r="AQ165" s="317">
        <f t="shared" si="119"/>
        <v>0</v>
      </c>
      <c r="AR165" s="317">
        <f t="shared" si="120"/>
        <v>0</v>
      </c>
      <c r="AS165" s="317">
        <f t="shared" si="121"/>
        <v>0</v>
      </c>
      <c r="AT165" s="317">
        <f t="shared" si="122"/>
        <v>0</v>
      </c>
      <c r="AU165" s="317">
        <f t="shared" si="123"/>
        <v>0</v>
      </c>
      <c r="AV165" s="317">
        <f t="shared" si="124"/>
        <v>0</v>
      </c>
      <c r="AW165" s="317">
        <f t="shared" si="125"/>
        <v>0</v>
      </c>
      <c r="AX165" s="317">
        <f t="shared" si="126"/>
        <v>0</v>
      </c>
      <c r="AY165" s="317">
        <f t="shared" si="127"/>
        <v>0</v>
      </c>
      <c r="AZ165" s="317">
        <f t="shared" si="128"/>
        <v>0</v>
      </c>
      <c r="BA165" s="317">
        <f t="shared" si="129"/>
        <v>0</v>
      </c>
    </row>
    <row r="166" spans="1:53" s="314" customFormat="1" ht="15.75" customHeight="1">
      <c r="A166" s="63" t="str">
        <f t="array" ref="A166">IF(C166&lt;&gt;0,SUM(($C$11:C166&lt;&gt;0)*1),"")</f>
        <v/>
      </c>
      <c r="B166" s="315"/>
      <c r="C166" s="315"/>
      <c r="D166" s="315"/>
      <c r="E166" s="432"/>
      <c r="F166" s="371"/>
      <c r="G166" s="373"/>
      <c r="H166" s="373"/>
      <c r="I166" s="63" t="str">
        <f t="shared" si="136"/>
        <v/>
      </c>
      <c r="J166" s="317">
        <f t="shared" si="92"/>
        <v>0</v>
      </c>
      <c r="K166" s="317">
        <f t="shared" si="93"/>
        <v>0</v>
      </c>
      <c r="L166" s="317">
        <f t="shared" si="94"/>
        <v>0</v>
      </c>
      <c r="M166" s="317">
        <f t="shared" si="95"/>
        <v>0</v>
      </c>
      <c r="N166" s="317">
        <f t="shared" si="130"/>
        <v>0</v>
      </c>
      <c r="O166" s="317">
        <f t="shared" si="131"/>
        <v>0</v>
      </c>
      <c r="P166" s="317">
        <f t="shared" si="96"/>
        <v>0</v>
      </c>
      <c r="Q166" s="317">
        <f t="shared" si="97"/>
        <v>0</v>
      </c>
      <c r="R166" s="317">
        <f t="shared" si="98"/>
        <v>0</v>
      </c>
      <c r="S166" s="317">
        <f t="shared" si="99"/>
        <v>0</v>
      </c>
      <c r="T166" s="317">
        <f t="shared" si="132"/>
        <v>0</v>
      </c>
      <c r="U166" s="317">
        <f t="shared" si="133"/>
        <v>0</v>
      </c>
      <c r="V166" s="317">
        <f t="shared" si="100"/>
        <v>0</v>
      </c>
      <c r="W166" s="317">
        <f t="shared" si="101"/>
        <v>0</v>
      </c>
      <c r="X166" s="317">
        <f t="shared" si="102"/>
        <v>0</v>
      </c>
      <c r="Y166" s="317">
        <f t="shared" si="103"/>
        <v>0</v>
      </c>
      <c r="Z166" s="317">
        <f t="shared" si="104"/>
        <v>0</v>
      </c>
      <c r="AA166" s="317">
        <f t="shared" si="105"/>
        <v>0</v>
      </c>
      <c r="AB166" s="317">
        <f t="shared" si="106"/>
        <v>0</v>
      </c>
      <c r="AC166" s="317">
        <f t="shared" si="107"/>
        <v>0</v>
      </c>
      <c r="AD166" s="317">
        <f t="shared" si="108"/>
        <v>0</v>
      </c>
      <c r="AE166" s="317">
        <f t="shared" si="109"/>
        <v>0</v>
      </c>
      <c r="AF166" s="317">
        <f t="shared" si="134"/>
        <v>0</v>
      </c>
      <c r="AG166" s="317">
        <f t="shared" si="135"/>
        <v>0</v>
      </c>
      <c r="AH166" s="317">
        <f t="shared" si="110"/>
        <v>0</v>
      </c>
      <c r="AI166" s="317">
        <f t="shared" si="111"/>
        <v>0</v>
      </c>
      <c r="AJ166" s="317">
        <f t="shared" si="112"/>
        <v>0</v>
      </c>
      <c r="AK166" s="317">
        <f t="shared" si="113"/>
        <v>0</v>
      </c>
      <c r="AL166" s="317">
        <f t="shared" si="114"/>
        <v>0</v>
      </c>
      <c r="AM166" s="317">
        <f t="shared" si="115"/>
        <v>0</v>
      </c>
      <c r="AN166" s="317">
        <f t="shared" si="116"/>
        <v>0</v>
      </c>
      <c r="AO166" s="317">
        <f t="shared" si="117"/>
        <v>0</v>
      </c>
      <c r="AP166" s="317">
        <f t="shared" si="118"/>
        <v>0</v>
      </c>
      <c r="AQ166" s="317">
        <f t="shared" si="119"/>
        <v>0</v>
      </c>
      <c r="AR166" s="317">
        <f t="shared" si="120"/>
        <v>0</v>
      </c>
      <c r="AS166" s="317">
        <f t="shared" si="121"/>
        <v>0</v>
      </c>
      <c r="AT166" s="317">
        <f t="shared" si="122"/>
        <v>0</v>
      </c>
      <c r="AU166" s="317">
        <f t="shared" si="123"/>
        <v>0</v>
      </c>
      <c r="AV166" s="317">
        <f t="shared" si="124"/>
        <v>0</v>
      </c>
      <c r="AW166" s="317">
        <f t="shared" si="125"/>
        <v>0</v>
      </c>
      <c r="AX166" s="317">
        <f t="shared" si="126"/>
        <v>0</v>
      </c>
      <c r="AY166" s="317">
        <f t="shared" si="127"/>
        <v>0</v>
      </c>
      <c r="AZ166" s="317">
        <f t="shared" si="128"/>
        <v>0</v>
      </c>
      <c r="BA166" s="317">
        <f t="shared" si="129"/>
        <v>0</v>
      </c>
    </row>
    <row r="167" spans="1:53" s="314" customFormat="1" ht="15.75" customHeight="1">
      <c r="A167" s="63" t="str">
        <f t="array" ref="A167">IF(C167&lt;&gt;0,SUM(($C$11:C167&lt;&gt;0)*1),"")</f>
        <v/>
      </c>
      <c r="B167" s="315"/>
      <c r="C167" s="315"/>
      <c r="D167" s="315"/>
      <c r="E167" s="432"/>
      <c r="F167" s="371"/>
      <c r="G167" s="373"/>
      <c r="H167" s="373"/>
      <c r="I167" s="63" t="str">
        <f t="shared" si="136"/>
        <v/>
      </c>
      <c r="J167" s="317">
        <f t="shared" si="92"/>
        <v>0</v>
      </c>
      <c r="K167" s="317">
        <f t="shared" si="93"/>
        <v>0</v>
      </c>
      <c r="L167" s="317">
        <f t="shared" si="94"/>
        <v>0</v>
      </c>
      <c r="M167" s="317">
        <f t="shared" si="95"/>
        <v>0</v>
      </c>
      <c r="N167" s="317">
        <f t="shared" si="130"/>
        <v>0</v>
      </c>
      <c r="O167" s="317">
        <f t="shared" si="131"/>
        <v>0</v>
      </c>
      <c r="P167" s="317">
        <f t="shared" si="96"/>
        <v>0</v>
      </c>
      <c r="Q167" s="317">
        <f t="shared" si="97"/>
        <v>0</v>
      </c>
      <c r="R167" s="317">
        <f t="shared" si="98"/>
        <v>0</v>
      </c>
      <c r="S167" s="317">
        <f t="shared" si="99"/>
        <v>0</v>
      </c>
      <c r="T167" s="317">
        <f t="shared" si="132"/>
        <v>0</v>
      </c>
      <c r="U167" s="317">
        <f t="shared" si="133"/>
        <v>0</v>
      </c>
      <c r="V167" s="317">
        <f t="shared" si="100"/>
        <v>0</v>
      </c>
      <c r="W167" s="317">
        <f t="shared" si="101"/>
        <v>0</v>
      </c>
      <c r="X167" s="317">
        <f t="shared" si="102"/>
        <v>0</v>
      </c>
      <c r="Y167" s="317">
        <f t="shared" si="103"/>
        <v>0</v>
      </c>
      <c r="Z167" s="317">
        <f t="shared" si="104"/>
        <v>0</v>
      </c>
      <c r="AA167" s="317">
        <f t="shared" si="105"/>
        <v>0</v>
      </c>
      <c r="AB167" s="317">
        <f t="shared" si="106"/>
        <v>0</v>
      </c>
      <c r="AC167" s="317">
        <f t="shared" si="107"/>
        <v>0</v>
      </c>
      <c r="AD167" s="317">
        <f t="shared" si="108"/>
        <v>0</v>
      </c>
      <c r="AE167" s="317">
        <f t="shared" si="109"/>
        <v>0</v>
      </c>
      <c r="AF167" s="317">
        <f t="shared" si="134"/>
        <v>0</v>
      </c>
      <c r="AG167" s="317">
        <f t="shared" si="135"/>
        <v>0</v>
      </c>
      <c r="AH167" s="317">
        <f t="shared" si="110"/>
        <v>0</v>
      </c>
      <c r="AI167" s="317">
        <f t="shared" si="111"/>
        <v>0</v>
      </c>
      <c r="AJ167" s="317">
        <f t="shared" si="112"/>
        <v>0</v>
      </c>
      <c r="AK167" s="317">
        <f t="shared" si="113"/>
        <v>0</v>
      </c>
      <c r="AL167" s="317">
        <f t="shared" si="114"/>
        <v>0</v>
      </c>
      <c r="AM167" s="317">
        <f t="shared" si="115"/>
        <v>0</v>
      </c>
      <c r="AN167" s="317">
        <f t="shared" si="116"/>
        <v>0</v>
      </c>
      <c r="AO167" s="317">
        <f t="shared" si="117"/>
        <v>0</v>
      </c>
      <c r="AP167" s="317">
        <f t="shared" si="118"/>
        <v>0</v>
      </c>
      <c r="AQ167" s="317">
        <f t="shared" si="119"/>
        <v>0</v>
      </c>
      <c r="AR167" s="317">
        <f t="shared" si="120"/>
        <v>0</v>
      </c>
      <c r="AS167" s="317">
        <f t="shared" si="121"/>
        <v>0</v>
      </c>
      <c r="AT167" s="317">
        <f t="shared" si="122"/>
        <v>0</v>
      </c>
      <c r="AU167" s="317">
        <f t="shared" si="123"/>
        <v>0</v>
      </c>
      <c r="AV167" s="317">
        <f t="shared" si="124"/>
        <v>0</v>
      </c>
      <c r="AW167" s="317">
        <f t="shared" si="125"/>
        <v>0</v>
      </c>
      <c r="AX167" s="317">
        <f t="shared" si="126"/>
        <v>0</v>
      </c>
      <c r="AY167" s="317">
        <f t="shared" si="127"/>
        <v>0</v>
      </c>
      <c r="AZ167" s="317">
        <f t="shared" si="128"/>
        <v>0</v>
      </c>
      <c r="BA167" s="317">
        <f t="shared" si="129"/>
        <v>0</v>
      </c>
    </row>
    <row r="168" spans="1:53" s="314" customFormat="1" ht="15.75" customHeight="1">
      <c r="A168" s="63" t="str">
        <f t="array" ref="A168">IF(C168&lt;&gt;0,SUM(($C$11:C168&lt;&gt;0)*1),"")</f>
        <v/>
      </c>
      <c r="B168" s="315"/>
      <c r="C168" s="315"/>
      <c r="D168" s="315"/>
      <c r="E168" s="432"/>
      <c r="F168" s="371"/>
      <c r="G168" s="373"/>
      <c r="H168" s="373"/>
      <c r="I168" s="63" t="str">
        <f t="shared" si="136"/>
        <v/>
      </c>
      <c r="J168" s="317">
        <f t="shared" si="92"/>
        <v>0</v>
      </c>
      <c r="K168" s="317">
        <f t="shared" si="93"/>
        <v>0</v>
      </c>
      <c r="L168" s="317">
        <f t="shared" si="94"/>
        <v>0</v>
      </c>
      <c r="M168" s="317">
        <f t="shared" si="95"/>
        <v>0</v>
      </c>
      <c r="N168" s="317">
        <f t="shared" si="130"/>
        <v>0</v>
      </c>
      <c r="O168" s="317">
        <f t="shared" si="131"/>
        <v>0</v>
      </c>
      <c r="P168" s="317">
        <f t="shared" si="96"/>
        <v>0</v>
      </c>
      <c r="Q168" s="317">
        <f t="shared" si="97"/>
        <v>0</v>
      </c>
      <c r="R168" s="317">
        <f t="shared" si="98"/>
        <v>0</v>
      </c>
      <c r="S168" s="317">
        <f t="shared" si="99"/>
        <v>0</v>
      </c>
      <c r="T168" s="317">
        <f t="shared" si="132"/>
        <v>0</v>
      </c>
      <c r="U168" s="317">
        <f t="shared" si="133"/>
        <v>0</v>
      </c>
      <c r="V168" s="317">
        <f t="shared" si="100"/>
        <v>0</v>
      </c>
      <c r="W168" s="317">
        <f t="shared" si="101"/>
        <v>0</v>
      </c>
      <c r="X168" s="317">
        <f t="shared" si="102"/>
        <v>0</v>
      </c>
      <c r="Y168" s="317">
        <f t="shared" si="103"/>
        <v>0</v>
      </c>
      <c r="Z168" s="317">
        <f t="shared" si="104"/>
        <v>0</v>
      </c>
      <c r="AA168" s="317">
        <f t="shared" si="105"/>
        <v>0</v>
      </c>
      <c r="AB168" s="317">
        <f t="shared" si="106"/>
        <v>0</v>
      </c>
      <c r="AC168" s="317">
        <f t="shared" si="107"/>
        <v>0</v>
      </c>
      <c r="AD168" s="317">
        <f t="shared" si="108"/>
        <v>0</v>
      </c>
      <c r="AE168" s="317">
        <f t="shared" si="109"/>
        <v>0</v>
      </c>
      <c r="AF168" s="317">
        <f t="shared" si="134"/>
        <v>0</v>
      </c>
      <c r="AG168" s="317">
        <f t="shared" si="135"/>
        <v>0</v>
      </c>
      <c r="AH168" s="317">
        <f t="shared" si="110"/>
        <v>0</v>
      </c>
      <c r="AI168" s="317">
        <f t="shared" si="111"/>
        <v>0</v>
      </c>
      <c r="AJ168" s="317">
        <f t="shared" si="112"/>
        <v>0</v>
      </c>
      <c r="AK168" s="317">
        <f t="shared" si="113"/>
        <v>0</v>
      </c>
      <c r="AL168" s="317">
        <f t="shared" si="114"/>
        <v>0</v>
      </c>
      <c r="AM168" s="317">
        <f t="shared" si="115"/>
        <v>0</v>
      </c>
      <c r="AN168" s="317">
        <f t="shared" si="116"/>
        <v>0</v>
      </c>
      <c r="AO168" s="317">
        <f t="shared" si="117"/>
        <v>0</v>
      </c>
      <c r="AP168" s="317">
        <f t="shared" si="118"/>
        <v>0</v>
      </c>
      <c r="AQ168" s="317">
        <f t="shared" si="119"/>
        <v>0</v>
      </c>
      <c r="AR168" s="317">
        <f t="shared" si="120"/>
        <v>0</v>
      </c>
      <c r="AS168" s="317">
        <f t="shared" si="121"/>
        <v>0</v>
      </c>
      <c r="AT168" s="317">
        <f t="shared" si="122"/>
        <v>0</v>
      </c>
      <c r="AU168" s="317">
        <f t="shared" si="123"/>
        <v>0</v>
      </c>
      <c r="AV168" s="317">
        <f t="shared" si="124"/>
        <v>0</v>
      </c>
      <c r="AW168" s="317">
        <f t="shared" si="125"/>
        <v>0</v>
      </c>
      <c r="AX168" s="317">
        <f t="shared" si="126"/>
        <v>0</v>
      </c>
      <c r="AY168" s="317">
        <f t="shared" si="127"/>
        <v>0</v>
      </c>
      <c r="AZ168" s="317">
        <f t="shared" si="128"/>
        <v>0</v>
      </c>
      <c r="BA168" s="317">
        <f t="shared" si="129"/>
        <v>0</v>
      </c>
    </row>
    <row r="169" spans="1:53" s="314" customFormat="1" ht="15.75" customHeight="1">
      <c r="A169" s="63" t="str">
        <f t="array" ref="A169">IF(C169&lt;&gt;0,SUM(($C$11:C169&lt;&gt;0)*1),"")</f>
        <v/>
      </c>
      <c r="B169" s="315"/>
      <c r="C169" s="315"/>
      <c r="D169" s="315"/>
      <c r="E169" s="432"/>
      <c r="F169" s="371"/>
      <c r="G169" s="373"/>
      <c r="H169" s="373"/>
      <c r="I169" s="63" t="str">
        <f t="shared" si="136"/>
        <v/>
      </c>
      <c r="J169" s="317">
        <f t="shared" si="92"/>
        <v>0</v>
      </c>
      <c r="K169" s="317">
        <f t="shared" si="93"/>
        <v>0</v>
      </c>
      <c r="L169" s="317">
        <f t="shared" si="94"/>
        <v>0</v>
      </c>
      <c r="M169" s="317">
        <f t="shared" si="95"/>
        <v>0</v>
      </c>
      <c r="N169" s="317">
        <f t="shared" si="130"/>
        <v>0</v>
      </c>
      <c r="O169" s="317">
        <f t="shared" si="131"/>
        <v>0</v>
      </c>
      <c r="P169" s="317">
        <f t="shared" si="96"/>
        <v>0</v>
      </c>
      <c r="Q169" s="317">
        <f t="shared" si="97"/>
        <v>0</v>
      </c>
      <c r="R169" s="317">
        <f t="shared" si="98"/>
        <v>0</v>
      </c>
      <c r="S169" s="317">
        <f t="shared" si="99"/>
        <v>0</v>
      </c>
      <c r="T169" s="317">
        <f t="shared" si="132"/>
        <v>0</v>
      </c>
      <c r="U169" s="317">
        <f t="shared" si="133"/>
        <v>0</v>
      </c>
      <c r="V169" s="317">
        <f t="shared" si="100"/>
        <v>0</v>
      </c>
      <c r="W169" s="317">
        <f t="shared" si="101"/>
        <v>0</v>
      </c>
      <c r="X169" s="317">
        <f t="shared" si="102"/>
        <v>0</v>
      </c>
      <c r="Y169" s="317">
        <f t="shared" si="103"/>
        <v>0</v>
      </c>
      <c r="Z169" s="317">
        <f t="shared" si="104"/>
        <v>0</v>
      </c>
      <c r="AA169" s="317">
        <f t="shared" si="105"/>
        <v>0</v>
      </c>
      <c r="AB169" s="317">
        <f t="shared" si="106"/>
        <v>0</v>
      </c>
      <c r="AC169" s="317">
        <f t="shared" si="107"/>
        <v>0</v>
      </c>
      <c r="AD169" s="317">
        <f t="shared" si="108"/>
        <v>0</v>
      </c>
      <c r="AE169" s="317">
        <f t="shared" si="109"/>
        <v>0</v>
      </c>
      <c r="AF169" s="317">
        <f t="shared" si="134"/>
        <v>0</v>
      </c>
      <c r="AG169" s="317">
        <f t="shared" si="135"/>
        <v>0</v>
      </c>
      <c r="AH169" s="317">
        <f t="shared" si="110"/>
        <v>0</v>
      </c>
      <c r="AI169" s="317">
        <f t="shared" si="111"/>
        <v>0</v>
      </c>
      <c r="AJ169" s="317">
        <f t="shared" si="112"/>
        <v>0</v>
      </c>
      <c r="AK169" s="317">
        <f t="shared" si="113"/>
        <v>0</v>
      </c>
      <c r="AL169" s="317">
        <f t="shared" si="114"/>
        <v>0</v>
      </c>
      <c r="AM169" s="317">
        <f t="shared" si="115"/>
        <v>0</v>
      </c>
      <c r="AN169" s="317">
        <f t="shared" si="116"/>
        <v>0</v>
      </c>
      <c r="AO169" s="317">
        <f t="shared" si="117"/>
        <v>0</v>
      </c>
      <c r="AP169" s="317">
        <f t="shared" si="118"/>
        <v>0</v>
      </c>
      <c r="AQ169" s="317">
        <f t="shared" si="119"/>
        <v>0</v>
      </c>
      <c r="AR169" s="317">
        <f t="shared" si="120"/>
        <v>0</v>
      </c>
      <c r="AS169" s="317">
        <f t="shared" si="121"/>
        <v>0</v>
      </c>
      <c r="AT169" s="317">
        <f t="shared" si="122"/>
        <v>0</v>
      </c>
      <c r="AU169" s="317">
        <f t="shared" si="123"/>
        <v>0</v>
      </c>
      <c r="AV169" s="317">
        <f t="shared" si="124"/>
        <v>0</v>
      </c>
      <c r="AW169" s="317">
        <f t="shared" si="125"/>
        <v>0</v>
      </c>
      <c r="AX169" s="317">
        <f t="shared" si="126"/>
        <v>0</v>
      </c>
      <c r="AY169" s="317">
        <f t="shared" si="127"/>
        <v>0</v>
      </c>
      <c r="AZ169" s="317">
        <f t="shared" si="128"/>
        <v>0</v>
      </c>
      <c r="BA169" s="317">
        <f t="shared" si="129"/>
        <v>0</v>
      </c>
    </row>
    <row r="170" spans="1:53" s="314" customFormat="1" ht="15.75" customHeight="1">
      <c r="A170" s="63" t="str">
        <f t="array" ref="A170">IF(C170&lt;&gt;0,SUM(($C$11:C170&lt;&gt;0)*1),"")</f>
        <v/>
      </c>
      <c r="B170" s="315"/>
      <c r="C170" s="315"/>
      <c r="D170" s="315"/>
      <c r="E170" s="432"/>
      <c r="F170" s="371"/>
      <c r="G170" s="373"/>
      <c r="H170" s="373"/>
      <c r="I170" s="63" t="str">
        <f t="shared" si="136"/>
        <v/>
      </c>
      <c r="J170" s="317">
        <f t="shared" si="92"/>
        <v>0</v>
      </c>
      <c r="K170" s="317">
        <f t="shared" si="93"/>
        <v>0</v>
      </c>
      <c r="L170" s="317">
        <f t="shared" si="94"/>
        <v>0</v>
      </c>
      <c r="M170" s="317">
        <f t="shared" si="95"/>
        <v>0</v>
      </c>
      <c r="N170" s="317">
        <f t="shared" si="130"/>
        <v>0</v>
      </c>
      <c r="O170" s="317">
        <f t="shared" si="131"/>
        <v>0</v>
      </c>
      <c r="P170" s="317">
        <f t="shared" si="96"/>
        <v>0</v>
      </c>
      <c r="Q170" s="317">
        <f t="shared" si="97"/>
        <v>0</v>
      </c>
      <c r="R170" s="317">
        <f t="shared" si="98"/>
        <v>0</v>
      </c>
      <c r="S170" s="317">
        <f t="shared" si="99"/>
        <v>0</v>
      </c>
      <c r="T170" s="317">
        <f t="shared" si="132"/>
        <v>0</v>
      </c>
      <c r="U170" s="317">
        <f t="shared" si="133"/>
        <v>0</v>
      </c>
      <c r="V170" s="317">
        <f t="shared" si="100"/>
        <v>0</v>
      </c>
      <c r="W170" s="317">
        <f t="shared" si="101"/>
        <v>0</v>
      </c>
      <c r="X170" s="317">
        <f t="shared" si="102"/>
        <v>0</v>
      </c>
      <c r="Y170" s="317">
        <f t="shared" si="103"/>
        <v>0</v>
      </c>
      <c r="Z170" s="317">
        <f t="shared" si="104"/>
        <v>0</v>
      </c>
      <c r="AA170" s="317">
        <f t="shared" si="105"/>
        <v>0</v>
      </c>
      <c r="AB170" s="317">
        <f t="shared" si="106"/>
        <v>0</v>
      </c>
      <c r="AC170" s="317">
        <f t="shared" si="107"/>
        <v>0</v>
      </c>
      <c r="AD170" s="317">
        <f t="shared" si="108"/>
        <v>0</v>
      </c>
      <c r="AE170" s="317">
        <f t="shared" si="109"/>
        <v>0</v>
      </c>
      <c r="AF170" s="317">
        <f t="shared" si="134"/>
        <v>0</v>
      </c>
      <c r="AG170" s="317">
        <f t="shared" si="135"/>
        <v>0</v>
      </c>
      <c r="AH170" s="317">
        <f t="shared" si="110"/>
        <v>0</v>
      </c>
      <c r="AI170" s="317">
        <f t="shared" si="111"/>
        <v>0</v>
      </c>
      <c r="AJ170" s="317">
        <f t="shared" si="112"/>
        <v>0</v>
      </c>
      <c r="AK170" s="317">
        <f t="shared" si="113"/>
        <v>0</v>
      </c>
      <c r="AL170" s="317">
        <f t="shared" si="114"/>
        <v>0</v>
      </c>
      <c r="AM170" s="317">
        <f t="shared" si="115"/>
        <v>0</v>
      </c>
      <c r="AN170" s="317">
        <f t="shared" si="116"/>
        <v>0</v>
      </c>
      <c r="AO170" s="317">
        <f t="shared" si="117"/>
        <v>0</v>
      </c>
      <c r="AP170" s="317">
        <f t="shared" si="118"/>
        <v>0</v>
      </c>
      <c r="AQ170" s="317">
        <f t="shared" si="119"/>
        <v>0</v>
      </c>
      <c r="AR170" s="317">
        <f t="shared" si="120"/>
        <v>0</v>
      </c>
      <c r="AS170" s="317">
        <f t="shared" si="121"/>
        <v>0</v>
      </c>
      <c r="AT170" s="317">
        <f t="shared" si="122"/>
        <v>0</v>
      </c>
      <c r="AU170" s="317">
        <f t="shared" si="123"/>
        <v>0</v>
      </c>
      <c r="AV170" s="317">
        <f t="shared" si="124"/>
        <v>0</v>
      </c>
      <c r="AW170" s="317">
        <f t="shared" si="125"/>
        <v>0</v>
      </c>
      <c r="AX170" s="317">
        <f t="shared" si="126"/>
        <v>0</v>
      </c>
      <c r="AY170" s="317">
        <f t="shared" si="127"/>
        <v>0</v>
      </c>
      <c r="AZ170" s="317">
        <f t="shared" si="128"/>
        <v>0</v>
      </c>
      <c r="BA170" s="317">
        <f t="shared" si="129"/>
        <v>0</v>
      </c>
    </row>
    <row r="171" spans="1:53" s="314" customFormat="1" ht="15.75" customHeight="1">
      <c r="A171" s="63" t="str">
        <f t="array" ref="A171">IF(C171&lt;&gt;0,SUM(($C$11:C171&lt;&gt;0)*1),"")</f>
        <v/>
      </c>
      <c r="B171" s="315"/>
      <c r="C171" s="315"/>
      <c r="D171" s="315"/>
      <c r="E171" s="432"/>
      <c r="F171" s="371"/>
      <c r="G171" s="373"/>
      <c r="H171" s="373"/>
      <c r="I171" s="63" t="str">
        <f t="shared" si="136"/>
        <v/>
      </c>
      <c r="J171" s="317">
        <f t="shared" si="92"/>
        <v>0</v>
      </c>
      <c r="K171" s="317">
        <f t="shared" si="93"/>
        <v>0</v>
      </c>
      <c r="L171" s="317">
        <f t="shared" si="94"/>
        <v>0</v>
      </c>
      <c r="M171" s="317">
        <f t="shared" si="95"/>
        <v>0</v>
      </c>
      <c r="N171" s="317">
        <f t="shared" si="130"/>
        <v>0</v>
      </c>
      <c r="O171" s="317">
        <f t="shared" si="131"/>
        <v>0</v>
      </c>
      <c r="P171" s="317">
        <f t="shared" si="96"/>
        <v>0</v>
      </c>
      <c r="Q171" s="317">
        <f t="shared" si="97"/>
        <v>0</v>
      </c>
      <c r="R171" s="317">
        <f t="shared" si="98"/>
        <v>0</v>
      </c>
      <c r="S171" s="317">
        <f t="shared" si="99"/>
        <v>0</v>
      </c>
      <c r="T171" s="317">
        <f t="shared" si="132"/>
        <v>0</v>
      </c>
      <c r="U171" s="317">
        <f t="shared" si="133"/>
        <v>0</v>
      </c>
      <c r="V171" s="317">
        <f t="shared" si="100"/>
        <v>0</v>
      </c>
      <c r="W171" s="317">
        <f t="shared" si="101"/>
        <v>0</v>
      </c>
      <c r="X171" s="317">
        <f t="shared" si="102"/>
        <v>0</v>
      </c>
      <c r="Y171" s="317">
        <f t="shared" si="103"/>
        <v>0</v>
      </c>
      <c r="Z171" s="317">
        <f t="shared" si="104"/>
        <v>0</v>
      </c>
      <c r="AA171" s="317">
        <f t="shared" si="105"/>
        <v>0</v>
      </c>
      <c r="AB171" s="317">
        <f t="shared" si="106"/>
        <v>0</v>
      </c>
      <c r="AC171" s="317">
        <f t="shared" si="107"/>
        <v>0</v>
      </c>
      <c r="AD171" s="317">
        <f t="shared" si="108"/>
        <v>0</v>
      </c>
      <c r="AE171" s="317">
        <f t="shared" si="109"/>
        <v>0</v>
      </c>
      <c r="AF171" s="317">
        <f t="shared" si="134"/>
        <v>0</v>
      </c>
      <c r="AG171" s="317">
        <f t="shared" si="135"/>
        <v>0</v>
      </c>
      <c r="AH171" s="317">
        <f t="shared" si="110"/>
        <v>0</v>
      </c>
      <c r="AI171" s="317">
        <f t="shared" si="111"/>
        <v>0</v>
      </c>
      <c r="AJ171" s="317">
        <f t="shared" si="112"/>
        <v>0</v>
      </c>
      <c r="AK171" s="317">
        <f t="shared" si="113"/>
        <v>0</v>
      </c>
      <c r="AL171" s="317">
        <f t="shared" si="114"/>
        <v>0</v>
      </c>
      <c r="AM171" s="317">
        <f t="shared" si="115"/>
        <v>0</v>
      </c>
      <c r="AN171" s="317">
        <f t="shared" si="116"/>
        <v>0</v>
      </c>
      <c r="AO171" s="317">
        <f t="shared" si="117"/>
        <v>0</v>
      </c>
      <c r="AP171" s="317">
        <f t="shared" si="118"/>
        <v>0</v>
      </c>
      <c r="AQ171" s="317">
        <f t="shared" si="119"/>
        <v>0</v>
      </c>
      <c r="AR171" s="317">
        <f t="shared" si="120"/>
        <v>0</v>
      </c>
      <c r="AS171" s="317">
        <f t="shared" si="121"/>
        <v>0</v>
      </c>
      <c r="AT171" s="317">
        <f t="shared" si="122"/>
        <v>0</v>
      </c>
      <c r="AU171" s="317">
        <f t="shared" si="123"/>
        <v>0</v>
      </c>
      <c r="AV171" s="317">
        <f t="shared" si="124"/>
        <v>0</v>
      </c>
      <c r="AW171" s="317">
        <f t="shared" si="125"/>
        <v>0</v>
      </c>
      <c r="AX171" s="317">
        <f t="shared" si="126"/>
        <v>0</v>
      </c>
      <c r="AY171" s="317">
        <f t="shared" si="127"/>
        <v>0</v>
      </c>
      <c r="AZ171" s="317">
        <f t="shared" si="128"/>
        <v>0</v>
      </c>
      <c r="BA171" s="317">
        <f t="shared" si="129"/>
        <v>0</v>
      </c>
    </row>
    <row r="172" spans="1:53" s="314" customFormat="1" ht="15.75" customHeight="1">
      <c r="A172" s="63" t="str">
        <f t="array" ref="A172">IF(C172&lt;&gt;0,SUM(($C$11:C172&lt;&gt;0)*1),"")</f>
        <v/>
      </c>
      <c r="B172" s="315"/>
      <c r="C172" s="315"/>
      <c r="D172" s="315"/>
      <c r="E172" s="432"/>
      <c r="F172" s="371"/>
      <c r="G172" s="373"/>
      <c r="H172" s="373"/>
      <c r="I172" s="63" t="str">
        <f t="shared" si="136"/>
        <v/>
      </c>
      <c r="J172" s="317">
        <f t="shared" si="92"/>
        <v>0</v>
      </c>
      <c r="K172" s="317">
        <f t="shared" si="93"/>
        <v>0</v>
      </c>
      <c r="L172" s="317">
        <f t="shared" si="94"/>
        <v>0</v>
      </c>
      <c r="M172" s="317">
        <f t="shared" si="95"/>
        <v>0</v>
      </c>
      <c r="N172" s="317">
        <f t="shared" si="130"/>
        <v>0</v>
      </c>
      <c r="O172" s="317">
        <f t="shared" si="131"/>
        <v>0</v>
      </c>
      <c r="P172" s="317">
        <f t="shared" si="96"/>
        <v>0</v>
      </c>
      <c r="Q172" s="317">
        <f t="shared" si="97"/>
        <v>0</v>
      </c>
      <c r="R172" s="317">
        <f t="shared" si="98"/>
        <v>0</v>
      </c>
      <c r="S172" s="317">
        <f t="shared" si="99"/>
        <v>0</v>
      </c>
      <c r="T172" s="317">
        <f t="shared" si="132"/>
        <v>0</v>
      </c>
      <c r="U172" s="317">
        <f t="shared" si="133"/>
        <v>0</v>
      </c>
      <c r="V172" s="317">
        <f t="shared" si="100"/>
        <v>0</v>
      </c>
      <c r="W172" s="317">
        <f t="shared" si="101"/>
        <v>0</v>
      </c>
      <c r="X172" s="317">
        <f t="shared" si="102"/>
        <v>0</v>
      </c>
      <c r="Y172" s="317">
        <f t="shared" si="103"/>
        <v>0</v>
      </c>
      <c r="Z172" s="317">
        <f t="shared" si="104"/>
        <v>0</v>
      </c>
      <c r="AA172" s="317">
        <f t="shared" si="105"/>
        <v>0</v>
      </c>
      <c r="AB172" s="317">
        <f t="shared" si="106"/>
        <v>0</v>
      </c>
      <c r="AC172" s="317">
        <f t="shared" si="107"/>
        <v>0</v>
      </c>
      <c r="AD172" s="317">
        <f t="shared" si="108"/>
        <v>0</v>
      </c>
      <c r="AE172" s="317">
        <f t="shared" si="109"/>
        <v>0</v>
      </c>
      <c r="AF172" s="317">
        <f t="shared" si="134"/>
        <v>0</v>
      </c>
      <c r="AG172" s="317">
        <f t="shared" si="135"/>
        <v>0</v>
      </c>
      <c r="AH172" s="317">
        <f t="shared" si="110"/>
        <v>0</v>
      </c>
      <c r="AI172" s="317">
        <f t="shared" si="111"/>
        <v>0</v>
      </c>
      <c r="AJ172" s="317">
        <f t="shared" si="112"/>
        <v>0</v>
      </c>
      <c r="AK172" s="317">
        <f t="shared" si="113"/>
        <v>0</v>
      </c>
      <c r="AL172" s="317">
        <f t="shared" si="114"/>
        <v>0</v>
      </c>
      <c r="AM172" s="317">
        <f t="shared" si="115"/>
        <v>0</v>
      </c>
      <c r="AN172" s="317">
        <f t="shared" si="116"/>
        <v>0</v>
      </c>
      <c r="AO172" s="317">
        <f t="shared" si="117"/>
        <v>0</v>
      </c>
      <c r="AP172" s="317">
        <f t="shared" si="118"/>
        <v>0</v>
      </c>
      <c r="AQ172" s="317">
        <f t="shared" si="119"/>
        <v>0</v>
      </c>
      <c r="AR172" s="317">
        <f t="shared" si="120"/>
        <v>0</v>
      </c>
      <c r="AS172" s="317">
        <f t="shared" si="121"/>
        <v>0</v>
      </c>
      <c r="AT172" s="317">
        <f t="shared" si="122"/>
        <v>0</v>
      </c>
      <c r="AU172" s="317">
        <f t="shared" si="123"/>
        <v>0</v>
      </c>
      <c r="AV172" s="317">
        <f t="shared" si="124"/>
        <v>0</v>
      </c>
      <c r="AW172" s="317">
        <f t="shared" si="125"/>
        <v>0</v>
      </c>
      <c r="AX172" s="317">
        <f t="shared" si="126"/>
        <v>0</v>
      </c>
      <c r="AY172" s="317">
        <f t="shared" si="127"/>
        <v>0</v>
      </c>
      <c r="AZ172" s="317">
        <f t="shared" si="128"/>
        <v>0</v>
      </c>
      <c r="BA172" s="317">
        <f t="shared" si="129"/>
        <v>0</v>
      </c>
    </row>
    <row r="173" spans="1:53" s="314" customFormat="1" ht="15.75" customHeight="1">
      <c r="A173" s="63" t="str">
        <f t="array" ref="A173">IF(C173&lt;&gt;0,SUM(($C$11:C173&lt;&gt;0)*1),"")</f>
        <v/>
      </c>
      <c r="B173" s="315"/>
      <c r="C173" s="315"/>
      <c r="D173" s="315"/>
      <c r="E173" s="432"/>
      <c r="F173" s="371"/>
      <c r="G173" s="373"/>
      <c r="H173" s="373"/>
      <c r="I173" s="63" t="str">
        <f t="shared" si="136"/>
        <v/>
      </c>
      <c r="J173" s="317">
        <f t="shared" si="92"/>
        <v>0</v>
      </c>
      <c r="K173" s="317">
        <f t="shared" si="93"/>
        <v>0</v>
      </c>
      <c r="L173" s="317">
        <f t="shared" si="94"/>
        <v>0</v>
      </c>
      <c r="M173" s="317">
        <f t="shared" si="95"/>
        <v>0</v>
      </c>
      <c r="N173" s="317">
        <f t="shared" si="130"/>
        <v>0</v>
      </c>
      <c r="O173" s="317">
        <f t="shared" si="131"/>
        <v>0</v>
      </c>
      <c r="P173" s="317">
        <f t="shared" si="96"/>
        <v>0</v>
      </c>
      <c r="Q173" s="317">
        <f t="shared" si="97"/>
        <v>0</v>
      </c>
      <c r="R173" s="317">
        <f t="shared" si="98"/>
        <v>0</v>
      </c>
      <c r="S173" s="317">
        <f t="shared" si="99"/>
        <v>0</v>
      </c>
      <c r="T173" s="317">
        <f t="shared" si="132"/>
        <v>0</v>
      </c>
      <c r="U173" s="317">
        <f t="shared" si="133"/>
        <v>0</v>
      </c>
      <c r="V173" s="317">
        <f t="shared" si="100"/>
        <v>0</v>
      </c>
      <c r="W173" s="317">
        <f t="shared" si="101"/>
        <v>0</v>
      </c>
      <c r="X173" s="317">
        <f t="shared" si="102"/>
        <v>0</v>
      </c>
      <c r="Y173" s="317">
        <f t="shared" si="103"/>
        <v>0</v>
      </c>
      <c r="Z173" s="317">
        <f t="shared" si="104"/>
        <v>0</v>
      </c>
      <c r="AA173" s="317">
        <f t="shared" si="105"/>
        <v>0</v>
      </c>
      <c r="AB173" s="317">
        <f t="shared" si="106"/>
        <v>0</v>
      </c>
      <c r="AC173" s="317">
        <f t="shared" si="107"/>
        <v>0</v>
      </c>
      <c r="AD173" s="317">
        <f t="shared" si="108"/>
        <v>0</v>
      </c>
      <c r="AE173" s="317">
        <f t="shared" si="109"/>
        <v>0</v>
      </c>
      <c r="AF173" s="317">
        <f t="shared" si="134"/>
        <v>0</v>
      </c>
      <c r="AG173" s="317">
        <f t="shared" si="135"/>
        <v>0</v>
      </c>
      <c r="AH173" s="317">
        <f t="shared" si="110"/>
        <v>0</v>
      </c>
      <c r="AI173" s="317">
        <f t="shared" si="111"/>
        <v>0</v>
      </c>
      <c r="AJ173" s="317">
        <f t="shared" si="112"/>
        <v>0</v>
      </c>
      <c r="AK173" s="317">
        <f t="shared" si="113"/>
        <v>0</v>
      </c>
      <c r="AL173" s="317">
        <f t="shared" si="114"/>
        <v>0</v>
      </c>
      <c r="AM173" s="317">
        <f t="shared" si="115"/>
        <v>0</v>
      </c>
      <c r="AN173" s="317">
        <f t="shared" si="116"/>
        <v>0</v>
      </c>
      <c r="AO173" s="317">
        <f t="shared" si="117"/>
        <v>0</v>
      </c>
      <c r="AP173" s="317">
        <f t="shared" si="118"/>
        <v>0</v>
      </c>
      <c r="AQ173" s="317">
        <f t="shared" si="119"/>
        <v>0</v>
      </c>
      <c r="AR173" s="317">
        <f t="shared" si="120"/>
        <v>0</v>
      </c>
      <c r="AS173" s="317">
        <f t="shared" si="121"/>
        <v>0</v>
      </c>
      <c r="AT173" s="317">
        <f t="shared" si="122"/>
        <v>0</v>
      </c>
      <c r="AU173" s="317">
        <f t="shared" si="123"/>
        <v>0</v>
      </c>
      <c r="AV173" s="317">
        <f t="shared" si="124"/>
        <v>0</v>
      </c>
      <c r="AW173" s="317">
        <f t="shared" si="125"/>
        <v>0</v>
      </c>
      <c r="AX173" s="317">
        <f t="shared" si="126"/>
        <v>0</v>
      </c>
      <c r="AY173" s="317">
        <f t="shared" si="127"/>
        <v>0</v>
      </c>
      <c r="AZ173" s="317">
        <f t="shared" si="128"/>
        <v>0</v>
      </c>
      <c r="BA173" s="317">
        <f t="shared" si="129"/>
        <v>0</v>
      </c>
    </row>
    <row r="174" spans="1:53" s="314" customFormat="1" ht="15.75" customHeight="1">
      <c r="A174" s="63" t="str">
        <f t="array" ref="A174">IF(C174&lt;&gt;0,SUM(($C$11:C174&lt;&gt;0)*1),"")</f>
        <v/>
      </c>
      <c r="B174" s="315"/>
      <c r="C174" s="315"/>
      <c r="D174" s="315"/>
      <c r="E174" s="432"/>
      <c r="F174" s="371"/>
      <c r="G174" s="373"/>
      <c r="H174" s="373"/>
      <c r="I174" s="63" t="str">
        <f t="shared" si="136"/>
        <v/>
      </c>
      <c r="J174" s="317">
        <f t="shared" si="92"/>
        <v>0</v>
      </c>
      <c r="K174" s="317">
        <f t="shared" si="93"/>
        <v>0</v>
      </c>
      <c r="L174" s="317">
        <f t="shared" si="94"/>
        <v>0</v>
      </c>
      <c r="M174" s="317">
        <f t="shared" si="95"/>
        <v>0</v>
      </c>
      <c r="N174" s="317">
        <f t="shared" si="130"/>
        <v>0</v>
      </c>
      <c r="O174" s="317">
        <f t="shared" si="131"/>
        <v>0</v>
      </c>
      <c r="P174" s="317">
        <f t="shared" si="96"/>
        <v>0</v>
      </c>
      <c r="Q174" s="317">
        <f t="shared" si="97"/>
        <v>0</v>
      </c>
      <c r="R174" s="317">
        <f t="shared" si="98"/>
        <v>0</v>
      </c>
      <c r="S174" s="317">
        <f t="shared" si="99"/>
        <v>0</v>
      </c>
      <c r="T174" s="317">
        <f t="shared" si="132"/>
        <v>0</v>
      </c>
      <c r="U174" s="317">
        <f t="shared" si="133"/>
        <v>0</v>
      </c>
      <c r="V174" s="317">
        <f t="shared" si="100"/>
        <v>0</v>
      </c>
      <c r="W174" s="317">
        <f t="shared" si="101"/>
        <v>0</v>
      </c>
      <c r="X174" s="317">
        <f t="shared" si="102"/>
        <v>0</v>
      </c>
      <c r="Y174" s="317">
        <f t="shared" si="103"/>
        <v>0</v>
      </c>
      <c r="Z174" s="317">
        <f t="shared" si="104"/>
        <v>0</v>
      </c>
      <c r="AA174" s="317">
        <f t="shared" si="105"/>
        <v>0</v>
      </c>
      <c r="AB174" s="317">
        <f t="shared" si="106"/>
        <v>0</v>
      </c>
      <c r="AC174" s="317">
        <f t="shared" si="107"/>
        <v>0</v>
      </c>
      <c r="AD174" s="317">
        <f t="shared" si="108"/>
        <v>0</v>
      </c>
      <c r="AE174" s="317">
        <f t="shared" si="109"/>
        <v>0</v>
      </c>
      <c r="AF174" s="317">
        <f t="shared" si="134"/>
        <v>0</v>
      </c>
      <c r="AG174" s="317">
        <f t="shared" si="135"/>
        <v>0</v>
      </c>
      <c r="AH174" s="317">
        <f t="shared" si="110"/>
        <v>0</v>
      </c>
      <c r="AI174" s="317">
        <f t="shared" si="111"/>
        <v>0</v>
      </c>
      <c r="AJ174" s="317">
        <f t="shared" si="112"/>
        <v>0</v>
      </c>
      <c r="AK174" s="317">
        <f t="shared" si="113"/>
        <v>0</v>
      </c>
      <c r="AL174" s="317">
        <f t="shared" si="114"/>
        <v>0</v>
      </c>
      <c r="AM174" s="317">
        <f t="shared" si="115"/>
        <v>0</v>
      </c>
      <c r="AN174" s="317">
        <f t="shared" si="116"/>
        <v>0</v>
      </c>
      <c r="AO174" s="317">
        <f t="shared" si="117"/>
        <v>0</v>
      </c>
      <c r="AP174" s="317">
        <f t="shared" si="118"/>
        <v>0</v>
      </c>
      <c r="AQ174" s="317">
        <f t="shared" si="119"/>
        <v>0</v>
      </c>
      <c r="AR174" s="317">
        <f t="shared" si="120"/>
        <v>0</v>
      </c>
      <c r="AS174" s="317">
        <f t="shared" si="121"/>
        <v>0</v>
      </c>
      <c r="AT174" s="317">
        <f t="shared" si="122"/>
        <v>0</v>
      </c>
      <c r="AU174" s="317">
        <f t="shared" si="123"/>
        <v>0</v>
      </c>
      <c r="AV174" s="317">
        <f t="shared" si="124"/>
        <v>0</v>
      </c>
      <c r="AW174" s="317">
        <f t="shared" si="125"/>
        <v>0</v>
      </c>
      <c r="AX174" s="317">
        <f t="shared" si="126"/>
        <v>0</v>
      </c>
      <c r="AY174" s="317">
        <f t="shared" si="127"/>
        <v>0</v>
      </c>
      <c r="AZ174" s="317">
        <f t="shared" si="128"/>
        <v>0</v>
      </c>
      <c r="BA174" s="317">
        <f t="shared" si="129"/>
        <v>0</v>
      </c>
    </row>
    <row r="175" spans="1:53" s="314" customFormat="1" ht="15.75" customHeight="1">
      <c r="A175" s="63" t="str">
        <f t="array" ref="A175">IF(C175&lt;&gt;0,SUM(($C$11:C175&lt;&gt;0)*1),"")</f>
        <v/>
      </c>
      <c r="B175" s="315"/>
      <c r="C175" s="315"/>
      <c r="D175" s="315"/>
      <c r="E175" s="432"/>
      <c r="F175" s="371"/>
      <c r="G175" s="373"/>
      <c r="H175" s="373"/>
      <c r="I175" s="63" t="str">
        <f t="shared" si="136"/>
        <v/>
      </c>
      <c r="J175" s="317">
        <f t="shared" si="92"/>
        <v>0</v>
      </c>
      <c r="K175" s="317">
        <f t="shared" si="93"/>
        <v>0</v>
      </c>
      <c r="L175" s="317">
        <f t="shared" si="94"/>
        <v>0</v>
      </c>
      <c r="M175" s="317">
        <f t="shared" si="95"/>
        <v>0</v>
      </c>
      <c r="N175" s="317">
        <f t="shared" si="130"/>
        <v>0</v>
      </c>
      <c r="O175" s="317">
        <f t="shared" si="131"/>
        <v>0</v>
      </c>
      <c r="P175" s="317">
        <f t="shared" si="96"/>
        <v>0</v>
      </c>
      <c r="Q175" s="317">
        <f t="shared" si="97"/>
        <v>0</v>
      </c>
      <c r="R175" s="317">
        <f t="shared" si="98"/>
        <v>0</v>
      </c>
      <c r="S175" s="317">
        <f t="shared" si="99"/>
        <v>0</v>
      </c>
      <c r="T175" s="317">
        <f t="shared" si="132"/>
        <v>0</v>
      </c>
      <c r="U175" s="317">
        <f t="shared" si="133"/>
        <v>0</v>
      </c>
      <c r="V175" s="317">
        <f t="shared" si="100"/>
        <v>0</v>
      </c>
      <c r="W175" s="317">
        <f t="shared" si="101"/>
        <v>0</v>
      </c>
      <c r="X175" s="317">
        <f t="shared" si="102"/>
        <v>0</v>
      </c>
      <c r="Y175" s="317">
        <f t="shared" si="103"/>
        <v>0</v>
      </c>
      <c r="Z175" s="317">
        <f t="shared" si="104"/>
        <v>0</v>
      </c>
      <c r="AA175" s="317">
        <f t="shared" si="105"/>
        <v>0</v>
      </c>
      <c r="AB175" s="317">
        <f t="shared" si="106"/>
        <v>0</v>
      </c>
      <c r="AC175" s="317">
        <f t="shared" si="107"/>
        <v>0</v>
      </c>
      <c r="AD175" s="317">
        <f t="shared" si="108"/>
        <v>0</v>
      </c>
      <c r="AE175" s="317">
        <f t="shared" si="109"/>
        <v>0</v>
      </c>
      <c r="AF175" s="317">
        <f t="shared" si="134"/>
        <v>0</v>
      </c>
      <c r="AG175" s="317">
        <f t="shared" si="135"/>
        <v>0</v>
      </c>
      <c r="AH175" s="317">
        <f t="shared" si="110"/>
        <v>0</v>
      </c>
      <c r="AI175" s="317">
        <f t="shared" si="111"/>
        <v>0</v>
      </c>
      <c r="AJ175" s="317">
        <f t="shared" si="112"/>
        <v>0</v>
      </c>
      <c r="AK175" s="317">
        <f t="shared" si="113"/>
        <v>0</v>
      </c>
      <c r="AL175" s="317">
        <f t="shared" si="114"/>
        <v>0</v>
      </c>
      <c r="AM175" s="317">
        <f t="shared" si="115"/>
        <v>0</v>
      </c>
      <c r="AN175" s="317">
        <f t="shared" si="116"/>
        <v>0</v>
      </c>
      <c r="AO175" s="317">
        <f t="shared" si="117"/>
        <v>0</v>
      </c>
      <c r="AP175" s="317">
        <f t="shared" si="118"/>
        <v>0</v>
      </c>
      <c r="AQ175" s="317">
        <f t="shared" si="119"/>
        <v>0</v>
      </c>
      <c r="AR175" s="317">
        <f t="shared" si="120"/>
        <v>0</v>
      </c>
      <c r="AS175" s="317">
        <f t="shared" si="121"/>
        <v>0</v>
      </c>
      <c r="AT175" s="317">
        <f t="shared" si="122"/>
        <v>0</v>
      </c>
      <c r="AU175" s="317">
        <f t="shared" si="123"/>
        <v>0</v>
      </c>
      <c r="AV175" s="317">
        <f t="shared" si="124"/>
        <v>0</v>
      </c>
      <c r="AW175" s="317">
        <f t="shared" si="125"/>
        <v>0</v>
      </c>
      <c r="AX175" s="317">
        <f t="shared" si="126"/>
        <v>0</v>
      </c>
      <c r="AY175" s="317">
        <f t="shared" si="127"/>
        <v>0</v>
      </c>
      <c r="AZ175" s="317">
        <f t="shared" si="128"/>
        <v>0</v>
      </c>
      <c r="BA175" s="317">
        <f t="shared" si="129"/>
        <v>0</v>
      </c>
    </row>
    <row r="176" spans="1:53" s="314" customFormat="1" ht="15.75" customHeight="1">
      <c r="A176" s="63" t="str">
        <f t="array" ref="A176">IF(C176&lt;&gt;0,SUM(($C$11:C176&lt;&gt;0)*1),"")</f>
        <v/>
      </c>
      <c r="B176" s="315"/>
      <c r="C176" s="315"/>
      <c r="D176" s="315"/>
      <c r="E176" s="432"/>
      <c r="F176" s="371"/>
      <c r="G176" s="373"/>
      <c r="H176" s="373"/>
      <c r="I176" s="63" t="str">
        <f>A176</f>
        <v/>
      </c>
      <c r="J176" s="317">
        <f t="shared" si="92"/>
        <v>0</v>
      </c>
      <c r="K176" s="317">
        <f t="shared" si="93"/>
        <v>0</v>
      </c>
      <c r="L176" s="317">
        <f t="shared" si="94"/>
        <v>0</v>
      </c>
      <c r="M176" s="317">
        <f t="shared" si="95"/>
        <v>0</v>
      </c>
      <c r="N176" s="317">
        <f t="shared" si="130"/>
        <v>0</v>
      </c>
      <c r="O176" s="317">
        <f t="shared" si="131"/>
        <v>0</v>
      </c>
      <c r="P176" s="317">
        <f t="shared" si="96"/>
        <v>0</v>
      </c>
      <c r="Q176" s="317">
        <f t="shared" si="97"/>
        <v>0</v>
      </c>
      <c r="R176" s="317">
        <f t="shared" si="98"/>
        <v>0</v>
      </c>
      <c r="S176" s="317">
        <f t="shared" si="99"/>
        <v>0</v>
      </c>
      <c r="T176" s="317">
        <f t="shared" si="132"/>
        <v>0</v>
      </c>
      <c r="U176" s="317">
        <f t="shared" si="133"/>
        <v>0</v>
      </c>
      <c r="V176" s="317">
        <f t="shared" si="100"/>
        <v>0</v>
      </c>
      <c r="W176" s="317">
        <f t="shared" si="101"/>
        <v>0</v>
      </c>
      <c r="X176" s="317">
        <f t="shared" si="102"/>
        <v>0</v>
      </c>
      <c r="Y176" s="317">
        <f t="shared" si="103"/>
        <v>0</v>
      </c>
      <c r="Z176" s="317">
        <f t="shared" si="104"/>
        <v>0</v>
      </c>
      <c r="AA176" s="317">
        <f t="shared" si="105"/>
        <v>0</v>
      </c>
      <c r="AB176" s="317">
        <f t="shared" si="106"/>
        <v>0</v>
      </c>
      <c r="AC176" s="317">
        <f t="shared" si="107"/>
        <v>0</v>
      </c>
      <c r="AD176" s="317">
        <f t="shared" si="108"/>
        <v>0</v>
      </c>
      <c r="AE176" s="317">
        <f t="shared" si="109"/>
        <v>0</v>
      </c>
      <c r="AF176" s="317">
        <f t="shared" si="134"/>
        <v>0</v>
      </c>
      <c r="AG176" s="317">
        <f t="shared" si="135"/>
        <v>0</v>
      </c>
      <c r="AH176" s="317">
        <f t="shared" si="110"/>
        <v>0</v>
      </c>
      <c r="AI176" s="317">
        <f t="shared" si="111"/>
        <v>0</v>
      </c>
      <c r="AJ176" s="317">
        <f t="shared" si="112"/>
        <v>0</v>
      </c>
      <c r="AK176" s="317">
        <f t="shared" si="113"/>
        <v>0</v>
      </c>
      <c r="AL176" s="317">
        <f t="shared" si="114"/>
        <v>0</v>
      </c>
      <c r="AM176" s="317">
        <f t="shared" si="115"/>
        <v>0</v>
      </c>
      <c r="AN176" s="317">
        <f t="shared" si="116"/>
        <v>0</v>
      </c>
      <c r="AO176" s="317">
        <f t="shared" si="117"/>
        <v>0</v>
      </c>
      <c r="AP176" s="317">
        <f t="shared" si="118"/>
        <v>0</v>
      </c>
      <c r="AQ176" s="317">
        <f t="shared" si="119"/>
        <v>0</v>
      </c>
      <c r="AR176" s="317">
        <f t="shared" si="120"/>
        <v>0</v>
      </c>
      <c r="AS176" s="317">
        <f t="shared" si="121"/>
        <v>0</v>
      </c>
      <c r="AT176" s="317">
        <f t="shared" si="122"/>
        <v>0</v>
      </c>
      <c r="AU176" s="317">
        <f t="shared" si="123"/>
        <v>0</v>
      </c>
      <c r="AV176" s="317">
        <f t="shared" si="124"/>
        <v>0</v>
      </c>
      <c r="AW176" s="317">
        <f t="shared" si="125"/>
        <v>0</v>
      </c>
      <c r="AX176" s="317">
        <f t="shared" si="126"/>
        <v>0</v>
      </c>
      <c r="AY176" s="317">
        <f t="shared" si="127"/>
        <v>0</v>
      </c>
      <c r="AZ176" s="317">
        <f t="shared" si="128"/>
        <v>0</v>
      </c>
      <c r="BA176" s="317">
        <f t="shared" si="129"/>
        <v>0</v>
      </c>
    </row>
    <row r="177" spans="1:53" s="314" customFormat="1" ht="15.75" customHeight="1">
      <c r="A177" s="63" t="str">
        <f t="array" ref="A177">IF(C177&lt;&gt;0,SUM(($C$11:C177&lt;&gt;0)*1),"")</f>
        <v/>
      </c>
      <c r="B177" s="315"/>
      <c r="C177" s="315"/>
      <c r="D177" s="315"/>
      <c r="E177" s="432"/>
      <c r="F177" s="371"/>
      <c r="G177" s="373"/>
      <c r="H177" s="373"/>
      <c r="I177" s="63" t="str">
        <f t="shared" ref="I177:I230" si="137">A177</f>
        <v/>
      </c>
      <c r="J177" s="317">
        <f t="shared" si="92"/>
        <v>0</v>
      </c>
      <c r="K177" s="317">
        <f t="shared" si="93"/>
        <v>0</v>
      </c>
      <c r="L177" s="317">
        <f t="shared" si="94"/>
        <v>0</v>
      </c>
      <c r="M177" s="317">
        <f t="shared" si="95"/>
        <v>0</v>
      </c>
      <c r="N177" s="317">
        <f t="shared" si="130"/>
        <v>0</v>
      </c>
      <c r="O177" s="317">
        <f t="shared" si="131"/>
        <v>0</v>
      </c>
      <c r="P177" s="317">
        <f t="shared" si="96"/>
        <v>0</v>
      </c>
      <c r="Q177" s="317">
        <f t="shared" si="97"/>
        <v>0</v>
      </c>
      <c r="R177" s="317">
        <f t="shared" si="98"/>
        <v>0</v>
      </c>
      <c r="S177" s="317">
        <f t="shared" si="99"/>
        <v>0</v>
      </c>
      <c r="T177" s="317">
        <f t="shared" si="132"/>
        <v>0</v>
      </c>
      <c r="U177" s="317">
        <f t="shared" si="133"/>
        <v>0</v>
      </c>
      <c r="V177" s="317">
        <f t="shared" si="100"/>
        <v>0</v>
      </c>
      <c r="W177" s="317">
        <f t="shared" si="101"/>
        <v>0</v>
      </c>
      <c r="X177" s="317">
        <f t="shared" si="102"/>
        <v>0</v>
      </c>
      <c r="Y177" s="317">
        <f t="shared" si="103"/>
        <v>0</v>
      </c>
      <c r="Z177" s="317">
        <f t="shared" si="104"/>
        <v>0</v>
      </c>
      <c r="AA177" s="317">
        <f t="shared" si="105"/>
        <v>0</v>
      </c>
      <c r="AB177" s="317">
        <f t="shared" si="106"/>
        <v>0</v>
      </c>
      <c r="AC177" s="317">
        <f t="shared" si="107"/>
        <v>0</v>
      </c>
      <c r="AD177" s="317">
        <f t="shared" si="108"/>
        <v>0</v>
      </c>
      <c r="AE177" s="317">
        <f t="shared" si="109"/>
        <v>0</v>
      </c>
      <c r="AF177" s="317">
        <f t="shared" si="134"/>
        <v>0</v>
      </c>
      <c r="AG177" s="317">
        <f t="shared" si="135"/>
        <v>0</v>
      </c>
      <c r="AH177" s="317">
        <f t="shared" si="110"/>
        <v>0</v>
      </c>
      <c r="AI177" s="317">
        <f t="shared" si="111"/>
        <v>0</v>
      </c>
      <c r="AJ177" s="317">
        <f t="shared" si="112"/>
        <v>0</v>
      </c>
      <c r="AK177" s="317">
        <f t="shared" si="113"/>
        <v>0</v>
      </c>
      <c r="AL177" s="317">
        <f t="shared" si="114"/>
        <v>0</v>
      </c>
      <c r="AM177" s="317">
        <f t="shared" si="115"/>
        <v>0</v>
      </c>
      <c r="AN177" s="317">
        <f t="shared" si="116"/>
        <v>0</v>
      </c>
      <c r="AO177" s="317">
        <f t="shared" si="117"/>
        <v>0</v>
      </c>
      <c r="AP177" s="317">
        <f t="shared" si="118"/>
        <v>0</v>
      </c>
      <c r="AQ177" s="317">
        <f t="shared" si="119"/>
        <v>0</v>
      </c>
      <c r="AR177" s="317">
        <f t="shared" si="120"/>
        <v>0</v>
      </c>
      <c r="AS177" s="317">
        <f t="shared" si="121"/>
        <v>0</v>
      </c>
      <c r="AT177" s="317">
        <f t="shared" si="122"/>
        <v>0</v>
      </c>
      <c r="AU177" s="317">
        <f t="shared" si="123"/>
        <v>0</v>
      </c>
      <c r="AV177" s="317">
        <f t="shared" si="124"/>
        <v>0</v>
      </c>
      <c r="AW177" s="317">
        <f t="shared" si="125"/>
        <v>0</v>
      </c>
      <c r="AX177" s="317">
        <f t="shared" si="126"/>
        <v>0</v>
      </c>
      <c r="AY177" s="317">
        <f t="shared" si="127"/>
        <v>0</v>
      </c>
      <c r="AZ177" s="317">
        <f t="shared" si="128"/>
        <v>0</v>
      </c>
      <c r="BA177" s="317">
        <f t="shared" si="129"/>
        <v>0</v>
      </c>
    </row>
    <row r="178" spans="1:53" s="314" customFormat="1" ht="15.75" customHeight="1">
      <c r="A178" s="63" t="str">
        <f t="array" ref="A178">IF(C178&lt;&gt;0,SUM(($C$11:C178&lt;&gt;0)*1),"")</f>
        <v/>
      </c>
      <c r="B178" s="315"/>
      <c r="C178" s="315"/>
      <c r="D178" s="315"/>
      <c r="E178" s="432"/>
      <c r="F178" s="371"/>
      <c r="G178" s="373"/>
      <c r="H178" s="373"/>
      <c r="I178" s="63" t="str">
        <f t="shared" si="137"/>
        <v/>
      </c>
      <c r="J178" s="317">
        <f t="shared" si="92"/>
        <v>0</v>
      </c>
      <c r="K178" s="317">
        <f t="shared" si="93"/>
        <v>0</v>
      </c>
      <c r="L178" s="317">
        <f t="shared" si="94"/>
        <v>0</v>
      </c>
      <c r="M178" s="317">
        <f t="shared" si="95"/>
        <v>0</v>
      </c>
      <c r="N178" s="317">
        <f t="shared" si="130"/>
        <v>0</v>
      </c>
      <c r="O178" s="317">
        <f t="shared" si="131"/>
        <v>0</v>
      </c>
      <c r="P178" s="317">
        <f t="shared" si="96"/>
        <v>0</v>
      </c>
      <c r="Q178" s="317">
        <f t="shared" si="97"/>
        <v>0</v>
      </c>
      <c r="R178" s="317">
        <f t="shared" si="98"/>
        <v>0</v>
      </c>
      <c r="S178" s="317">
        <f t="shared" si="99"/>
        <v>0</v>
      </c>
      <c r="T178" s="317">
        <f t="shared" si="132"/>
        <v>0</v>
      </c>
      <c r="U178" s="317">
        <f t="shared" si="133"/>
        <v>0</v>
      </c>
      <c r="V178" s="317">
        <f t="shared" si="100"/>
        <v>0</v>
      </c>
      <c r="W178" s="317">
        <f t="shared" si="101"/>
        <v>0</v>
      </c>
      <c r="X178" s="317">
        <f t="shared" si="102"/>
        <v>0</v>
      </c>
      <c r="Y178" s="317">
        <f t="shared" si="103"/>
        <v>0</v>
      </c>
      <c r="Z178" s="317">
        <f t="shared" si="104"/>
        <v>0</v>
      </c>
      <c r="AA178" s="317">
        <f t="shared" si="105"/>
        <v>0</v>
      </c>
      <c r="AB178" s="317">
        <f t="shared" si="106"/>
        <v>0</v>
      </c>
      <c r="AC178" s="317">
        <f t="shared" si="107"/>
        <v>0</v>
      </c>
      <c r="AD178" s="317">
        <f t="shared" si="108"/>
        <v>0</v>
      </c>
      <c r="AE178" s="317">
        <f t="shared" si="109"/>
        <v>0</v>
      </c>
      <c r="AF178" s="317">
        <f t="shared" si="134"/>
        <v>0</v>
      </c>
      <c r="AG178" s="317">
        <f t="shared" si="135"/>
        <v>0</v>
      </c>
      <c r="AH178" s="317">
        <f t="shared" si="110"/>
        <v>0</v>
      </c>
      <c r="AI178" s="317">
        <f t="shared" si="111"/>
        <v>0</v>
      </c>
      <c r="AJ178" s="317">
        <f t="shared" si="112"/>
        <v>0</v>
      </c>
      <c r="AK178" s="317">
        <f t="shared" si="113"/>
        <v>0</v>
      </c>
      <c r="AL178" s="317">
        <f t="shared" si="114"/>
        <v>0</v>
      </c>
      <c r="AM178" s="317">
        <f t="shared" si="115"/>
        <v>0</v>
      </c>
      <c r="AN178" s="317">
        <f t="shared" si="116"/>
        <v>0</v>
      </c>
      <c r="AO178" s="317">
        <f t="shared" si="117"/>
        <v>0</v>
      </c>
      <c r="AP178" s="317">
        <f t="shared" si="118"/>
        <v>0</v>
      </c>
      <c r="AQ178" s="317">
        <f t="shared" si="119"/>
        <v>0</v>
      </c>
      <c r="AR178" s="317">
        <f t="shared" si="120"/>
        <v>0</v>
      </c>
      <c r="AS178" s="317">
        <f t="shared" si="121"/>
        <v>0</v>
      </c>
      <c r="AT178" s="317">
        <f t="shared" si="122"/>
        <v>0</v>
      </c>
      <c r="AU178" s="317">
        <f t="shared" si="123"/>
        <v>0</v>
      </c>
      <c r="AV178" s="317">
        <f t="shared" si="124"/>
        <v>0</v>
      </c>
      <c r="AW178" s="317">
        <f t="shared" si="125"/>
        <v>0</v>
      </c>
      <c r="AX178" s="317">
        <f t="shared" si="126"/>
        <v>0</v>
      </c>
      <c r="AY178" s="317">
        <f t="shared" si="127"/>
        <v>0</v>
      </c>
      <c r="AZ178" s="317">
        <f t="shared" si="128"/>
        <v>0</v>
      </c>
      <c r="BA178" s="317">
        <f t="shared" si="129"/>
        <v>0</v>
      </c>
    </row>
    <row r="179" spans="1:53" s="314" customFormat="1" ht="15.75" customHeight="1">
      <c r="A179" s="63" t="str">
        <f t="array" ref="A179">IF(C179&lt;&gt;0,SUM(($C$11:C179&lt;&gt;0)*1),"")</f>
        <v/>
      </c>
      <c r="B179" s="315"/>
      <c r="C179" s="315"/>
      <c r="D179" s="315"/>
      <c r="E179" s="432"/>
      <c r="F179" s="371"/>
      <c r="G179" s="373"/>
      <c r="H179" s="373"/>
      <c r="I179" s="63" t="str">
        <f t="shared" si="137"/>
        <v/>
      </c>
      <c r="J179" s="317">
        <f t="shared" si="92"/>
        <v>0</v>
      </c>
      <c r="K179" s="317">
        <f t="shared" si="93"/>
        <v>0</v>
      </c>
      <c r="L179" s="317">
        <f t="shared" si="94"/>
        <v>0</v>
      </c>
      <c r="M179" s="317">
        <f t="shared" si="95"/>
        <v>0</v>
      </c>
      <c r="N179" s="317">
        <f t="shared" si="130"/>
        <v>0</v>
      </c>
      <c r="O179" s="317">
        <f t="shared" si="131"/>
        <v>0</v>
      </c>
      <c r="P179" s="317">
        <f t="shared" si="96"/>
        <v>0</v>
      </c>
      <c r="Q179" s="317">
        <f t="shared" si="97"/>
        <v>0</v>
      </c>
      <c r="R179" s="317">
        <f t="shared" si="98"/>
        <v>0</v>
      </c>
      <c r="S179" s="317">
        <f t="shared" si="99"/>
        <v>0</v>
      </c>
      <c r="T179" s="317">
        <f t="shared" si="132"/>
        <v>0</v>
      </c>
      <c r="U179" s="317">
        <f t="shared" si="133"/>
        <v>0</v>
      </c>
      <c r="V179" s="317">
        <f t="shared" si="100"/>
        <v>0</v>
      </c>
      <c r="W179" s="317">
        <f t="shared" si="101"/>
        <v>0</v>
      </c>
      <c r="X179" s="317">
        <f t="shared" si="102"/>
        <v>0</v>
      </c>
      <c r="Y179" s="317">
        <f t="shared" si="103"/>
        <v>0</v>
      </c>
      <c r="Z179" s="317">
        <f t="shared" si="104"/>
        <v>0</v>
      </c>
      <c r="AA179" s="317">
        <f t="shared" si="105"/>
        <v>0</v>
      </c>
      <c r="AB179" s="317">
        <f t="shared" si="106"/>
        <v>0</v>
      </c>
      <c r="AC179" s="317">
        <f t="shared" si="107"/>
        <v>0</v>
      </c>
      <c r="AD179" s="317">
        <f t="shared" si="108"/>
        <v>0</v>
      </c>
      <c r="AE179" s="317">
        <f t="shared" si="109"/>
        <v>0</v>
      </c>
      <c r="AF179" s="317">
        <f t="shared" si="134"/>
        <v>0</v>
      </c>
      <c r="AG179" s="317">
        <f t="shared" si="135"/>
        <v>0</v>
      </c>
      <c r="AH179" s="317">
        <f t="shared" si="110"/>
        <v>0</v>
      </c>
      <c r="AI179" s="317">
        <f t="shared" si="111"/>
        <v>0</v>
      </c>
      <c r="AJ179" s="317">
        <f t="shared" si="112"/>
        <v>0</v>
      </c>
      <c r="AK179" s="317">
        <f t="shared" si="113"/>
        <v>0</v>
      </c>
      <c r="AL179" s="317">
        <f t="shared" si="114"/>
        <v>0</v>
      </c>
      <c r="AM179" s="317">
        <f t="shared" si="115"/>
        <v>0</v>
      </c>
      <c r="AN179" s="317">
        <f t="shared" si="116"/>
        <v>0</v>
      </c>
      <c r="AO179" s="317">
        <f t="shared" si="117"/>
        <v>0</v>
      </c>
      <c r="AP179" s="317">
        <f t="shared" si="118"/>
        <v>0</v>
      </c>
      <c r="AQ179" s="317">
        <f t="shared" si="119"/>
        <v>0</v>
      </c>
      <c r="AR179" s="317">
        <f t="shared" si="120"/>
        <v>0</v>
      </c>
      <c r="AS179" s="317">
        <f t="shared" si="121"/>
        <v>0</v>
      </c>
      <c r="AT179" s="317">
        <f t="shared" si="122"/>
        <v>0</v>
      </c>
      <c r="AU179" s="317">
        <f t="shared" si="123"/>
        <v>0</v>
      </c>
      <c r="AV179" s="317">
        <f t="shared" si="124"/>
        <v>0</v>
      </c>
      <c r="AW179" s="317">
        <f t="shared" si="125"/>
        <v>0</v>
      </c>
      <c r="AX179" s="317">
        <f t="shared" si="126"/>
        <v>0</v>
      </c>
      <c r="AY179" s="317">
        <f t="shared" si="127"/>
        <v>0</v>
      </c>
      <c r="AZ179" s="317">
        <f t="shared" si="128"/>
        <v>0</v>
      </c>
      <c r="BA179" s="317">
        <f t="shared" si="129"/>
        <v>0</v>
      </c>
    </row>
    <row r="180" spans="1:53" s="314" customFormat="1" ht="15.75" customHeight="1">
      <c r="A180" s="63" t="str">
        <f t="array" ref="A180">IF(C180&lt;&gt;0,SUM(($C$11:C180&lt;&gt;0)*1),"")</f>
        <v/>
      </c>
      <c r="B180" s="315"/>
      <c r="C180" s="315"/>
      <c r="D180" s="315"/>
      <c r="E180" s="432"/>
      <c r="F180" s="371"/>
      <c r="G180" s="373"/>
      <c r="H180" s="373"/>
      <c r="I180" s="63" t="str">
        <f t="shared" si="137"/>
        <v/>
      </c>
      <c r="J180" s="317">
        <f t="shared" si="92"/>
        <v>0</v>
      </c>
      <c r="K180" s="317">
        <f t="shared" si="93"/>
        <v>0</v>
      </c>
      <c r="L180" s="317">
        <f t="shared" si="94"/>
        <v>0</v>
      </c>
      <c r="M180" s="317">
        <f t="shared" si="95"/>
        <v>0</v>
      </c>
      <c r="N180" s="317">
        <f t="shared" si="130"/>
        <v>0</v>
      </c>
      <c r="O180" s="317">
        <f t="shared" si="131"/>
        <v>0</v>
      </c>
      <c r="P180" s="317">
        <f t="shared" si="96"/>
        <v>0</v>
      </c>
      <c r="Q180" s="317">
        <f t="shared" si="97"/>
        <v>0</v>
      </c>
      <c r="R180" s="317">
        <f t="shared" si="98"/>
        <v>0</v>
      </c>
      <c r="S180" s="317">
        <f t="shared" si="99"/>
        <v>0</v>
      </c>
      <c r="T180" s="317">
        <f t="shared" si="132"/>
        <v>0</v>
      </c>
      <c r="U180" s="317">
        <f t="shared" si="133"/>
        <v>0</v>
      </c>
      <c r="V180" s="317">
        <f t="shared" si="100"/>
        <v>0</v>
      </c>
      <c r="W180" s="317">
        <f t="shared" si="101"/>
        <v>0</v>
      </c>
      <c r="X180" s="317">
        <f t="shared" si="102"/>
        <v>0</v>
      </c>
      <c r="Y180" s="317">
        <f t="shared" si="103"/>
        <v>0</v>
      </c>
      <c r="Z180" s="317">
        <f t="shared" si="104"/>
        <v>0</v>
      </c>
      <c r="AA180" s="317">
        <f t="shared" si="105"/>
        <v>0</v>
      </c>
      <c r="AB180" s="317">
        <f t="shared" si="106"/>
        <v>0</v>
      </c>
      <c r="AC180" s="317">
        <f t="shared" si="107"/>
        <v>0</v>
      </c>
      <c r="AD180" s="317">
        <f t="shared" si="108"/>
        <v>0</v>
      </c>
      <c r="AE180" s="317">
        <f t="shared" si="109"/>
        <v>0</v>
      </c>
      <c r="AF180" s="317">
        <f t="shared" si="134"/>
        <v>0</v>
      </c>
      <c r="AG180" s="317">
        <f t="shared" si="135"/>
        <v>0</v>
      </c>
      <c r="AH180" s="317">
        <f t="shared" si="110"/>
        <v>0</v>
      </c>
      <c r="AI180" s="317">
        <f t="shared" si="111"/>
        <v>0</v>
      </c>
      <c r="AJ180" s="317">
        <f t="shared" si="112"/>
        <v>0</v>
      </c>
      <c r="AK180" s="317">
        <f t="shared" si="113"/>
        <v>0</v>
      </c>
      <c r="AL180" s="317">
        <f t="shared" si="114"/>
        <v>0</v>
      </c>
      <c r="AM180" s="317">
        <f t="shared" si="115"/>
        <v>0</v>
      </c>
      <c r="AN180" s="317">
        <f t="shared" si="116"/>
        <v>0</v>
      </c>
      <c r="AO180" s="317">
        <f t="shared" si="117"/>
        <v>0</v>
      </c>
      <c r="AP180" s="317">
        <f t="shared" si="118"/>
        <v>0</v>
      </c>
      <c r="AQ180" s="317">
        <f t="shared" si="119"/>
        <v>0</v>
      </c>
      <c r="AR180" s="317">
        <f t="shared" si="120"/>
        <v>0</v>
      </c>
      <c r="AS180" s="317">
        <f t="shared" si="121"/>
        <v>0</v>
      </c>
      <c r="AT180" s="317">
        <f t="shared" si="122"/>
        <v>0</v>
      </c>
      <c r="AU180" s="317">
        <f t="shared" si="123"/>
        <v>0</v>
      </c>
      <c r="AV180" s="317">
        <f t="shared" si="124"/>
        <v>0</v>
      </c>
      <c r="AW180" s="317">
        <f t="shared" si="125"/>
        <v>0</v>
      </c>
      <c r="AX180" s="317">
        <f t="shared" si="126"/>
        <v>0</v>
      </c>
      <c r="AY180" s="317">
        <f t="shared" si="127"/>
        <v>0</v>
      </c>
      <c r="AZ180" s="317">
        <f t="shared" si="128"/>
        <v>0</v>
      </c>
      <c r="BA180" s="317">
        <f t="shared" si="129"/>
        <v>0</v>
      </c>
    </row>
    <row r="181" spans="1:53" s="314" customFormat="1" ht="15.75" customHeight="1">
      <c r="A181" s="63" t="str">
        <f t="array" ref="A181">IF(C181&lt;&gt;0,SUM(($C$11:C181&lt;&gt;0)*1),"")</f>
        <v/>
      </c>
      <c r="B181" s="315"/>
      <c r="C181" s="315"/>
      <c r="D181" s="315"/>
      <c r="E181" s="432"/>
      <c r="F181" s="371"/>
      <c r="G181" s="373"/>
      <c r="H181" s="373"/>
      <c r="I181" s="63" t="str">
        <f t="shared" si="137"/>
        <v/>
      </c>
      <c r="J181" s="317">
        <f t="shared" si="92"/>
        <v>0</v>
      </c>
      <c r="K181" s="317">
        <f t="shared" si="93"/>
        <v>0</v>
      </c>
      <c r="L181" s="317">
        <f t="shared" si="94"/>
        <v>0</v>
      </c>
      <c r="M181" s="317">
        <f t="shared" si="95"/>
        <v>0</v>
      </c>
      <c r="N181" s="317">
        <f t="shared" si="130"/>
        <v>0</v>
      </c>
      <c r="O181" s="317">
        <f t="shared" si="131"/>
        <v>0</v>
      </c>
      <c r="P181" s="317">
        <f t="shared" si="96"/>
        <v>0</v>
      </c>
      <c r="Q181" s="317">
        <f t="shared" si="97"/>
        <v>0</v>
      </c>
      <c r="R181" s="317">
        <f t="shared" si="98"/>
        <v>0</v>
      </c>
      <c r="S181" s="317">
        <f t="shared" si="99"/>
        <v>0</v>
      </c>
      <c r="T181" s="317">
        <f t="shared" si="132"/>
        <v>0</v>
      </c>
      <c r="U181" s="317">
        <f t="shared" si="133"/>
        <v>0</v>
      </c>
      <c r="V181" s="317">
        <f t="shared" si="100"/>
        <v>0</v>
      </c>
      <c r="W181" s="317">
        <f t="shared" si="101"/>
        <v>0</v>
      </c>
      <c r="X181" s="317">
        <f t="shared" si="102"/>
        <v>0</v>
      </c>
      <c r="Y181" s="317">
        <f t="shared" si="103"/>
        <v>0</v>
      </c>
      <c r="Z181" s="317">
        <f t="shared" si="104"/>
        <v>0</v>
      </c>
      <c r="AA181" s="317">
        <f t="shared" si="105"/>
        <v>0</v>
      </c>
      <c r="AB181" s="317">
        <f t="shared" si="106"/>
        <v>0</v>
      </c>
      <c r="AC181" s="317">
        <f t="shared" si="107"/>
        <v>0</v>
      </c>
      <c r="AD181" s="317">
        <f t="shared" si="108"/>
        <v>0</v>
      </c>
      <c r="AE181" s="317">
        <f t="shared" si="109"/>
        <v>0</v>
      </c>
      <c r="AF181" s="317">
        <f t="shared" si="134"/>
        <v>0</v>
      </c>
      <c r="AG181" s="317">
        <f t="shared" si="135"/>
        <v>0</v>
      </c>
      <c r="AH181" s="317">
        <f t="shared" si="110"/>
        <v>0</v>
      </c>
      <c r="AI181" s="317">
        <f t="shared" si="111"/>
        <v>0</v>
      </c>
      <c r="AJ181" s="317">
        <f t="shared" si="112"/>
        <v>0</v>
      </c>
      <c r="AK181" s="317">
        <f t="shared" si="113"/>
        <v>0</v>
      </c>
      <c r="AL181" s="317">
        <f t="shared" si="114"/>
        <v>0</v>
      </c>
      <c r="AM181" s="317">
        <f t="shared" si="115"/>
        <v>0</v>
      </c>
      <c r="AN181" s="317">
        <f t="shared" si="116"/>
        <v>0</v>
      </c>
      <c r="AO181" s="317">
        <f t="shared" si="117"/>
        <v>0</v>
      </c>
      <c r="AP181" s="317">
        <f t="shared" si="118"/>
        <v>0</v>
      </c>
      <c r="AQ181" s="317">
        <f t="shared" si="119"/>
        <v>0</v>
      </c>
      <c r="AR181" s="317">
        <f t="shared" si="120"/>
        <v>0</v>
      </c>
      <c r="AS181" s="317">
        <f t="shared" si="121"/>
        <v>0</v>
      </c>
      <c r="AT181" s="317">
        <f t="shared" si="122"/>
        <v>0</v>
      </c>
      <c r="AU181" s="317">
        <f t="shared" si="123"/>
        <v>0</v>
      </c>
      <c r="AV181" s="317">
        <f t="shared" si="124"/>
        <v>0</v>
      </c>
      <c r="AW181" s="317">
        <f t="shared" si="125"/>
        <v>0</v>
      </c>
      <c r="AX181" s="317">
        <f t="shared" si="126"/>
        <v>0</v>
      </c>
      <c r="AY181" s="317">
        <f t="shared" si="127"/>
        <v>0</v>
      </c>
      <c r="AZ181" s="317">
        <f t="shared" si="128"/>
        <v>0</v>
      </c>
      <c r="BA181" s="317">
        <f t="shared" si="129"/>
        <v>0</v>
      </c>
    </row>
    <row r="182" spans="1:53" s="314" customFormat="1" ht="15.75" customHeight="1">
      <c r="A182" s="63" t="str">
        <f t="array" ref="A182">IF(C182&lt;&gt;0,SUM(($C$11:C182&lt;&gt;0)*1),"")</f>
        <v/>
      </c>
      <c r="B182" s="315"/>
      <c r="C182" s="315"/>
      <c r="D182" s="315"/>
      <c r="E182" s="432"/>
      <c r="F182" s="371"/>
      <c r="G182" s="373"/>
      <c r="H182" s="373"/>
      <c r="I182" s="63" t="str">
        <f t="shared" si="137"/>
        <v/>
      </c>
      <c r="J182" s="317">
        <f t="shared" si="92"/>
        <v>0</v>
      </c>
      <c r="K182" s="317">
        <f t="shared" si="93"/>
        <v>0</v>
      </c>
      <c r="L182" s="317">
        <f t="shared" si="94"/>
        <v>0</v>
      </c>
      <c r="M182" s="317">
        <f t="shared" si="95"/>
        <v>0</v>
      </c>
      <c r="N182" s="317">
        <f t="shared" si="130"/>
        <v>0</v>
      </c>
      <c r="O182" s="317">
        <f t="shared" si="131"/>
        <v>0</v>
      </c>
      <c r="P182" s="317">
        <f t="shared" si="96"/>
        <v>0</v>
      </c>
      <c r="Q182" s="317">
        <f t="shared" si="97"/>
        <v>0</v>
      </c>
      <c r="R182" s="317">
        <f t="shared" si="98"/>
        <v>0</v>
      </c>
      <c r="S182" s="317">
        <f t="shared" si="99"/>
        <v>0</v>
      </c>
      <c r="T182" s="317">
        <f t="shared" si="132"/>
        <v>0</v>
      </c>
      <c r="U182" s="317">
        <f t="shared" si="133"/>
        <v>0</v>
      </c>
      <c r="V182" s="317">
        <f t="shared" si="100"/>
        <v>0</v>
      </c>
      <c r="W182" s="317">
        <f t="shared" si="101"/>
        <v>0</v>
      </c>
      <c r="X182" s="317">
        <f t="shared" si="102"/>
        <v>0</v>
      </c>
      <c r="Y182" s="317">
        <f t="shared" si="103"/>
        <v>0</v>
      </c>
      <c r="Z182" s="317">
        <f t="shared" si="104"/>
        <v>0</v>
      </c>
      <c r="AA182" s="317">
        <f t="shared" si="105"/>
        <v>0</v>
      </c>
      <c r="AB182" s="317">
        <f t="shared" si="106"/>
        <v>0</v>
      </c>
      <c r="AC182" s="317">
        <f t="shared" si="107"/>
        <v>0</v>
      </c>
      <c r="AD182" s="317">
        <f t="shared" si="108"/>
        <v>0</v>
      </c>
      <c r="AE182" s="317">
        <f t="shared" si="109"/>
        <v>0</v>
      </c>
      <c r="AF182" s="317">
        <f t="shared" si="134"/>
        <v>0</v>
      </c>
      <c r="AG182" s="317">
        <f t="shared" si="135"/>
        <v>0</v>
      </c>
      <c r="AH182" s="317">
        <f t="shared" si="110"/>
        <v>0</v>
      </c>
      <c r="AI182" s="317">
        <f t="shared" si="111"/>
        <v>0</v>
      </c>
      <c r="AJ182" s="317">
        <f t="shared" si="112"/>
        <v>0</v>
      </c>
      <c r="AK182" s="317">
        <f t="shared" si="113"/>
        <v>0</v>
      </c>
      <c r="AL182" s="317">
        <f t="shared" si="114"/>
        <v>0</v>
      </c>
      <c r="AM182" s="317">
        <f t="shared" si="115"/>
        <v>0</v>
      </c>
      <c r="AN182" s="317">
        <f t="shared" si="116"/>
        <v>0</v>
      </c>
      <c r="AO182" s="317">
        <f t="shared" si="117"/>
        <v>0</v>
      </c>
      <c r="AP182" s="317">
        <f t="shared" si="118"/>
        <v>0</v>
      </c>
      <c r="AQ182" s="317">
        <f t="shared" si="119"/>
        <v>0</v>
      </c>
      <c r="AR182" s="317">
        <f t="shared" si="120"/>
        <v>0</v>
      </c>
      <c r="AS182" s="317">
        <f t="shared" si="121"/>
        <v>0</v>
      </c>
      <c r="AT182" s="317">
        <f t="shared" si="122"/>
        <v>0</v>
      </c>
      <c r="AU182" s="317">
        <f t="shared" si="123"/>
        <v>0</v>
      </c>
      <c r="AV182" s="317">
        <f t="shared" si="124"/>
        <v>0</v>
      </c>
      <c r="AW182" s="317">
        <f t="shared" si="125"/>
        <v>0</v>
      </c>
      <c r="AX182" s="317">
        <f t="shared" si="126"/>
        <v>0</v>
      </c>
      <c r="AY182" s="317">
        <f t="shared" si="127"/>
        <v>0</v>
      </c>
      <c r="AZ182" s="317">
        <f t="shared" si="128"/>
        <v>0</v>
      </c>
      <c r="BA182" s="317">
        <f t="shared" si="129"/>
        <v>0</v>
      </c>
    </row>
    <row r="183" spans="1:53" s="314" customFormat="1" ht="15.75" customHeight="1">
      <c r="A183" s="63" t="str">
        <f t="array" ref="A183">IF(C183&lt;&gt;0,SUM(($C$11:C183&lt;&gt;0)*1),"")</f>
        <v/>
      </c>
      <c r="B183" s="315"/>
      <c r="C183" s="315"/>
      <c r="D183" s="315"/>
      <c r="E183" s="432"/>
      <c r="F183" s="371"/>
      <c r="G183" s="373"/>
      <c r="H183" s="373"/>
      <c r="I183" s="63" t="str">
        <f t="shared" si="137"/>
        <v/>
      </c>
      <c r="J183" s="317">
        <f t="shared" si="92"/>
        <v>0</v>
      </c>
      <c r="K183" s="317">
        <f t="shared" si="93"/>
        <v>0</v>
      </c>
      <c r="L183" s="317">
        <f t="shared" si="94"/>
        <v>0</v>
      </c>
      <c r="M183" s="317">
        <f t="shared" si="95"/>
        <v>0</v>
      </c>
      <c r="N183" s="317">
        <f t="shared" si="130"/>
        <v>0</v>
      </c>
      <c r="O183" s="317">
        <f t="shared" si="131"/>
        <v>0</v>
      </c>
      <c r="P183" s="317">
        <f t="shared" si="96"/>
        <v>0</v>
      </c>
      <c r="Q183" s="317">
        <f t="shared" si="97"/>
        <v>0</v>
      </c>
      <c r="R183" s="317">
        <f t="shared" si="98"/>
        <v>0</v>
      </c>
      <c r="S183" s="317">
        <f t="shared" si="99"/>
        <v>0</v>
      </c>
      <c r="T183" s="317">
        <f t="shared" si="132"/>
        <v>0</v>
      </c>
      <c r="U183" s="317">
        <f t="shared" si="133"/>
        <v>0</v>
      </c>
      <c r="V183" s="317">
        <f t="shared" si="100"/>
        <v>0</v>
      </c>
      <c r="W183" s="317">
        <f t="shared" si="101"/>
        <v>0</v>
      </c>
      <c r="X183" s="317">
        <f t="shared" si="102"/>
        <v>0</v>
      </c>
      <c r="Y183" s="317">
        <f t="shared" si="103"/>
        <v>0</v>
      </c>
      <c r="Z183" s="317">
        <f t="shared" si="104"/>
        <v>0</v>
      </c>
      <c r="AA183" s="317">
        <f t="shared" si="105"/>
        <v>0</v>
      </c>
      <c r="AB183" s="317">
        <f t="shared" si="106"/>
        <v>0</v>
      </c>
      <c r="AC183" s="317">
        <f t="shared" si="107"/>
        <v>0</v>
      </c>
      <c r="AD183" s="317">
        <f t="shared" si="108"/>
        <v>0</v>
      </c>
      <c r="AE183" s="317">
        <f t="shared" si="109"/>
        <v>0</v>
      </c>
      <c r="AF183" s="317">
        <f t="shared" si="134"/>
        <v>0</v>
      </c>
      <c r="AG183" s="317">
        <f t="shared" si="135"/>
        <v>0</v>
      </c>
      <c r="AH183" s="317">
        <f t="shared" si="110"/>
        <v>0</v>
      </c>
      <c r="AI183" s="317">
        <f t="shared" si="111"/>
        <v>0</v>
      </c>
      <c r="AJ183" s="317">
        <f t="shared" si="112"/>
        <v>0</v>
      </c>
      <c r="AK183" s="317">
        <f t="shared" si="113"/>
        <v>0</v>
      </c>
      <c r="AL183" s="317">
        <f t="shared" si="114"/>
        <v>0</v>
      </c>
      <c r="AM183" s="317">
        <f t="shared" si="115"/>
        <v>0</v>
      </c>
      <c r="AN183" s="317">
        <f t="shared" si="116"/>
        <v>0</v>
      </c>
      <c r="AO183" s="317">
        <f t="shared" si="117"/>
        <v>0</v>
      </c>
      <c r="AP183" s="317">
        <f t="shared" si="118"/>
        <v>0</v>
      </c>
      <c r="AQ183" s="317">
        <f t="shared" si="119"/>
        <v>0</v>
      </c>
      <c r="AR183" s="317">
        <f t="shared" si="120"/>
        <v>0</v>
      </c>
      <c r="AS183" s="317">
        <f t="shared" si="121"/>
        <v>0</v>
      </c>
      <c r="AT183" s="317">
        <f t="shared" si="122"/>
        <v>0</v>
      </c>
      <c r="AU183" s="317">
        <f t="shared" si="123"/>
        <v>0</v>
      </c>
      <c r="AV183" s="317">
        <f t="shared" si="124"/>
        <v>0</v>
      </c>
      <c r="AW183" s="317">
        <f t="shared" si="125"/>
        <v>0</v>
      </c>
      <c r="AX183" s="317">
        <f t="shared" si="126"/>
        <v>0</v>
      </c>
      <c r="AY183" s="317">
        <f t="shared" si="127"/>
        <v>0</v>
      </c>
      <c r="AZ183" s="317">
        <f t="shared" si="128"/>
        <v>0</v>
      </c>
      <c r="BA183" s="317">
        <f t="shared" si="129"/>
        <v>0</v>
      </c>
    </row>
    <row r="184" spans="1:53" s="314" customFormat="1" ht="15.75" customHeight="1">
      <c r="A184" s="63" t="str">
        <f t="array" ref="A184">IF(C184&lt;&gt;0,SUM(($C$11:C184&lt;&gt;0)*1),"")</f>
        <v/>
      </c>
      <c r="B184" s="315"/>
      <c r="C184" s="315"/>
      <c r="D184" s="315"/>
      <c r="E184" s="432"/>
      <c r="F184" s="371"/>
      <c r="G184" s="373"/>
      <c r="H184" s="373"/>
      <c r="I184" s="63" t="str">
        <f t="shared" si="137"/>
        <v/>
      </c>
      <c r="J184" s="317">
        <f t="shared" si="92"/>
        <v>0</v>
      </c>
      <c r="K184" s="317">
        <f t="shared" si="93"/>
        <v>0</v>
      </c>
      <c r="L184" s="317">
        <f t="shared" si="94"/>
        <v>0</v>
      </c>
      <c r="M184" s="317">
        <f t="shared" si="95"/>
        <v>0</v>
      </c>
      <c r="N184" s="317">
        <f t="shared" si="130"/>
        <v>0</v>
      </c>
      <c r="O184" s="317">
        <f t="shared" si="131"/>
        <v>0</v>
      </c>
      <c r="P184" s="317">
        <f t="shared" si="96"/>
        <v>0</v>
      </c>
      <c r="Q184" s="317">
        <f t="shared" si="97"/>
        <v>0</v>
      </c>
      <c r="R184" s="317">
        <f t="shared" si="98"/>
        <v>0</v>
      </c>
      <c r="S184" s="317">
        <f t="shared" si="99"/>
        <v>0</v>
      </c>
      <c r="T184" s="317">
        <f t="shared" si="132"/>
        <v>0</v>
      </c>
      <c r="U184" s="317">
        <f t="shared" si="133"/>
        <v>0</v>
      </c>
      <c r="V184" s="317">
        <f t="shared" si="100"/>
        <v>0</v>
      </c>
      <c r="W184" s="317">
        <f t="shared" si="101"/>
        <v>0</v>
      </c>
      <c r="X184" s="317">
        <f t="shared" si="102"/>
        <v>0</v>
      </c>
      <c r="Y184" s="317">
        <f t="shared" si="103"/>
        <v>0</v>
      </c>
      <c r="Z184" s="317">
        <f t="shared" si="104"/>
        <v>0</v>
      </c>
      <c r="AA184" s="317">
        <f t="shared" si="105"/>
        <v>0</v>
      </c>
      <c r="AB184" s="317">
        <f t="shared" si="106"/>
        <v>0</v>
      </c>
      <c r="AC184" s="317">
        <f t="shared" si="107"/>
        <v>0</v>
      </c>
      <c r="AD184" s="317">
        <f t="shared" si="108"/>
        <v>0</v>
      </c>
      <c r="AE184" s="317">
        <f t="shared" si="109"/>
        <v>0</v>
      </c>
      <c r="AF184" s="317">
        <f t="shared" si="134"/>
        <v>0</v>
      </c>
      <c r="AG184" s="317">
        <f t="shared" si="135"/>
        <v>0</v>
      </c>
      <c r="AH184" s="317">
        <f t="shared" si="110"/>
        <v>0</v>
      </c>
      <c r="AI184" s="317">
        <f t="shared" si="111"/>
        <v>0</v>
      </c>
      <c r="AJ184" s="317">
        <f t="shared" si="112"/>
        <v>0</v>
      </c>
      <c r="AK184" s="317">
        <f t="shared" si="113"/>
        <v>0</v>
      </c>
      <c r="AL184" s="317">
        <f t="shared" si="114"/>
        <v>0</v>
      </c>
      <c r="AM184" s="317">
        <f t="shared" si="115"/>
        <v>0</v>
      </c>
      <c r="AN184" s="317">
        <f t="shared" si="116"/>
        <v>0</v>
      </c>
      <c r="AO184" s="317">
        <f t="shared" si="117"/>
        <v>0</v>
      </c>
      <c r="AP184" s="317">
        <f t="shared" si="118"/>
        <v>0</v>
      </c>
      <c r="AQ184" s="317">
        <f t="shared" si="119"/>
        <v>0</v>
      </c>
      <c r="AR184" s="317">
        <f t="shared" si="120"/>
        <v>0</v>
      </c>
      <c r="AS184" s="317">
        <f t="shared" si="121"/>
        <v>0</v>
      </c>
      <c r="AT184" s="317">
        <f t="shared" si="122"/>
        <v>0</v>
      </c>
      <c r="AU184" s="317">
        <f t="shared" si="123"/>
        <v>0</v>
      </c>
      <c r="AV184" s="317">
        <f t="shared" si="124"/>
        <v>0</v>
      </c>
      <c r="AW184" s="317">
        <f t="shared" si="125"/>
        <v>0</v>
      </c>
      <c r="AX184" s="317">
        <f t="shared" si="126"/>
        <v>0</v>
      </c>
      <c r="AY184" s="317">
        <f t="shared" si="127"/>
        <v>0</v>
      </c>
      <c r="AZ184" s="317">
        <f t="shared" si="128"/>
        <v>0</v>
      </c>
      <c r="BA184" s="317">
        <f t="shared" si="129"/>
        <v>0</v>
      </c>
    </row>
    <row r="185" spans="1:53" s="314" customFormat="1" ht="15.75" customHeight="1">
      <c r="A185" s="63" t="str">
        <f t="array" ref="A185">IF(C185&lt;&gt;0,SUM(($C$11:C185&lt;&gt;0)*1),"")</f>
        <v/>
      </c>
      <c r="B185" s="315"/>
      <c r="C185" s="315"/>
      <c r="D185" s="315"/>
      <c r="E185" s="432"/>
      <c r="F185" s="371"/>
      <c r="G185" s="373"/>
      <c r="H185" s="373"/>
      <c r="I185" s="63" t="str">
        <f t="shared" si="137"/>
        <v/>
      </c>
      <c r="J185" s="317">
        <f t="shared" si="92"/>
        <v>0</v>
      </c>
      <c r="K185" s="317">
        <f t="shared" si="93"/>
        <v>0</v>
      </c>
      <c r="L185" s="317">
        <f t="shared" si="94"/>
        <v>0</v>
      </c>
      <c r="M185" s="317">
        <f t="shared" si="95"/>
        <v>0</v>
      </c>
      <c r="N185" s="317">
        <f t="shared" si="130"/>
        <v>0</v>
      </c>
      <c r="O185" s="317">
        <f t="shared" si="131"/>
        <v>0</v>
      </c>
      <c r="P185" s="317">
        <f t="shared" si="96"/>
        <v>0</v>
      </c>
      <c r="Q185" s="317">
        <f t="shared" si="97"/>
        <v>0</v>
      </c>
      <c r="R185" s="317">
        <f t="shared" si="98"/>
        <v>0</v>
      </c>
      <c r="S185" s="317">
        <f t="shared" si="99"/>
        <v>0</v>
      </c>
      <c r="T185" s="317">
        <f t="shared" si="132"/>
        <v>0</v>
      </c>
      <c r="U185" s="317">
        <f t="shared" si="133"/>
        <v>0</v>
      </c>
      <c r="V185" s="317">
        <f t="shared" si="100"/>
        <v>0</v>
      </c>
      <c r="W185" s="317">
        <f t="shared" si="101"/>
        <v>0</v>
      </c>
      <c r="X185" s="317">
        <f t="shared" si="102"/>
        <v>0</v>
      </c>
      <c r="Y185" s="317">
        <f t="shared" si="103"/>
        <v>0</v>
      </c>
      <c r="Z185" s="317">
        <f t="shared" si="104"/>
        <v>0</v>
      </c>
      <c r="AA185" s="317">
        <f t="shared" si="105"/>
        <v>0</v>
      </c>
      <c r="AB185" s="317">
        <f t="shared" si="106"/>
        <v>0</v>
      </c>
      <c r="AC185" s="317">
        <f t="shared" si="107"/>
        <v>0</v>
      </c>
      <c r="AD185" s="317">
        <f t="shared" si="108"/>
        <v>0</v>
      </c>
      <c r="AE185" s="317">
        <f t="shared" si="109"/>
        <v>0</v>
      </c>
      <c r="AF185" s="317">
        <f t="shared" si="134"/>
        <v>0</v>
      </c>
      <c r="AG185" s="317">
        <f t="shared" si="135"/>
        <v>0</v>
      </c>
      <c r="AH185" s="317">
        <f t="shared" si="110"/>
        <v>0</v>
      </c>
      <c r="AI185" s="317">
        <f t="shared" si="111"/>
        <v>0</v>
      </c>
      <c r="AJ185" s="317">
        <f t="shared" si="112"/>
        <v>0</v>
      </c>
      <c r="AK185" s="317">
        <f t="shared" si="113"/>
        <v>0</v>
      </c>
      <c r="AL185" s="317">
        <f t="shared" si="114"/>
        <v>0</v>
      </c>
      <c r="AM185" s="317">
        <f t="shared" si="115"/>
        <v>0</v>
      </c>
      <c r="AN185" s="317">
        <f t="shared" si="116"/>
        <v>0</v>
      </c>
      <c r="AO185" s="317">
        <f t="shared" si="117"/>
        <v>0</v>
      </c>
      <c r="AP185" s="317">
        <f t="shared" si="118"/>
        <v>0</v>
      </c>
      <c r="AQ185" s="317">
        <f t="shared" si="119"/>
        <v>0</v>
      </c>
      <c r="AR185" s="317">
        <f t="shared" si="120"/>
        <v>0</v>
      </c>
      <c r="AS185" s="317">
        <f t="shared" si="121"/>
        <v>0</v>
      </c>
      <c r="AT185" s="317">
        <f t="shared" si="122"/>
        <v>0</v>
      </c>
      <c r="AU185" s="317">
        <f t="shared" si="123"/>
        <v>0</v>
      </c>
      <c r="AV185" s="317">
        <f t="shared" si="124"/>
        <v>0</v>
      </c>
      <c r="AW185" s="317">
        <f t="shared" si="125"/>
        <v>0</v>
      </c>
      <c r="AX185" s="317">
        <f t="shared" si="126"/>
        <v>0</v>
      </c>
      <c r="AY185" s="317">
        <f t="shared" si="127"/>
        <v>0</v>
      </c>
      <c r="AZ185" s="317">
        <f t="shared" si="128"/>
        <v>0</v>
      </c>
      <c r="BA185" s="317">
        <f t="shared" si="129"/>
        <v>0</v>
      </c>
    </row>
    <row r="186" spans="1:53" s="314" customFormat="1" ht="15.75" customHeight="1">
      <c r="A186" s="63" t="str">
        <f t="array" ref="A186">IF(C186&lt;&gt;0,SUM(($C$11:C186&lt;&gt;0)*1),"")</f>
        <v/>
      </c>
      <c r="B186" s="315"/>
      <c r="C186" s="315"/>
      <c r="D186" s="315"/>
      <c r="E186" s="432"/>
      <c r="F186" s="371"/>
      <c r="G186" s="373"/>
      <c r="H186" s="373"/>
      <c r="I186" s="63" t="str">
        <f t="shared" si="137"/>
        <v/>
      </c>
      <c r="J186" s="317">
        <f t="shared" si="92"/>
        <v>0</v>
      </c>
      <c r="K186" s="317">
        <f t="shared" si="93"/>
        <v>0</v>
      </c>
      <c r="L186" s="317">
        <f t="shared" si="94"/>
        <v>0</v>
      </c>
      <c r="M186" s="317">
        <f t="shared" si="95"/>
        <v>0</v>
      </c>
      <c r="N186" s="317">
        <f t="shared" si="130"/>
        <v>0</v>
      </c>
      <c r="O186" s="317">
        <f t="shared" si="131"/>
        <v>0</v>
      </c>
      <c r="P186" s="317">
        <f t="shared" si="96"/>
        <v>0</v>
      </c>
      <c r="Q186" s="317">
        <f t="shared" si="97"/>
        <v>0</v>
      </c>
      <c r="R186" s="317">
        <f t="shared" si="98"/>
        <v>0</v>
      </c>
      <c r="S186" s="317">
        <f t="shared" si="99"/>
        <v>0</v>
      </c>
      <c r="T186" s="317">
        <f t="shared" si="132"/>
        <v>0</v>
      </c>
      <c r="U186" s="317">
        <f t="shared" si="133"/>
        <v>0</v>
      </c>
      <c r="V186" s="317">
        <f t="shared" si="100"/>
        <v>0</v>
      </c>
      <c r="W186" s="317">
        <f t="shared" si="101"/>
        <v>0</v>
      </c>
      <c r="X186" s="317">
        <f t="shared" si="102"/>
        <v>0</v>
      </c>
      <c r="Y186" s="317">
        <f t="shared" si="103"/>
        <v>0</v>
      </c>
      <c r="Z186" s="317">
        <f t="shared" si="104"/>
        <v>0</v>
      </c>
      <c r="AA186" s="317">
        <f t="shared" si="105"/>
        <v>0</v>
      </c>
      <c r="AB186" s="317">
        <f t="shared" si="106"/>
        <v>0</v>
      </c>
      <c r="AC186" s="317">
        <f t="shared" si="107"/>
        <v>0</v>
      </c>
      <c r="AD186" s="317">
        <f t="shared" si="108"/>
        <v>0</v>
      </c>
      <c r="AE186" s="317">
        <f t="shared" si="109"/>
        <v>0</v>
      </c>
      <c r="AF186" s="317">
        <f t="shared" si="134"/>
        <v>0</v>
      </c>
      <c r="AG186" s="317">
        <f t="shared" si="135"/>
        <v>0</v>
      </c>
      <c r="AH186" s="317">
        <f t="shared" si="110"/>
        <v>0</v>
      </c>
      <c r="AI186" s="317">
        <f t="shared" si="111"/>
        <v>0</v>
      </c>
      <c r="AJ186" s="317">
        <f t="shared" si="112"/>
        <v>0</v>
      </c>
      <c r="AK186" s="317">
        <f t="shared" si="113"/>
        <v>0</v>
      </c>
      <c r="AL186" s="317">
        <f t="shared" si="114"/>
        <v>0</v>
      </c>
      <c r="AM186" s="317">
        <f t="shared" si="115"/>
        <v>0</v>
      </c>
      <c r="AN186" s="317">
        <f t="shared" si="116"/>
        <v>0</v>
      </c>
      <c r="AO186" s="317">
        <f t="shared" si="117"/>
        <v>0</v>
      </c>
      <c r="AP186" s="317">
        <f t="shared" si="118"/>
        <v>0</v>
      </c>
      <c r="AQ186" s="317">
        <f t="shared" si="119"/>
        <v>0</v>
      </c>
      <c r="AR186" s="317">
        <f t="shared" si="120"/>
        <v>0</v>
      </c>
      <c r="AS186" s="317">
        <f t="shared" si="121"/>
        <v>0</v>
      </c>
      <c r="AT186" s="317">
        <f t="shared" si="122"/>
        <v>0</v>
      </c>
      <c r="AU186" s="317">
        <f t="shared" si="123"/>
        <v>0</v>
      </c>
      <c r="AV186" s="317">
        <f t="shared" si="124"/>
        <v>0</v>
      </c>
      <c r="AW186" s="317">
        <f t="shared" si="125"/>
        <v>0</v>
      </c>
      <c r="AX186" s="317">
        <f t="shared" si="126"/>
        <v>0</v>
      </c>
      <c r="AY186" s="317">
        <f t="shared" si="127"/>
        <v>0</v>
      </c>
      <c r="AZ186" s="317">
        <f t="shared" si="128"/>
        <v>0</v>
      </c>
      <c r="BA186" s="317">
        <f t="shared" si="129"/>
        <v>0</v>
      </c>
    </row>
    <row r="187" spans="1:53" s="314" customFormat="1" ht="15.75" customHeight="1">
      <c r="A187" s="63" t="str">
        <f t="array" ref="A187">IF(C187&lt;&gt;0,SUM(($C$11:C187&lt;&gt;0)*1),"")</f>
        <v/>
      </c>
      <c r="B187" s="315"/>
      <c r="C187" s="315"/>
      <c r="D187" s="315"/>
      <c r="E187" s="432"/>
      <c r="F187" s="371"/>
      <c r="G187" s="373"/>
      <c r="H187" s="373"/>
      <c r="I187" s="63" t="str">
        <f t="shared" si="137"/>
        <v/>
      </c>
      <c r="J187" s="317">
        <f t="shared" si="92"/>
        <v>0</v>
      </c>
      <c r="K187" s="317">
        <f t="shared" si="93"/>
        <v>0</v>
      </c>
      <c r="L187" s="317">
        <f t="shared" si="94"/>
        <v>0</v>
      </c>
      <c r="M187" s="317">
        <f t="shared" si="95"/>
        <v>0</v>
      </c>
      <c r="N187" s="317">
        <f t="shared" si="130"/>
        <v>0</v>
      </c>
      <c r="O187" s="317">
        <f t="shared" si="131"/>
        <v>0</v>
      </c>
      <c r="P187" s="317">
        <f t="shared" si="96"/>
        <v>0</v>
      </c>
      <c r="Q187" s="317">
        <f t="shared" si="97"/>
        <v>0</v>
      </c>
      <c r="R187" s="317">
        <f t="shared" si="98"/>
        <v>0</v>
      </c>
      <c r="S187" s="317">
        <f t="shared" si="99"/>
        <v>0</v>
      </c>
      <c r="T187" s="317">
        <f t="shared" si="132"/>
        <v>0</v>
      </c>
      <c r="U187" s="317">
        <f t="shared" si="133"/>
        <v>0</v>
      </c>
      <c r="V187" s="317">
        <f t="shared" si="100"/>
        <v>0</v>
      </c>
      <c r="W187" s="317">
        <f t="shared" si="101"/>
        <v>0</v>
      </c>
      <c r="X187" s="317">
        <f t="shared" si="102"/>
        <v>0</v>
      </c>
      <c r="Y187" s="317">
        <f t="shared" si="103"/>
        <v>0</v>
      </c>
      <c r="Z187" s="317">
        <f t="shared" si="104"/>
        <v>0</v>
      </c>
      <c r="AA187" s="317">
        <f t="shared" si="105"/>
        <v>0</v>
      </c>
      <c r="AB187" s="317">
        <f t="shared" si="106"/>
        <v>0</v>
      </c>
      <c r="AC187" s="317">
        <f t="shared" si="107"/>
        <v>0</v>
      </c>
      <c r="AD187" s="317">
        <f t="shared" si="108"/>
        <v>0</v>
      </c>
      <c r="AE187" s="317">
        <f t="shared" si="109"/>
        <v>0</v>
      </c>
      <c r="AF187" s="317">
        <f t="shared" si="134"/>
        <v>0</v>
      </c>
      <c r="AG187" s="317">
        <f t="shared" si="135"/>
        <v>0</v>
      </c>
      <c r="AH187" s="317">
        <f t="shared" si="110"/>
        <v>0</v>
      </c>
      <c r="AI187" s="317">
        <f t="shared" si="111"/>
        <v>0</v>
      </c>
      <c r="AJ187" s="317">
        <f t="shared" si="112"/>
        <v>0</v>
      </c>
      <c r="AK187" s="317">
        <f t="shared" si="113"/>
        <v>0</v>
      </c>
      <c r="AL187" s="317">
        <f t="shared" si="114"/>
        <v>0</v>
      </c>
      <c r="AM187" s="317">
        <f t="shared" si="115"/>
        <v>0</v>
      </c>
      <c r="AN187" s="317">
        <f t="shared" si="116"/>
        <v>0</v>
      </c>
      <c r="AO187" s="317">
        <f t="shared" si="117"/>
        <v>0</v>
      </c>
      <c r="AP187" s="317">
        <f t="shared" si="118"/>
        <v>0</v>
      </c>
      <c r="AQ187" s="317">
        <f t="shared" si="119"/>
        <v>0</v>
      </c>
      <c r="AR187" s="317">
        <f t="shared" si="120"/>
        <v>0</v>
      </c>
      <c r="AS187" s="317">
        <f t="shared" si="121"/>
        <v>0</v>
      </c>
      <c r="AT187" s="317">
        <f t="shared" si="122"/>
        <v>0</v>
      </c>
      <c r="AU187" s="317">
        <f t="shared" si="123"/>
        <v>0</v>
      </c>
      <c r="AV187" s="317">
        <f t="shared" si="124"/>
        <v>0</v>
      </c>
      <c r="AW187" s="317">
        <f t="shared" si="125"/>
        <v>0</v>
      </c>
      <c r="AX187" s="317">
        <f t="shared" si="126"/>
        <v>0</v>
      </c>
      <c r="AY187" s="317">
        <f t="shared" si="127"/>
        <v>0</v>
      </c>
      <c r="AZ187" s="317">
        <f t="shared" si="128"/>
        <v>0</v>
      </c>
      <c r="BA187" s="317">
        <f t="shared" si="129"/>
        <v>0</v>
      </c>
    </row>
    <row r="188" spans="1:53" s="314" customFormat="1" ht="15.75" customHeight="1">
      <c r="A188" s="63" t="str">
        <f t="array" ref="A188">IF(C188&lt;&gt;0,SUM(($C$11:C188&lt;&gt;0)*1),"")</f>
        <v/>
      </c>
      <c r="B188" s="315"/>
      <c r="C188" s="315"/>
      <c r="D188" s="315"/>
      <c r="E188" s="432"/>
      <c r="F188" s="371"/>
      <c r="G188" s="373"/>
      <c r="H188" s="373"/>
      <c r="I188" s="63" t="str">
        <f t="shared" si="137"/>
        <v/>
      </c>
      <c r="J188" s="317">
        <f t="shared" si="92"/>
        <v>0</v>
      </c>
      <c r="K188" s="317">
        <f t="shared" si="93"/>
        <v>0</v>
      </c>
      <c r="L188" s="317">
        <f t="shared" si="94"/>
        <v>0</v>
      </c>
      <c r="M188" s="317">
        <f t="shared" si="95"/>
        <v>0</v>
      </c>
      <c r="N188" s="317">
        <f t="shared" si="130"/>
        <v>0</v>
      </c>
      <c r="O188" s="317">
        <f t="shared" si="131"/>
        <v>0</v>
      </c>
      <c r="P188" s="317">
        <f t="shared" si="96"/>
        <v>0</v>
      </c>
      <c r="Q188" s="317">
        <f t="shared" si="97"/>
        <v>0</v>
      </c>
      <c r="R188" s="317">
        <f t="shared" si="98"/>
        <v>0</v>
      </c>
      <c r="S188" s="317">
        <f t="shared" si="99"/>
        <v>0</v>
      </c>
      <c r="T188" s="317">
        <f t="shared" si="132"/>
        <v>0</v>
      </c>
      <c r="U188" s="317">
        <f t="shared" si="133"/>
        <v>0</v>
      </c>
      <c r="V188" s="317">
        <f t="shared" si="100"/>
        <v>0</v>
      </c>
      <c r="W188" s="317">
        <f t="shared" si="101"/>
        <v>0</v>
      </c>
      <c r="X188" s="317">
        <f t="shared" si="102"/>
        <v>0</v>
      </c>
      <c r="Y188" s="317">
        <f t="shared" si="103"/>
        <v>0</v>
      </c>
      <c r="Z188" s="317">
        <f t="shared" si="104"/>
        <v>0</v>
      </c>
      <c r="AA188" s="317">
        <f t="shared" si="105"/>
        <v>0</v>
      </c>
      <c r="AB188" s="317">
        <f t="shared" si="106"/>
        <v>0</v>
      </c>
      <c r="AC188" s="317">
        <f t="shared" si="107"/>
        <v>0</v>
      </c>
      <c r="AD188" s="317">
        <f t="shared" si="108"/>
        <v>0</v>
      </c>
      <c r="AE188" s="317">
        <f t="shared" si="109"/>
        <v>0</v>
      </c>
      <c r="AF188" s="317">
        <f t="shared" si="134"/>
        <v>0</v>
      </c>
      <c r="AG188" s="317">
        <f t="shared" si="135"/>
        <v>0</v>
      </c>
      <c r="AH188" s="317">
        <f t="shared" si="110"/>
        <v>0</v>
      </c>
      <c r="AI188" s="317">
        <f t="shared" si="111"/>
        <v>0</v>
      </c>
      <c r="AJ188" s="317">
        <f t="shared" si="112"/>
        <v>0</v>
      </c>
      <c r="AK188" s="317">
        <f t="shared" si="113"/>
        <v>0</v>
      </c>
      <c r="AL188" s="317">
        <f t="shared" si="114"/>
        <v>0</v>
      </c>
      <c r="AM188" s="317">
        <f t="shared" si="115"/>
        <v>0</v>
      </c>
      <c r="AN188" s="317">
        <f t="shared" si="116"/>
        <v>0</v>
      </c>
      <c r="AO188" s="317">
        <f t="shared" si="117"/>
        <v>0</v>
      </c>
      <c r="AP188" s="317">
        <f t="shared" si="118"/>
        <v>0</v>
      </c>
      <c r="AQ188" s="317">
        <f t="shared" si="119"/>
        <v>0</v>
      </c>
      <c r="AR188" s="317">
        <f t="shared" si="120"/>
        <v>0</v>
      </c>
      <c r="AS188" s="317">
        <f t="shared" si="121"/>
        <v>0</v>
      </c>
      <c r="AT188" s="317">
        <f t="shared" si="122"/>
        <v>0</v>
      </c>
      <c r="AU188" s="317">
        <f t="shared" si="123"/>
        <v>0</v>
      </c>
      <c r="AV188" s="317">
        <f t="shared" si="124"/>
        <v>0</v>
      </c>
      <c r="AW188" s="317">
        <f t="shared" si="125"/>
        <v>0</v>
      </c>
      <c r="AX188" s="317">
        <f t="shared" si="126"/>
        <v>0</v>
      </c>
      <c r="AY188" s="317">
        <f t="shared" si="127"/>
        <v>0</v>
      </c>
      <c r="AZ188" s="317">
        <f t="shared" si="128"/>
        <v>0</v>
      </c>
      <c r="BA188" s="317">
        <f t="shared" si="129"/>
        <v>0</v>
      </c>
    </row>
    <row r="189" spans="1:53" s="314" customFormat="1" ht="15.75" customHeight="1">
      <c r="A189" s="63" t="str">
        <f t="array" ref="A189">IF(C189&lt;&gt;0,SUM(($C$11:C189&lt;&gt;0)*1),"")</f>
        <v/>
      </c>
      <c r="B189" s="315"/>
      <c r="C189" s="315"/>
      <c r="D189" s="315"/>
      <c r="E189" s="432"/>
      <c r="F189" s="371"/>
      <c r="G189" s="373"/>
      <c r="H189" s="373"/>
      <c r="I189" s="63" t="str">
        <f t="shared" si="137"/>
        <v/>
      </c>
      <c r="J189" s="317">
        <f t="shared" si="92"/>
        <v>0</v>
      </c>
      <c r="K189" s="317">
        <f t="shared" si="93"/>
        <v>0</v>
      </c>
      <c r="L189" s="317">
        <f t="shared" si="94"/>
        <v>0</v>
      </c>
      <c r="M189" s="317">
        <f t="shared" si="95"/>
        <v>0</v>
      </c>
      <c r="N189" s="317">
        <f t="shared" si="130"/>
        <v>0</v>
      </c>
      <c r="O189" s="317">
        <f t="shared" si="131"/>
        <v>0</v>
      </c>
      <c r="P189" s="317">
        <f t="shared" si="96"/>
        <v>0</v>
      </c>
      <c r="Q189" s="317">
        <f t="shared" si="97"/>
        <v>0</v>
      </c>
      <c r="R189" s="317">
        <f t="shared" si="98"/>
        <v>0</v>
      </c>
      <c r="S189" s="317">
        <f t="shared" si="99"/>
        <v>0</v>
      </c>
      <c r="T189" s="317">
        <f t="shared" si="132"/>
        <v>0</v>
      </c>
      <c r="U189" s="317">
        <f t="shared" si="133"/>
        <v>0</v>
      </c>
      <c r="V189" s="317">
        <f t="shared" si="100"/>
        <v>0</v>
      </c>
      <c r="W189" s="317">
        <f t="shared" si="101"/>
        <v>0</v>
      </c>
      <c r="X189" s="317">
        <f t="shared" si="102"/>
        <v>0</v>
      </c>
      <c r="Y189" s="317">
        <f t="shared" si="103"/>
        <v>0</v>
      </c>
      <c r="Z189" s="317">
        <f t="shared" si="104"/>
        <v>0</v>
      </c>
      <c r="AA189" s="317">
        <f t="shared" si="105"/>
        <v>0</v>
      </c>
      <c r="AB189" s="317">
        <f t="shared" si="106"/>
        <v>0</v>
      </c>
      <c r="AC189" s="317">
        <f t="shared" si="107"/>
        <v>0</v>
      </c>
      <c r="AD189" s="317">
        <f t="shared" si="108"/>
        <v>0</v>
      </c>
      <c r="AE189" s="317">
        <f t="shared" si="109"/>
        <v>0</v>
      </c>
      <c r="AF189" s="317">
        <f t="shared" si="134"/>
        <v>0</v>
      </c>
      <c r="AG189" s="317">
        <f t="shared" si="135"/>
        <v>0</v>
      </c>
      <c r="AH189" s="317">
        <f t="shared" si="110"/>
        <v>0</v>
      </c>
      <c r="AI189" s="317">
        <f t="shared" si="111"/>
        <v>0</v>
      </c>
      <c r="AJ189" s="317">
        <f t="shared" si="112"/>
        <v>0</v>
      </c>
      <c r="AK189" s="317">
        <f t="shared" si="113"/>
        <v>0</v>
      </c>
      <c r="AL189" s="317">
        <f t="shared" si="114"/>
        <v>0</v>
      </c>
      <c r="AM189" s="317">
        <f t="shared" si="115"/>
        <v>0</v>
      </c>
      <c r="AN189" s="317">
        <f t="shared" si="116"/>
        <v>0</v>
      </c>
      <c r="AO189" s="317">
        <f t="shared" si="117"/>
        <v>0</v>
      </c>
      <c r="AP189" s="317">
        <f t="shared" si="118"/>
        <v>0</v>
      </c>
      <c r="AQ189" s="317">
        <f t="shared" si="119"/>
        <v>0</v>
      </c>
      <c r="AR189" s="317">
        <f t="shared" si="120"/>
        <v>0</v>
      </c>
      <c r="AS189" s="317">
        <f t="shared" si="121"/>
        <v>0</v>
      </c>
      <c r="AT189" s="317">
        <f t="shared" si="122"/>
        <v>0</v>
      </c>
      <c r="AU189" s="317">
        <f t="shared" si="123"/>
        <v>0</v>
      </c>
      <c r="AV189" s="317">
        <f t="shared" si="124"/>
        <v>0</v>
      </c>
      <c r="AW189" s="317">
        <f t="shared" si="125"/>
        <v>0</v>
      </c>
      <c r="AX189" s="317">
        <f t="shared" si="126"/>
        <v>0</v>
      </c>
      <c r="AY189" s="317">
        <f t="shared" si="127"/>
        <v>0</v>
      </c>
      <c r="AZ189" s="317">
        <f t="shared" si="128"/>
        <v>0</v>
      </c>
      <c r="BA189" s="317">
        <f t="shared" si="129"/>
        <v>0</v>
      </c>
    </row>
    <row r="190" spans="1:53" s="314" customFormat="1" ht="15.75" customHeight="1">
      <c r="A190" s="63" t="str">
        <f t="array" ref="A190">IF(C190&lt;&gt;0,SUM(($C$11:C190&lt;&gt;0)*1),"")</f>
        <v/>
      </c>
      <c r="B190" s="315"/>
      <c r="C190" s="315"/>
      <c r="D190" s="315"/>
      <c r="E190" s="432"/>
      <c r="F190" s="371"/>
      <c r="G190" s="373"/>
      <c r="H190" s="373"/>
      <c r="I190" s="63" t="str">
        <f t="shared" si="137"/>
        <v/>
      </c>
      <c r="J190" s="317">
        <f t="shared" si="92"/>
        <v>0</v>
      </c>
      <c r="K190" s="317">
        <f t="shared" si="93"/>
        <v>0</v>
      </c>
      <c r="L190" s="317">
        <f t="shared" si="94"/>
        <v>0</v>
      </c>
      <c r="M190" s="317">
        <f t="shared" si="95"/>
        <v>0</v>
      </c>
      <c r="N190" s="317">
        <f t="shared" si="130"/>
        <v>0</v>
      </c>
      <c r="O190" s="317">
        <f t="shared" si="131"/>
        <v>0</v>
      </c>
      <c r="P190" s="317">
        <f t="shared" si="96"/>
        <v>0</v>
      </c>
      <c r="Q190" s="317">
        <f t="shared" si="97"/>
        <v>0</v>
      </c>
      <c r="R190" s="317">
        <f t="shared" si="98"/>
        <v>0</v>
      </c>
      <c r="S190" s="317">
        <f t="shared" si="99"/>
        <v>0</v>
      </c>
      <c r="T190" s="317">
        <f t="shared" si="132"/>
        <v>0</v>
      </c>
      <c r="U190" s="317">
        <f t="shared" si="133"/>
        <v>0</v>
      </c>
      <c r="V190" s="317">
        <f t="shared" si="100"/>
        <v>0</v>
      </c>
      <c r="W190" s="317">
        <f t="shared" si="101"/>
        <v>0</v>
      </c>
      <c r="X190" s="317">
        <f t="shared" si="102"/>
        <v>0</v>
      </c>
      <c r="Y190" s="317">
        <f t="shared" si="103"/>
        <v>0</v>
      </c>
      <c r="Z190" s="317">
        <f t="shared" si="104"/>
        <v>0</v>
      </c>
      <c r="AA190" s="317">
        <f t="shared" si="105"/>
        <v>0</v>
      </c>
      <c r="AB190" s="317">
        <f t="shared" si="106"/>
        <v>0</v>
      </c>
      <c r="AC190" s="317">
        <f t="shared" si="107"/>
        <v>0</v>
      </c>
      <c r="AD190" s="317">
        <f t="shared" si="108"/>
        <v>0</v>
      </c>
      <c r="AE190" s="317">
        <f t="shared" si="109"/>
        <v>0</v>
      </c>
      <c r="AF190" s="317">
        <f t="shared" si="134"/>
        <v>0</v>
      </c>
      <c r="AG190" s="317">
        <f t="shared" si="135"/>
        <v>0</v>
      </c>
      <c r="AH190" s="317">
        <f t="shared" si="110"/>
        <v>0</v>
      </c>
      <c r="AI190" s="317">
        <f t="shared" si="111"/>
        <v>0</v>
      </c>
      <c r="AJ190" s="317">
        <f t="shared" si="112"/>
        <v>0</v>
      </c>
      <c r="AK190" s="317">
        <f t="shared" si="113"/>
        <v>0</v>
      </c>
      <c r="AL190" s="317">
        <f t="shared" si="114"/>
        <v>0</v>
      </c>
      <c r="AM190" s="317">
        <f t="shared" si="115"/>
        <v>0</v>
      </c>
      <c r="AN190" s="317">
        <f t="shared" si="116"/>
        <v>0</v>
      </c>
      <c r="AO190" s="317">
        <f t="shared" si="117"/>
        <v>0</v>
      </c>
      <c r="AP190" s="317">
        <f t="shared" si="118"/>
        <v>0</v>
      </c>
      <c r="AQ190" s="317">
        <f t="shared" si="119"/>
        <v>0</v>
      </c>
      <c r="AR190" s="317">
        <f t="shared" si="120"/>
        <v>0</v>
      </c>
      <c r="AS190" s="317">
        <f t="shared" si="121"/>
        <v>0</v>
      </c>
      <c r="AT190" s="317">
        <f t="shared" si="122"/>
        <v>0</v>
      </c>
      <c r="AU190" s="317">
        <f t="shared" si="123"/>
        <v>0</v>
      </c>
      <c r="AV190" s="317">
        <f t="shared" si="124"/>
        <v>0</v>
      </c>
      <c r="AW190" s="317">
        <f t="shared" si="125"/>
        <v>0</v>
      </c>
      <c r="AX190" s="317">
        <f t="shared" si="126"/>
        <v>0</v>
      </c>
      <c r="AY190" s="317">
        <f t="shared" si="127"/>
        <v>0</v>
      </c>
      <c r="AZ190" s="317">
        <f t="shared" si="128"/>
        <v>0</v>
      </c>
      <c r="BA190" s="317">
        <f t="shared" si="129"/>
        <v>0</v>
      </c>
    </row>
    <row r="191" spans="1:53" s="314" customFormat="1" ht="15.75" customHeight="1">
      <c r="A191" s="63" t="str">
        <f t="array" ref="A191">IF(C191&lt;&gt;0,SUM(($C$11:C191&lt;&gt;0)*1),"")</f>
        <v/>
      </c>
      <c r="B191" s="315"/>
      <c r="C191" s="315"/>
      <c r="D191" s="315"/>
      <c r="E191" s="432"/>
      <c r="F191" s="371"/>
      <c r="G191" s="373"/>
      <c r="H191" s="373"/>
      <c r="I191" s="63" t="str">
        <f t="shared" si="137"/>
        <v/>
      </c>
      <c r="J191" s="317">
        <f t="shared" si="92"/>
        <v>0</v>
      </c>
      <c r="K191" s="317">
        <f t="shared" si="93"/>
        <v>0</v>
      </c>
      <c r="L191" s="317">
        <f t="shared" si="94"/>
        <v>0</v>
      </c>
      <c r="M191" s="317">
        <f t="shared" si="95"/>
        <v>0</v>
      </c>
      <c r="N191" s="317">
        <f t="shared" si="130"/>
        <v>0</v>
      </c>
      <c r="O191" s="317">
        <f t="shared" si="131"/>
        <v>0</v>
      </c>
      <c r="P191" s="317">
        <f t="shared" si="96"/>
        <v>0</v>
      </c>
      <c r="Q191" s="317">
        <f t="shared" si="97"/>
        <v>0</v>
      </c>
      <c r="R191" s="317">
        <f t="shared" si="98"/>
        <v>0</v>
      </c>
      <c r="S191" s="317">
        <f t="shared" si="99"/>
        <v>0</v>
      </c>
      <c r="T191" s="317">
        <f t="shared" si="132"/>
        <v>0</v>
      </c>
      <c r="U191" s="317">
        <f t="shared" si="133"/>
        <v>0</v>
      </c>
      <c r="V191" s="317">
        <f t="shared" si="100"/>
        <v>0</v>
      </c>
      <c r="W191" s="317">
        <f t="shared" si="101"/>
        <v>0</v>
      </c>
      <c r="X191" s="317">
        <f t="shared" si="102"/>
        <v>0</v>
      </c>
      <c r="Y191" s="317">
        <f t="shared" si="103"/>
        <v>0</v>
      </c>
      <c r="Z191" s="317">
        <f t="shared" si="104"/>
        <v>0</v>
      </c>
      <c r="AA191" s="317">
        <f t="shared" si="105"/>
        <v>0</v>
      </c>
      <c r="AB191" s="317">
        <f t="shared" si="106"/>
        <v>0</v>
      </c>
      <c r="AC191" s="317">
        <f t="shared" si="107"/>
        <v>0</v>
      </c>
      <c r="AD191" s="317">
        <f t="shared" si="108"/>
        <v>0</v>
      </c>
      <c r="AE191" s="317">
        <f t="shared" si="109"/>
        <v>0</v>
      </c>
      <c r="AF191" s="317">
        <f t="shared" si="134"/>
        <v>0</v>
      </c>
      <c r="AG191" s="317">
        <f t="shared" si="135"/>
        <v>0</v>
      </c>
      <c r="AH191" s="317">
        <f t="shared" si="110"/>
        <v>0</v>
      </c>
      <c r="AI191" s="317">
        <f t="shared" si="111"/>
        <v>0</v>
      </c>
      <c r="AJ191" s="317">
        <f t="shared" si="112"/>
        <v>0</v>
      </c>
      <c r="AK191" s="317">
        <f t="shared" si="113"/>
        <v>0</v>
      </c>
      <c r="AL191" s="317">
        <f t="shared" si="114"/>
        <v>0</v>
      </c>
      <c r="AM191" s="317">
        <f t="shared" si="115"/>
        <v>0</v>
      </c>
      <c r="AN191" s="317">
        <f t="shared" si="116"/>
        <v>0</v>
      </c>
      <c r="AO191" s="317">
        <f t="shared" si="117"/>
        <v>0</v>
      </c>
      <c r="AP191" s="317">
        <f t="shared" si="118"/>
        <v>0</v>
      </c>
      <c r="AQ191" s="317">
        <f t="shared" si="119"/>
        <v>0</v>
      </c>
      <c r="AR191" s="317">
        <f t="shared" si="120"/>
        <v>0</v>
      </c>
      <c r="AS191" s="317">
        <f t="shared" si="121"/>
        <v>0</v>
      </c>
      <c r="AT191" s="317">
        <f t="shared" si="122"/>
        <v>0</v>
      </c>
      <c r="AU191" s="317">
        <f t="shared" si="123"/>
        <v>0</v>
      </c>
      <c r="AV191" s="317">
        <f t="shared" si="124"/>
        <v>0</v>
      </c>
      <c r="AW191" s="317">
        <f t="shared" si="125"/>
        <v>0</v>
      </c>
      <c r="AX191" s="317">
        <f t="shared" si="126"/>
        <v>0</v>
      </c>
      <c r="AY191" s="317">
        <f t="shared" si="127"/>
        <v>0</v>
      </c>
      <c r="AZ191" s="317">
        <f t="shared" si="128"/>
        <v>0</v>
      </c>
      <c r="BA191" s="317">
        <f t="shared" si="129"/>
        <v>0</v>
      </c>
    </row>
    <row r="192" spans="1:53" s="314" customFormat="1" ht="15.75" customHeight="1">
      <c r="A192" s="63" t="str">
        <f t="array" ref="A192">IF(C192&lt;&gt;0,SUM(($C$11:C192&lt;&gt;0)*1),"")</f>
        <v/>
      </c>
      <c r="B192" s="315"/>
      <c r="C192" s="315"/>
      <c r="D192" s="315"/>
      <c r="E192" s="432"/>
      <c r="F192" s="371"/>
      <c r="G192" s="373"/>
      <c r="H192" s="373"/>
      <c r="I192" s="63" t="str">
        <f t="shared" si="137"/>
        <v/>
      </c>
      <c r="J192" s="317">
        <f t="shared" si="92"/>
        <v>0</v>
      </c>
      <c r="K192" s="317">
        <f t="shared" si="93"/>
        <v>0</v>
      </c>
      <c r="L192" s="317">
        <f t="shared" si="94"/>
        <v>0</v>
      </c>
      <c r="M192" s="317">
        <f t="shared" si="95"/>
        <v>0</v>
      </c>
      <c r="N192" s="317">
        <f t="shared" si="130"/>
        <v>0</v>
      </c>
      <c r="O192" s="317">
        <f t="shared" si="131"/>
        <v>0</v>
      </c>
      <c r="P192" s="317">
        <f t="shared" si="96"/>
        <v>0</v>
      </c>
      <c r="Q192" s="317">
        <f t="shared" si="97"/>
        <v>0</v>
      </c>
      <c r="R192" s="317">
        <f t="shared" si="98"/>
        <v>0</v>
      </c>
      <c r="S192" s="317">
        <f t="shared" si="99"/>
        <v>0</v>
      </c>
      <c r="T192" s="317">
        <f t="shared" si="132"/>
        <v>0</v>
      </c>
      <c r="U192" s="317">
        <f t="shared" si="133"/>
        <v>0</v>
      </c>
      <c r="V192" s="317">
        <f t="shared" si="100"/>
        <v>0</v>
      </c>
      <c r="W192" s="317">
        <f t="shared" si="101"/>
        <v>0</v>
      </c>
      <c r="X192" s="317">
        <f t="shared" si="102"/>
        <v>0</v>
      </c>
      <c r="Y192" s="317">
        <f t="shared" si="103"/>
        <v>0</v>
      </c>
      <c r="Z192" s="317">
        <f t="shared" si="104"/>
        <v>0</v>
      </c>
      <c r="AA192" s="317">
        <f t="shared" si="105"/>
        <v>0</v>
      </c>
      <c r="AB192" s="317">
        <f t="shared" si="106"/>
        <v>0</v>
      </c>
      <c r="AC192" s="317">
        <f t="shared" si="107"/>
        <v>0</v>
      </c>
      <c r="AD192" s="317">
        <f t="shared" si="108"/>
        <v>0</v>
      </c>
      <c r="AE192" s="317">
        <f t="shared" si="109"/>
        <v>0</v>
      </c>
      <c r="AF192" s="317">
        <f t="shared" si="134"/>
        <v>0</v>
      </c>
      <c r="AG192" s="317">
        <f t="shared" si="135"/>
        <v>0</v>
      </c>
      <c r="AH192" s="317">
        <f t="shared" si="110"/>
        <v>0</v>
      </c>
      <c r="AI192" s="317">
        <f t="shared" si="111"/>
        <v>0</v>
      </c>
      <c r="AJ192" s="317">
        <f t="shared" si="112"/>
        <v>0</v>
      </c>
      <c r="AK192" s="317">
        <f t="shared" si="113"/>
        <v>0</v>
      </c>
      <c r="AL192" s="317">
        <f t="shared" si="114"/>
        <v>0</v>
      </c>
      <c r="AM192" s="317">
        <f t="shared" si="115"/>
        <v>0</v>
      </c>
      <c r="AN192" s="317">
        <f t="shared" si="116"/>
        <v>0</v>
      </c>
      <c r="AO192" s="317">
        <f t="shared" si="117"/>
        <v>0</v>
      </c>
      <c r="AP192" s="317">
        <f t="shared" si="118"/>
        <v>0</v>
      </c>
      <c r="AQ192" s="317">
        <f t="shared" si="119"/>
        <v>0</v>
      </c>
      <c r="AR192" s="317">
        <f t="shared" si="120"/>
        <v>0</v>
      </c>
      <c r="AS192" s="317">
        <f t="shared" si="121"/>
        <v>0</v>
      </c>
      <c r="AT192" s="317">
        <f t="shared" si="122"/>
        <v>0</v>
      </c>
      <c r="AU192" s="317">
        <f t="shared" si="123"/>
        <v>0</v>
      </c>
      <c r="AV192" s="317">
        <f t="shared" si="124"/>
        <v>0</v>
      </c>
      <c r="AW192" s="317">
        <f t="shared" si="125"/>
        <v>0</v>
      </c>
      <c r="AX192" s="317">
        <f t="shared" si="126"/>
        <v>0</v>
      </c>
      <c r="AY192" s="317">
        <f t="shared" si="127"/>
        <v>0</v>
      </c>
      <c r="AZ192" s="317">
        <f t="shared" si="128"/>
        <v>0</v>
      </c>
      <c r="BA192" s="317">
        <f t="shared" si="129"/>
        <v>0</v>
      </c>
    </row>
    <row r="193" spans="1:53" s="314" customFormat="1" ht="15.75" customHeight="1">
      <c r="A193" s="63" t="str">
        <f t="array" ref="A193">IF(C193&lt;&gt;0,SUM(($C$11:C193&lt;&gt;0)*1),"")</f>
        <v/>
      </c>
      <c r="B193" s="315"/>
      <c r="C193" s="315"/>
      <c r="D193" s="315"/>
      <c r="E193" s="432"/>
      <c r="F193" s="371"/>
      <c r="G193" s="373"/>
      <c r="H193" s="373"/>
      <c r="I193" s="63" t="str">
        <f t="shared" si="137"/>
        <v/>
      </c>
      <c r="J193" s="317">
        <f t="shared" si="92"/>
        <v>0</v>
      </c>
      <c r="K193" s="317">
        <f t="shared" si="93"/>
        <v>0</v>
      </c>
      <c r="L193" s="317">
        <f t="shared" si="94"/>
        <v>0</v>
      </c>
      <c r="M193" s="317">
        <f t="shared" si="95"/>
        <v>0</v>
      </c>
      <c r="N193" s="317">
        <f t="shared" si="130"/>
        <v>0</v>
      </c>
      <c r="O193" s="317">
        <f t="shared" si="131"/>
        <v>0</v>
      </c>
      <c r="P193" s="317">
        <f t="shared" si="96"/>
        <v>0</v>
      </c>
      <c r="Q193" s="317">
        <f t="shared" si="97"/>
        <v>0</v>
      </c>
      <c r="R193" s="317">
        <f t="shared" si="98"/>
        <v>0</v>
      </c>
      <c r="S193" s="317">
        <f t="shared" si="99"/>
        <v>0</v>
      </c>
      <c r="T193" s="317">
        <f t="shared" si="132"/>
        <v>0</v>
      </c>
      <c r="U193" s="317">
        <f t="shared" si="133"/>
        <v>0</v>
      </c>
      <c r="V193" s="317">
        <f t="shared" si="100"/>
        <v>0</v>
      </c>
      <c r="W193" s="317">
        <f t="shared" si="101"/>
        <v>0</v>
      </c>
      <c r="X193" s="317">
        <f t="shared" si="102"/>
        <v>0</v>
      </c>
      <c r="Y193" s="317">
        <f t="shared" si="103"/>
        <v>0</v>
      </c>
      <c r="Z193" s="317">
        <f t="shared" si="104"/>
        <v>0</v>
      </c>
      <c r="AA193" s="317">
        <f t="shared" si="105"/>
        <v>0</v>
      </c>
      <c r="AB193" s="317">
        <f t="shared" si="106"/>
        <v>0</v>
      </c>
      <c r="AC193" s="317">
        <f t="shared" si="107"/>
        <v>0</v>
      </c>
      <c r="AD193" s="317">
        <f t="shared" si="108"/>
        <v>0</v>
      </c>
      <c r="AE193" s="317">
        <f t="shared" si="109"/>
        <v>0</v>
      </c>
      <c r="AF193" s="317">
        <f t="shared" si="134"/>
        <v>0</v>
      </c>
      <c r="AG193" s="317">
        <f t="shared" si="135"/>
        <v>0</v>
      </c>
      <c r="AH193" s="317">
        <f t="shared" si="110"/>
        <v>0</v>
      </c>
      <c r="AI193" s="317">
        <f t="shared" si="111"/>
        <v>0</v>
      </c>
      <c r="AJ193" s="317">
        <f t="shared" si="112"/>
        <v>0</v>
      </c>
      <c r="AK193" s="317">
        <f t="shared" si="113"/>
        <v>0</v>
      </c>
      <c r="AL193" s="317">
        <f t="shared" si="114"/>
        <v>0</v>
      </c>
      <c r="AM193" s="317">
        <f t="shared" si="115"/>
        <v>0</v>
      </c>
      <c r="AN193" s="317">
        <f t="shared" si="116"/>
        <v>0</v>
      </c>
      <c r="AO193" s="317">
        <f t="shared" si="117"/>
        <v>0</v>
      </c>
      <c r="AP193" s="317">
        <f t="shared" si="118"/>
        <v>0</v>
      </c>
      <c r="AQ193" s="317">
        <f t="shared" si="119"/>
        <v>0</v>
      </c>
      <c r="AR193" s="317">
        <f t="shared" si="120"/>
        <v>0</v>
      </c>
      <c r="AS193" s="317">
        <f t="shared" si="121"/>
        <v>0</v>
      </c>
      <c r="AT193" s="317">
        <f t="shared" si="122"/>
        <v>0</v>
      </c>
      <c r="AU193" s="317">
        <f t="shared" si="123"/>
        <v>0</v>
      </c>
      <c r="AV193" s="317">
        <f t="shared" si="124"/>
        <v>0</v>
      </c>
      <c r="AW193" s="317">
        <f t="shared" si="125"/>
        <v>0</v>
      </c>
      <c r="AX193" s="317">
        <f t="shared" si="126"/>
        <v>0</v>
      </c>
      <c r="AY193" s="317">
        <f t="shared" si="127"/>
        <v>0</v>
      </c>
      <c r="AZ193" s="317">
        <f t="shared" si="128"/>
        <v>0</v>
      </c>
      <c r="BA193" s="317">
        <f t="shared" si="129"/>
        <v>0</v>
      </c>
    </row>
    <row r="194" spans="1:53" s="314" customFormat="1" ht="15.75" customHeight="1">
      <c r="A194" s="63" t="str">
        <f t="array" ref="A194">IF(C194&lt;&gt;0,SUM(($C$11:C194&lt;&gt;0)*1),"")</f>
        <v/>
      </c>
      <c r="B194" s="315"/>
      <c r="C194" s="315"/>
      <c r="D194" s="315"/>
      <c r="E194" s="432"/>
      <c r="F194" s="371"/>
      <c r="G194" s="373"/>
      <c r="H194" s="373"/>
      <c r="I194" s="63" t="str">
        <f t="shared" si="137"/>
        <v/>
      </c>
      <c r="J194" s="317">
        <f t="shared" si="92"/>
        <v>0</v>
      </c>
      <c r="K194" s="317">
        <f t="shared" si="93"/>
        <v>0</v>
      </c>
      <c r="L194" s="317">
        <f t="shared" si="94"/>
        <v>0</v>
      </c>
      <c r="M194" s="317">
        <f t="shared" si="95"/>
        <v>0</v>
      </c>
      <c r="N194" s="317">
        <f t="shared" si="130"/>
        <v>0</v>
      </c>
      <c r="O194" s="317">
        <f t="shared" si="131"/>
        <v>0</v>
      </c>
      <c r="P194" s="317">
        <f t="shared" si="96"/>
        <v>0</v>
      </c>
      <c r="Q194" s="317">
        <f t="shared" si="97"/>
        <v>0</v>
      </c>
      <c r="R194" s="317">
        <f t="shared" si="98"/>
        <v>0</v>
      </c>
      <c r="S194" s="317">
        <f t="shared" si="99"/>
        <v>0</v>
      </c>
      <c r="T194" s="317">
        <f t="shared" si="132"/>
        <v>0</v>
      </c>
      <c r="U194" s="317">
        <f t="shared" si="133"/>
        <v>0</v>
      </c>
      <c r="V194" s="317">
        <f t="shared" si="100"/>
        <v>0</v>
      </c>
      <c r="W194" s="317">
        <f t="shared" si="101"/>
        <v>0</v>
      </c>
      <c r="X194" s="317">
        <f t="shared" si="102"/>
        <v>0</v>
      </c>
      <c r="Y194" s="317">
        <f t="shared" si="103"/>
        <v>0</v>
      </c>
      <c r="Z194" s="317">
        <f t="shared" si="104"/>
        <v>0</v>
      </c>
      <c r="AA194" s="317">
        <f t="shared" si="105"/>
        <v>0</v>
      </c>
      <c r="AB194" s="317">
        <f t="shared" si="106"/>
        <v>0</v>
      </c>
      <c r="AC194" s="317">
        <f t="shared" si="107"/>
        <v>0</v>
      </c>
      <c r="AD194" s="317">
        <f t="shared" si="108"/>
        <v>0</v>
      </c>
      <c r="AE194" s="317">
        <f t="shared" si="109"/>
        <v>0</v>
      </c>
      <c r="AF194" s="317">
        <f t="shared" si="134"/>
        <v>0</v>
      </c>
      <c r="AG194" s="317">
        <f t="shared" si="135"/>
        <v>0</v>
      </c>
      <c r="AH194" s="317">
        <f t="shared" si="110"/>
        <v>0</v>
      </c>
      <c r="AI194" s="317">
        <f t="shared" si="111"/>
        <v>0</v>
      </c>
      <c r="AJ194" s="317">
        <f t="shared" si="112"/>
        <v>0</v>
      </c>
      <c r="AK194" s="317">
        <f t="shared" si="113"/>
        <v>0</v>
      </c>
      <c r="AL194" s="317">
        <f t="shared" si="114"/>
        <v>0</v>
      </c>
      <c r="AM194" s="317">
        <f t="shared" si="115"/>
        <v>0</v>
      </c>
      <c r="AN194" s="317">
        <f t="shared" si="116"/>
        <v>0</v>
      </c>
      <c r="AO194" s="317">
        <f t="shared" si="117"/>
        <v>0</v>
      </c>
      <c r="AP194" s="317">
        <f t="shared" si="118"/>
        <v>0</v>
      </c>
      <c r="AQ194" s="317">
        <f t="shared" si="119"/>
        <v>0</v>
      </c>
      <c r="AR194" s="317">
        <f t="shared" si="120"/>
        <v>0</v>
      </c>
      <c r="AS194" s="317">
        <f t="shared" si="121"/>
        <v>0</v>
      </c>
      <c r="AT194" s="317">
        <f t="shared" si="122"/>
        <v>0</v>
      </c>
      <c r="AU194" s="317">
        <f t="shared" si="123"/>
        <v>0</v>
      </c>
      <c r="AV194" s="317">
        <f t="shared" si="124"/>
        <v>0</v>
      </c>
      <c r="AW194" s="317">
        <f t="shared" si="125"/>
        <v>0</v>
      </c>
      <c r="AX194" s="317">
        <f t="shared" si="126"/>
        <v>0</v>
      </c>
      <c r="AY194" s="317">
        <f t="shared" si="127"/>
        <v>0</v>
      </c>
      <c r="AZ194" s="317">
        <f t="shared" si="128"/>
        <v>0</v>
      </c>
      <c r="BA194" s="317">
        <f t="shared" si="129"/>
        <v>0</v>
      </c>
    </row>
    <row r="195" spans="1:53" s="314" customFormat="1" ht="15.75" customHeight="1">
      <c r="A195" s="63" t="str">
        <f t="array" ref="A195">IF(C195&lt;&gt;0,SUM(($C$11:C195&lt;&gt;0)*1),"")</f>
        <v/>
      </c>
      <c r="B195" s="315"/>
      <c r="C195" s="315"/>
      <c r="D195" s="315"/>
      <c r="E195" s="432"/>
      <c r="F195" s="371"/>
      <c r="G195" s="373"/>
      <c r="H195" s="373"/>
      <c r="I195" s="63" t="str">
        <f t="shared" si="137"/>
        <v/>
      </c>
      <c r="J195" s="317">
        <f t="shared" si="92"/>
        <v>0</v>
      </c>
      <c r="K195" s="317">
        <f t="shared" si="93"/>
        <v>0</v>
      </c>
      <c r="L195" s="317">
        <f t="shared" si="94"/>
        <v>0</v>
      </c>
      <c r="M195" s="317">
        <f t="shared" si="95"/>
        <v>0</v>
      </c>
      <c r="N195" s="317">
        <f t="shared" si="130"/>
        <v>0</v>
      </c>
      <c r="O195" s="317">
        <f t="shared" si="131"/>
        <v>0</v>
      </c>
      <c r="P195" s="317">
        <f t="shared" si="96"/>
        <v>0</v>
      </c>
      <c r="Q195" s="317">
        <f t="shared" si="97"/>
        <v>0</v>
      </c>
      <c r="R195" s="317">
        <f t="shared" si="98"/>
        <v>0</v>
      </c>
      <c r="S195" s="317">
        <f t="shared" si="99"/>
        <v>0</v>
      </c>
      <c r="T195" s="317">
        <f t="shared" si="132"/>
        <v>0</v>
      </c>
      <c r="U195" s="317">
        <f t="shared" si="133"/>
        <v>0</v>
      </c>
      <c r="V195" s="317">
        <f t="shared" si="100"/>
        <v>0</v>
      </c>
      <c r="W195" s="317">
        <f t="shared" si="101"/>
        <v>0</v>
      </c>
      <c r="X195" s="317">
        <f t="shared" si="102"/>
        <v>0</v>
      </c>
      <c r="Y195" s="317">
        <f t="shared" si="103"/>
        <v>0</v>
      </c>
      <c r="Z195" s="317">
        <f t="shared" si="104"/>
        <v>0</v>
      </c>
      <c r="AA195" s="317">
        <f t="shared" si="105"/>
        <v>0</v>
      </c>
      <c r="AB195" s="317">
        <f t="shared" si="106"/>
        <v>0</v>
      </c>
      <c r="AC195" s="317">
        <f t="shared" si="107"/>
        <v>0</v>
      </c>
      <c r="AD195" s="317">
        <f t="shared" si="108"/>
        <v>0</v>
      </c>
      <c r="AE195" s="317">
        <f t="shared" si="109"/>
        <v>0</v>
      </c>
      <c r="AF195" s="317">
        <f t="shared" si="134"/>
        <v>0</v>
      </c>
      <c r="AG195" s="317">
        <f t="shared" si="135"/>
        <v>0</v>
      </c>
      <c r="AH195" s="317">
        <f t="shared" si="110"/>
        <v>0</v>
      </c>
      <c r="AI195" s="317">
        <f t="shared" si="111"/>
        <v>0</v>
      </c>
      <c r="AJ195" s="317">
        <f t="shared" si="112"/>
        <v>0</v>
      </c>
      <c r="AK195" s="317">
        <f t="shared" si="113"/>
        <v>0</v>
      </c>
      <c r="AL195" s="317">
        <f t="shared" si="114"/>
        <v>0</v>
      </c>
      <c r="AM195" s="317">
        <f t="shared" si="115"/>
        <v>0</v>
      </c>
      <c r="AN195" s="317">
        <f t="shared" si="116"/>
        <v>0</v>
      </c>
      <c r="AO195" s="317">
        <f t="shared" si="117"/>
        <v>0</v>
      </c>
      <c r="AP195" s="317">
        <f t="shared" si="118"/>
        <v>0</v>
      </c>
      <c r="AQ195" s="317">
        <f t="shared" si="119"/>
        <v>0</v>
      </c>
      <c r="AR195" s="317">
        <f t="shared" si="120"/>
        <v>0</v>
      </c>
      <c r="AS195" s="317">
        <f t="shared" si="121"/>
        <v>0</v>
      </c>
      <c r="AT195" s="317">
        <f t="shared" si="122"/>
        <v>0</v>
      </c>
      <c r="AU195" s="317">
        <f t="shared" si="123"/>
        <v>0</v>
      </c>
      <c r="AV195" s="317">
        <f t="shared" si="124"/>
        <v>0</v>
      </c>
      <c r="AW195" s="317">
        <f t="shared" si="125"/>
        <v>0</v>
      </c>
      <c r="AX195" s="317">
        <f t="shared" si="126"/>
        <v>0</v>
      </c>
      <c r="AY195" s="317">
        <f t="shared" si="127"/>
        <v>0</v>
      </c>
      <c r="AZ195" s="317">
        <f t="shared" si="128"/>
        <v>0</v>
      </c>
      <c r="BA195" s="317">
        <f t="shared" si="129"/>
        <v>0</v>
      </c>
    </row>
    <row r="196" spans="1:53" s="314" customFormat="1" ht="15.75" customHeight="1">
      <c r="A196" s="63" t="str">
        <f t="array" ref="A196">IF(C196&lt;&gt;0,SUM(($C$11:C196&lt;&gt;0)*1),"")</f>
        <v/>
      </c>
      <c r="B196" s="315"/>
      <c r="C196" s="315"/>
      <c r="D196" s="315"/>
      <c r="E196" s="432"/>
      <c r="F196" s="371"/>
      <c r="G196" s="373"/>
      <c r="H196" s="373"/>
      <c r="I196" s="63" t="str">
        <f t="shared" si="137"/>
        <v/>
      </c>
      <c r="J196" s="317">
        <f t="shared" si="92"/>
        <v>0</v>
      </c>
      <c r="K196" s="317">
        <f t="shared" si="93"/>
        <v>0</v>
      </c>
      <c r="L196" s="317">
        <f t="shared" si="94"/>
        <v>0</v>
      </c>
      <c r="M196" s="317">
        <f t="shared" si="95"/>
        <v>0</v>
      </c>
      <c r="N196" s="317">
        <f t="shared" si="130"/>
        <v>0</v>
      </c>
      <c r="O196" s="317">
        <f t="shared" si="131"/>
        <v>0</v>
      </c>
      <c r="P196" s="317">
        <f t="shared" si="96"/>
        <v>0</v>
      </c>
      <c r="Q196" s="317">
        <f t="shared" si="97"/>
        <v>0</v>
      </c>
      <c r="R196" s="317">
        <f t="shared" si="98"/>
        <v>0</v>
      </c>
      <c r="S196" s="317">
        <f t="shared" si="99"/>
        <v>0</v>
      </c>
      <c r="T196" s="317">
        <f t="shared" si="132"/>
        <v>0</v>
      </c>
      <c r="U196" s="317">
        <f t="shared" si="133"/>
        <v>0</v>
      </c>
      <c r="V196" s="317">
        <f t="shared" si="100"/>
        <v>0</v>
      </c>
      <c r="W196" s="317">
        <f t="shared" si="101"/>
        <v>0</v>
      </c>
      <c r="X196" s="317">
        <f t="shared" si="102"/>
        <v>0</v>
      </c>
      <c r="Y196" s="317">
        <f t="shared" si="103"/>
        <v>0</v>
      </c>
      <c r="Z196" s="317">
        <f t="shared" si="104"/>
        <v>0</v>
      </c>
      <c r="AA196" s="317">
        <f t="shared" si="105"/>
        <v>0</v>
      </c>
      <c r="AB196" s="317">
        <f t="shared" si="106"/>
        <v>0</v>
      </c>
      <c r="AC196" s="317">
        <f t="shared" si="107"/>
        <v>0</v>
      </c>
      <c r="AD196" s="317">
        <f t="shared" si="108"/>
        <v>0</v>
      </c>
      <c r="AE196" s="317">
        <f t="shared" si="109"/>
        <v>0</v>
      </c>
      <c r="AF196" s="317">
        <f t="shared" si="134"/>
        <v>0</v>
      </c>
      <c r="AG196" s="317">
        <f t="shared" si="135"/>
        <v>0</v>
      </c>
      <c r="AH196" s="317">
        <f t="shared" si="110"/>
        <v>0</v>
      </c>
      <c r="AI196" s="317">
        <f t="shared" si="111"/>
        <v>0</v>
      </c>
      <c r="AJ196" s="317">
        <f t="shared" si="112"/>
        <v>0</v>
      </c>
      <c r="AK196" s="317">
        <f t="shared" si="113"/>
        <v>0</v>
      </c>
      <c r="AL196" s="317">
        <f t="shared" si="114"/>
        <v>0</v>
      </c>
      <c r="AM196" s="317">
        <f t="shared" si="115"/>
        <v>0</v>
      </c>
      <c r="AN196" s="317">
        <f t="shared" si="116"/>
        <v>0</v>
      </c>
      <c r="AO196" s="317">
        <f t="shared" si="117"/>
        <v>0</v>
      </c>
      <c r="AP196" s="317">
        <f t="shared" si="118"/>
        <v>0</v>
      </c>
      <c r="AQ196" s="317">
        <f t="shared" si="119"/>
        <v>0</v>
      </c>
      <c r="AR196" s="317">
        <f t="shared" si="120"/>
        <v>0</v>
      </c>
      <c r="AS196" s="317">
        <f t="shared" si="121"/>
        <v>0</v>
      </c>
      <c r="AT196" s="317">
        <f t="shared" si="122"/>
        <v>0</v>
      </c>
      <c r="AU196" s="317">
        <f t="shared" si="123"/>
        <v>0</v>
      </c>
      <c r="AV196" s="317">
        <f t="shared" si="124"/>
        <v>0</v>
      </c>
      <c r="AW196" s="317">
        <f t="shared" si="125"/>
        <v>0</v>
      </c>
      <c r="AX196" s="317">
        <f t="shared" si="126"/>
        <v>0</v>
      </c>
      <c r="AY196" s="317">
        <f t="shared" si="127"/>
        <v>0</v>
      </c>
      <c r="AZ196" s="317">
        <f t="shared" si="128"/>
        <v>0</v>
      </c>
      <c r="BA196" s="317">
        <f t="shared" si="129"/>
        <v>0</v>
      </c>
    </row>
    <row r="197" spans="1:53" s="314" customFormat="1" ht="15.75" customHeight="1">
      <c r="A197" s="63" t="str">
        <f t="array" ref="A197">IF(C197&lt;&gt;0,SUM(($C$11:C197&lt;&gt;0)*1),"")</f>
        <v/>
      </c>
      <c r="B197" s="315"/>
      <c r="C197" s="315"/>
      <c r="D197" s="315"/>
      <c r="E197" s="432"/>
      <c r="F197" s="371"/>
      <c r="G197" s="373"/>
      <c r="H197" s="373"/>
      <c r="I197" s="63" t="str">
        <f t="shared" si="137"/>
        <v/>
      </c>
      <c r="J197" s="317">
        <f t="shared" si="92"/>
        <v>0</v>
      </c>
      <c r="K197" s="317">
        <f t="shared" si="93"/>
        <v>0</v>
      </c>
      <c r="L197" s="317">
        <f t="shared" si="94"/>
        <v>0</v>
      </c>
      <c r="M197" s="317">
        <f t="shared" si="95"/>
        <v>0</v>
      </c>
      <c r="N197" s="317">
        <f t="shared" si="130"/>
        <v>0</v>
      </c>
      <c r="O197" s="317">
        <f t="shared" si="131"/>
        <v>0</v>
      </c>
      <c r="P197" s="317">
        <f t="shared" si="96"/>
        <v>0</v>
      </c>
      <c r="Q197" s="317">
        <f t="shared" si="97"/>
        <v>0</v>
      </c>
      <c r="R197" s="317">
        <f t="shared" si="98"/>
        <v>0</v>
      </c>
      <c r="S197" s="317">
        <f t="shared" si="99"/>
        <v>0</v>
      </c>
      <c r="T197" s="317">
        <f t="shared" si="132"/>
        <v>0</v>
      </c>
      <c r="U197" s="317">
        <f t="shared" si="133"/>
        <v>0</v>
      </c>
      <c r="V197" s="317">
        <f t="shared" si="100"/>
        <v>0</v>
      </c>
      <c r="W197" s="317">
        <f t="shared" si="101"/>
        <v>0</v>
      </c>
      <c r="X197" s="317">
        <f t="shared" si="102"/>
        <v>0</v>
      </c>
      <c r="Y197" s="317">
        <f t="shared" si="103"/>
        <v>0</v>
      </c>
      <c r="Z197" s="317">
        <f t="shared" si="104"/>
        <v>0</v>
      </c>
      <c r="AA197" s="317">
        <f t="shared" si="105"/>
        <v>0</v>
      </c>
      <c r="AB197" s="317">
        <f t="shared" si="106"/>
        <v>0</v>
      </c>
      <c r="AC197" s="317">
        <f t="shared" si="107"/>
        <v>0</v>
      </c>
      <c r="AD197" s="317">
        <f t="shared" si="108"/>
        <v>0</v>
      </c>
      <c r="AE197" s="317">
        <f t="shared" si="109"/>
        <v>0</v>
      </c>
      <c r="AF197" s="317">
        <f t="shared" si="134"/>
        <v>0</v>
      </c>
      <c r="AG197" s="317">
        <f t="shared" si="135"/>
        <v>0</v>
      </c>
      <c r="AH197" s="317">
        <f t="shared" si="110"/>
        <v>0</v>
      </c>
      <c r="AI197" s="317">
        <f t="shared" si="111"/>
        <v>0</v>
      </c>
      <c r="AJ197" s="317">
        <f t="shared" si="112"/>
        <v>0</v>
      </c>
      <c r="AK197" s="317">
        <f t="shared" si="113"/>
        <v>0</v>
      </c>
      <c r="AL197" s="317">
        <f t="shared" si="114"/>
        <v>0</v>
      </c>
      <c r="AM197" s="317">
        <f t="shared" si="115"/>
        <v>0</v>
      </c>
      <c r="AN197" s="317">
        <f t="shared" si="116"/>
        <v>0</v>
      </c>
      <c r="AO197" s="317">
        <f t="shared" si="117"/>
        <v>0</v>
      </c>
      <c r="AP197" s="317">
        <f t="shared" si="118"/>
        <v>0</v>
      </c>
      <c r="AQ197" s="317">
        <f t="shared" si="119"/>
        <v>0</v>
      </c>
      <c r="AR197" s="317">
        <f t="shared" si="120"/>
        <v>0</v>
      </c>
      <c r="AS197" s="317">
        <f t="shared" si="121"/>
        <v>0</v>
      </c>
      <c r="AT197" s="317">
        <f t="shared" si="122"/>
        <v>0</v>
      </c>
      <c r="AU197" s="317">
        <f t="shared" si="123"/>
        <v>0</v>
      </c>
      <c r="AV197" s="317">
        <f t="shared" si="124"/>
        <v>0</v>
      </c>
      <c r="AW197" s="317">
        <f t="shared" si="125"/>
        <v>0</v>
      </c>
      <c r="AX197" s="317">
        <f t="shared" si="126"/>
        <v>0</v>
      </c>
      <c r="AY197" s="317">
        <f t="shared" si="127"/>
        <v>0</v>
      </c>
      <c r="AZ197" s="317">
        <f t="shared" si="128"/>
        <v>0</v>
      </c>
      <c r="BA197" s="317">
        <f t="shared" si="129"/>
        <v>0</v>
      </c>
    </row>
    <row r="198" spans="1:53" s="314" customFormat="1" ht="15.75" customHeight="1">
      <c r="A198" s="63" t="str">
        <f t="array" ref="A198">IF(C198&lt;&gt;0,SUM(($C$11:C198&lt;&gt;0)*1),"")</f>
        <v/>
      </c>
      <c r="B198" s="315"/>
      <c r="C198" s="315"/>
      <c r="D198" s="315"/>
      <c r="E198" s="432"/>
      <c r="F198" s="371"/>
      <c r="G198" s="373"/>
      <c r="H198" s="373"/>
      <c r="I198" s="63" t="str">
        <f t="shared" si="137"/>
        <v/>
      </c>
      <c r="J198" s="317">
        <f t="shared" si="92"/>
        <v>0</v>
      </c>
      <c r="K198" s="317">
        <f t="shared" si="93"/>
        <v>0</v>
      </c>
      <c r="L198" s="317">
        <f t="shared" si="94"/>
        <v>0</v>
      </c>
      <c r="M198" s="317">
        <f t="shared" si="95"/>
        <v>0</v>
      </c>
      <c r="N198" s="317">
        <f t="shared" si="130"/>
        <v>0</v>
      </c>
      <c r="O198" s="317">
        <f t="shared" si="131"/>
        <v>0</v>
      </c>
      <c r="P198" s="317">
        <f t="shared" si="96"/>
        <v>0</v>
      </c>
      <c r="Q198" s="317">
        <f t="shared" si="97"/>
        <v>0</v>
      </c>
      <c r="R198" s="317">
        <f t="shared" si="98"/>
        <v>0</v>
      </c>
      <c r="S198" s="317">
        <f t="shared" si="99"/>
        <v>0</v>
      </c>
      <c r="T198" s="317">
        <f t="shared" si="132"/>
        <v>0</v>
      </c>
      <c r="U198" s="317">
        <f t="shared" si="133"/>
        <v>0</v>
      </c>
      <c r="V198" s="317">
        <f t="shared" si="100"/>
        <v>0</v>
      </c>
      <c r="W198" s="317">
        <f t="shared" si="101"/>
        <v>0</v>
      </c>
      <c r="X198" s="317">
        <f t="shared" si="102"/>
        <v>0</v>
      </c>
      <c r="Y198" s="317">
        <f t="shared" si="103"/>
        <v>0</v>
      </c>
      <c r="Z198" s="317">
        <f t="shared" si="104"/>
        <v>0</v>
      </c>
      <c r="AA198" s="317">
        <f t="shared" si="105"/>
        <v>0</v>
      </c>
      <c r="AB198" s="317">
        <f t="shared" si="106"/>
        <v>0</v>
      </c>
      <c r="AC198" s="317">
        <f t="shared" si="107"/>
        <v>0</v>
      </c>
      <c r="AD198" s="317">
        <f t="shared" si="108"/>
        <v>0</v>
      </c>
      <c r="AE198" s="317">
        <f t="shared" si="109"/>
        <v>0</v>
      </c>
      <c r="AF198" s="317">
        <f t="shared" si="134"/>
        <v>0</v>
      </c>
      <c r="AG198" s="317">
        <f t="shared" si="135"/>
        <v>0</v>
      </c>
      <c r="AH198" s="317">
        <f t="shared" si="110"/>
        <v>0</v>
      </c>
      <c r="AI198" s="317">
        <f t="shared" si="111"/>
        <v>0</v>
      </c>
      <c r="AJ198" s="317">
        <f t="shared" si="112"/>
        <v>0</v>
      </c>
      <c r="AK198" s="317">
        <f t="shared" si="113"/>
        <v>0</v>
      </c>
      <c r="AL198" s="317">
        <f t="shared" si="114"/>
        <v>0</v>
      </c>
      <c r="AM198" s="317">
        <f t="shared" si="115"/>
        <v>0</v>
      </c>
      <c r="AN198" s="317">
        <f t="shared" si="116"/>
        <v>0</v>
      </c>
      <c r="AO198" s="317">
        <f t="shared" si="117"/>
        <v>0</v>
      </c>
      <c r="AP198" s="317">
        <f t="shared" si="118"/>
        <v>0</v>
      </c>
      <c r="AQ198" s="317">
        <f t="shared" si="119"/>
        <v>0</v>
      </c>
      <c r="AR198" s="317">
        <f t="shared" si="120"/>
        <v>0</v>
      </c>
      <c r="AS198" s="317">
        <f t="shared" si="121"/>
        <v>0</v>
      </c>
      <c r="AT198" s="317">
        <f t="shared" si="122"/>
        <v>0</v>
      </c>
      <c r="AU198" s="317">
        <f t="shared" si="123"/>
        <v>0</v>
      </c>
      <c r="AV198" s="317">
        <f t="shared" si="124"/>
        <v>0</v>
      </c>
      <c r="AW198" s="317">
        <f t="shared" si="125"/>
        <v>0</v>
      </c>
      <c r="AX198" s="317">
        <f t="shared" si="126"/>
        <v>0</v>
      </c>
      <c r="AY198" s="317">
        <f t="shared" si="127"/>
        <v>0</v>
      </c>
      <c r="AZ198" s="317">
        <f t="shared" si="128"/>
        <v>0</v>
      </c>
      <c r="BA198" s="317">
        <f t="shared" si="129"/>
        <v>0</v>
      </c>
    </row>
    <row r="199" spans="1:53" s="314" customFormat="1" ht="15.75" customHeight="1">
      <c r="A199" s="63" t="str">
        <f t="array" ref="A199">IF(C199&lt;&gt;0,SUM(($C$11:C199&lt;&gt;0)*1),"")</f>
        <v/>
      </c>
      <c r="B199" s="315"/>
      <c r="C199" s="315"/>
      <c r="D199" s="315"/>
      <c r="E199" s="432"/>
      <c r="F199" s="371"/>
      <c r="G199" s="373"/>
      <c r="H199" s="373"/>
      <c r="I199" s="63" t="str">
        <f t="shared" si="137"/>
        <v/>
      </c>
      <c r="J199" s="317">
        <f t="shared" si="92"/>
        <v>0</v>
      </c>
      <c r="K199" s="317">
        <f t="shared" si="93"/>
        <v>0</v>
      </c>
      <c r="L199" s="317">
        <f t="shared" si="94"/>
        <v>0</v>
      </c>
      <c r="M199" s="317">
        <f t="shared" si="95"/>
        <v>0</v>
      </c>
      <c r="N199" s="317">
        <f t="shared" si="130"/>
        <v>0</v>
      </c>
      <c r="O199" s="317">
        <f t="shared" si="131"/>
        <v>0</v>
      </c>
      <c r="P199" s="317">
        <f t="shared" si="96"/>
        <v>0</v>
      </c>
      <c r="Q199" s="317">
        <f t="shared" si="97"/>
        <v>0</v>
      </c>
      <c r="R199" s="317">
        <f t="shared" si="98"/>
        <v>0</v>
      </c>
      <c r="S199" s="317">
        <f t="shared" si="99"/>
        <v>0</v>
      </c>
      <c r="T199" s="317">
        <f t="shared" si="132"/>
        <v>0</v>
      </c>
      <c r="U199" s="317">
        <f t="shared" si="133"/>
        <v>0</v>
      </c>
      <c r="V199" s="317">
        <f t="shared" si="100"/>
        <v>0</v>
      </c>
      <c r="W199" s="317">
        <f t="shared" si="101"/>
        <v>0</v>
      </c>
      <c r="X199" s="317">
        <f t="shared" si="102"/>
        <v>0</v>
      </c>
      <c r="Y199" s="317">
        <f t="shared" si="103"/>
        <v>0</v>
      </c>
      <c r="Z199" s="317">
        <f t="shared" si="104"/>
        <v>0</v>
      </c>
      <c r="AA199" s="317">
        <f t="shared" si="105"/>
        <v>0</v>
      </c>
      <c r="AB199" s="317">
        <f t="shared" si="106"/>
        <v>0</v>
      </c>
      <c r="AC199" s="317">
        <f t="shared" si="107"/>
        <v>0</v>
      </c>
      <c r="AD199" s="317">
        <f t="shared" si="108"/>
        <v>0</v>
      </c>
      <c r="AE199" s="317">
        <f t="shared" si="109"/>
        <v>0</v>
      </c>
      <c r="AF199" s="317">
        <f t="shared" si="134"/>
        <v>0</v>
      </c>
      <c r="AG199" s="317">
        <f t="shared" si="135"/>
        <v>0</v>
      </c>
      <c r="AH199" s="317">
        <f t="shared" si="110"/>
        <v>0</v>
      </c>
      <c r="AI199" s="317">
        <f t="shared" si="111"/>
        <v>0</v>
      </c>
      <c r="AJ199" s="317">
        <f t="shared" si="112"/>
        <v>0</v>
      </c>
      <c r="AK199" s="317">
        <f t="shared" si="113"/>
        <v>0</v>
      </c>
      <c r="AL199" s="317">
        <f t="shared" si="114"/>
        <v>0</v>
      </c>
      <c r="AM199" s="317">
        <f t="shared" si="115"/>
        <v>0</v>
      </c>
      <c r="AN199" s="317">
        <f t="shared" si="116"/>
        <v>0</v>
      </c>
      <c r="AO199" s="317">
        <f t="shared" si="117"/>
        <v>0</v>
      </c>
      <c r="AP199" s="317">
        <f t="shared" si="118"/>
        <v>0</v>
      </c>
      <c r="AQ199" s="317">
        <f t="shared" si="119"/>
        <v>0</v>
      </c>
      <c r="AR199" s="317">
        <f t="shared" si="120"/>
        <v>0</v>
      </c>
      <c r="AS199" s="317">
        <f t="shared" si="121"/>
        <v>0</v>
      </c>
      <c r="AT199" s="317">
        <f t="shared" si="122"/>
        <v>0</v>
      </c>
      <c r="AU199" s="317">
        <f t="shared" si="123"/>
        <v>0</v>
      </c>
      <c r="AV199" s="317">
        <f t="shared" si="124"/>
        <v>0</v>
      </c>
      <c r="AW199" s="317">
        <f t="shared" si="125"/>
        <v>0</v>
      </c>
      <c r="AX199" s="317">
        <f t="shared" si="126"/>
        <v>0</v>
      </c>
      <c r="AY199" s="317">
        <f t="shared" si="127"/>
        <v>0</v>
      </c>
      <c r="AZ199" s="317">
        <f t="shared" si="128"/>
        <v>0</v>
      </c>
      <c r="BA199" s="317">
        <f t="shared" si="129"/>
        <v>0</v>
      </c>
    </row>
    <row r="200" spans="1:53" s="314" customFormat="1" ht="15.75" customHeight="1">
      <c r="A200" s="63" t="str">
        <f t="array" ref="A200">IF(C200&lt;&gt;0,SUM(($C$11:C200&lt;&gt;0)*1),"")</f>
        <v/>
      </c>
      <c r="B200" s="315"/>
      <c r="C200" s="315"/>
      <c r="D200" s="315"/>
      <c r="E200" s="432"/>
      <c r="F200" s="371"/>
      <c r="G200" s="373"/>
      <c r="H200" s="373"/>
      <c r="I200" s="63" t="str">
        <f t="shared" si="137"/>
        <v/>
      </c>
      <c r="J200" s="317">
        <f t="shared" si="92"/>
        <v>0</v>
      </c>
      <c r="K200" s="317">
        <f t="shared" si="93"/>
        <v>0</v>
      </c>
      <c r="L200" s="317">
        <f t="shared" si="94"/>
        <v>0</v>
      </c>
      <c r="M200" s="317">
        <f t="shared" si="95"/>
        <v>0</v>
      </c>
      <c r="N200" s="317">
        <f t="shared" si="130"/>
        <v>0</v>
      </c>
      <c r="O200" s="317">
        <f t="shared" si="131"/>
        <v>0</v>
      </c>
      <c r="P200" s="317">
        <f t="shared" si="96"/>
        <v>0</v>
      </c>
      <c r="Q200" s="317">
        <f t="shared" si="97"/>
        <v>0</v>
      </c>
      <c r="R200" s="317">
        <f t="shared" si="98"/>
        <v>0</v>
      </c>
      <c r="S200" s="317">
        <f t="shared" si="99"/>
        <v>0</v>
      </c>
      <c r="T200" s="317">
        <f t="shared" si="132"/>
        <v>0</v>
      </c>
      <c r="U200" s="317">
        <f t="shared" si="133"/>
        <v>0</v>
      </c>
      <c r="V200" s="317">
        <f t="shared" si="100"/>
        <v>0</v>
      </c>
      <c r="W200" s="317">
        <f t="shared" si="101"/>
        <v>0</v>
      </c>
      <c r="X200" s="317">
        <f t="shared" si="102"/>
        <v>0</v>
      </c>
      <c r="Y200" s="317">
        <f t="shared" si="103"/>
        <v>0</v>
      </c>
      <c r="Z200" s="317">
        <f t="shared" si="104"/>
        <v>0</v>
      </c>
      <c r="AA200" s="317">
        <f t="shared" si="105"/>
        <v>0</v>
      </c>
      <c r="AB200" s="317">
        <f t="shared" si="106"/>
        <v>0</v>
      </c>
      <c r="AC200" s="317">
        <f t="shared" si="107"/>
        <v>0</v>
      </c>
      <c r="AD200" s="317">
        <f t="shared" si="108"/>
        <v>0</v>
      </c>
      <c r="AE200" s="317">
        <f t="shared" si="109"/>
        <v>0</v>
      </c>
      <c r="AF200" s="317">
        <f t="shared" si="134"/>
        <v>0</v>
      </c>
      <c r="AG200" s="317">
        <f t="shared" si="135"/>
        <v>0</v>
      </c>
      <c r="AH200" s="317">
        <f t="shared" si="110"/>
        <v>0</v>
      </c>
      <c r="AI200" s="317">
        <f t="shared" si="111"/>
        <v>0</v>
      </c>
      <c r="AJ200" s="317">
        <f t="shared" si="112"/>
        <v>0</v>
      </c>
      <c r="AK200" s="317">
        <f t="shared" si="113"/>
        <v>0</v>
      </c>
      <c r="AL200" s="317">
        <f t="shared" si="114"/>
        <v>0</v>
      </c>
      <c r="AM200" s="317">
        <f t="shared" si="115"/>
        <v>0</v>
      </c>
      <c r="AN200" s="317">
        <f t="shared" si="116"/>
        <v>0</v>
      </c>
      <c r="AO200" s="317">
        <f t="shared" si="117"/>
        <v>0</v>
      </c>
      <c r="AP200" s="317">
        <f t="shared" si="118"/>
        <v>0</v>
      </c>
      <c r="AQ200" s="317">
        <f t="shared" si="119"/>
        <v>0</v>
      </c>
      <c r="AR200" s="317">
        <f t="shared" si="120"/>
        <v>0</v>
      </c>
      <c r="AS200" s="317">
        <f t="shared" si="121"/>
        <v>0</v>
      </c>
      <c r="AT200" s="317">
        <f t="shared" si="122"/>
        <v>0</v>
      </c>
      <c r="AU200" s="317">
        <f t="shared" si="123"/>
        <v>0</v>
      </c>
      <c r="AV200" s="317">
        <f t="shared" si="124"/>
        <v>0</v>
      </c>
      <c r="AW200" s="317">
        <f t="shared" si="125"/>
        <v>0</v>
      </c>
      <c r="AX200" s="317">
        <f t="shared" si="126"/>
        <v>0</v>
      </c>
      <c r="AY200" s="317">
        <f t="shared" si="127"/>
        <v>0</v>
      </c>
      <c r="AZ200" s="317">
        <f t="shared" si="128"/>
        <v>0</v>
      </c>
      <c r="BA200" s="317">
        <f t="shared" si="129"/>
        <v>0</v>
      </c>
    </row>
    <row r="201" spans="1:53" s="314" customFormat="1" ht="15.75" customHeight="1">
      <c r="A201" s="63" t="str">
        <f t="array" ref="A201">IF(C201&lt;&gt;0,SUM(($C$11:C201&lt;&gt;0)*1),"")</f>
        <v/>
      </c>
      <c r="B201" s="315"/>
      <c r="C201" s="315"/>
      <c r="D201" s="315"/>
      <c r="E201" s="432"/>
      <c r="F201" s="371"/>
      <c r="G201" s="373"/>
      <c r="H201" s="373"/>
      <c r="I201" s="63" t="str">
        <f t="shared" si="137"/>
        <v/>
      </c>
      <c r="J201" s="317">
        <f t="shared" si="92"/>
        <v>0</v>
      </c>
      <c r="K201" s="317">
        <f t="shared" si="93"/>
        <v>0</v>
      </c>
      <c r="L201" s="317">
        <f t="shared" si="94"/>
        <v>0</v>
      </c>
      <c r="M201" s="317">
        <f t="shared" si="95"/>
        <v>0</v>
      </c>
      <c r="N201" s="317">
        <f t="shared" si="130"/>
        <v>0</v>
      </c>
      <c r="O201" s="317">
        <f t="shared" si="131"/>
        <v>0</v>
      </c>
      <c r="P201" s="317">
        <f t="shared" si="96"/>
        <v>0</v>
      </c>
      <c r="Q201" s="317">
        <f t="shared" si="97"/>
        <v>0</v>
      </c>
      <c r="R201" s="317">
        <f t="shared" si="98"/>
        <v>0</v>
      </c>
      <c r="S201" s="317">
        <f t="shared" si="99"/>
        <v>0</v>
      </c>
      <c r="T201" s="317">
        <f t="shared" si="132"/>
        <v>0</v>
      </c>
      <c r="U201" s="317">
        <f t="shared" si="133"/>
        <v>0</v>
      </c>
      <c r="V201" s="317">
        <f t="shared" si="100"/>
        <v>0</v>
      </c>
      <c r="W201" s="317">
        <f t="shared" si="101"/>
        <v>0</v>
      </c>
      <c r="X201" s="317">
        <f t="shared" si="102"/>
        <v>0</v>
      </c>
      <c r="Y201" s="317">
        <f t="shared" si="103"/>
        <v>0</v>
      </c>
      <c r="Z201" s="317">
        <f t="shared" si="104"/>
        <v>0</v>
      </c>
      <c r="AA201" s="317">
        <f t="shared" si="105"/>
        <v>0</v>
      </c>
      <c r="AB201" s="317">
        <f t="shared" si="106"/>
        <v>0</v>
      </c>
      <c r="AC201" s="317">
        <f t="shared" si="107"/>
        <v>0</v>
      </c>
      <c r="AD201" s="317">
        <f t="shared" si="108"/>
        <v>0</v>
      </c>
      <c r="AE201" s="317">
        <f t="shared" si="109"/>
        <v>0</v>
      </c>
      <c r="AF201" s="317">
        <f t="shared" si="134"/>
        <v>0</v>
      </c>
      <c r="AG201" s="317">
        <f t="shared" si="135"/>
        <v>0</v>
      </c>
      <c r="AH201" s="317">
        <f t="shared" si="110"/>
        <v>0</v>
      </c>
      <c r="AI201" s="317">
        <f t="shared" si="111"/>
        <v>0</v>
      </c>
      <c r="AJ201" s="317">
        <f t="shared" si="112"/>
        <v>0</v>
      </c>
      <c r="AK201" s="317">
        <f t="shared" si="113"/>
        <v>0</v>
      </c>
      <c r="AL201" s="317">
        <f t="shared" si="114"/>
        <v>0</v>
      </c>
      <c r="AM201" s="317">
        <f t="shared" si="115"/>
        <v>0</v>
      </c>
      <c r="AN201" s="317">
        <f t="shared" si="116"/>
        <v>0</v>
      </c>
      <c r="AO201" s="317">
        <f t="shared" si="117"/>
        <v>0</v>
      </c>
      <c r="AP201" s="317">
        <f t="shared" si="118"/>
        <v>0</v>
      </c>
      <c r="AQ201" s="317">
        <f t="shared" si="119"/>
        <v>0</v>
      </c>
      <c r="AR201" s="317">
        <f t="shared" si="120"/>
        <v>0</v>
      </c>
      <c r="AS201" s="317">
        <f t="shared" si="121"/>
        <v>0</v>
      </c>
      <c r="AT201" s="317">
        <f t="shared" si="122"/>
        <v>0</v>
      </c>
      <c r="AU201" s="317">
        <f t="shared" si="123"/>
        <v>0</v>
      </c>
      <c r="AV201" s="317">
        <f t="shared" si="124"/>
        <v>0</v>
      </c>
      <c r="AW201" s="317">
        <f t="shared" si="125"/>
        <v>0</v>
      </c>
      <c r="AX201" s="317">
        <f t="shared" si="126"/>
        <v>0</v>
      </c>
      <c r="AY201" s="317">
        <f t="shared" si="127"/>
        <v>0</v>
      </c>
      <c r="AZ201" s="317">
        <f t="shared" si="128"/>
        <v>0</v>
      </c>
      <c r="BA201" s="317">
        <f t="shared" si="129"/>
        <v>0</v>
      </c>
    </row>
    <row r="202" spans="1:53" s="314" customFormat="1" ht="15.75" customHeight="1">
      <c r="A202" s="63" t="str">
        <f t="array" ref="A202">IF(C202&lt;&gt;0,SUM(($C$11:C202&lt;&gt;0)*1),"")</f>
        <v/>
      </c>
      <c r="B202" s="315"/>
      <c r="C202" s="315"/>
      <c r="D202" s="315"/>
      <c r="E202" s="432"/>
      <c r="F202" s="371"/>
      <c r="G202" s="373"/>
      <c r="H202" s="373"/>
      <c r="I202" s="63" t="str">
        <f t="shared" si="137"/>
        <v/>
      </c>
      <c r="J202" s="317">
        <f t="shared" si="92"/>
        <v>0</v>
      </c>
      <c r="K202" s="317">
        <f t="shared" si="93"/>
        <v>0</v>
      </c>
      <c r="L202" s="317">
        <f t="shared" si="94"/>
        <v>0</v>
      </c>
      <c r="M202" s="317">
        <f t="shared" si="95"/>
        <v>0</v>
      </c>
      <c r="N202" s="317">
        <f t="shared" si="130"/>
        <v>0</v>
      </c>
      <c r="O202" s="317">
        <f t="shared" si="131"/>
        <v>0</v>
      </c>
      <c r="P202" s="317">
        <f t="shared" si="96"/>
        <v>0</v>
      </c>
      <c r="Q202" s="317">
        <f t="shared" si="97"/>
        <v>0</v>
      </c>
      <c r="R202" s="317">
        <f t="shared" si="98"/>
        <v>0</v>
      </c>
      <c r="S202" s="317">
        <f t="shared" si="99"/>
        <v>0</v>
      </c>
      <c r="T202" s="317">
        <f t="shared" si="132"/>
        <v>0</v>
      </c>
      <c r="U202" s="317">
        <f t="shared" si="133"/>
        <v>0</v>
      </c>
      <c r="V202" s="317">
        <f t="shared" si="100"/>
        <v>0</v>
      </c>
      <c r="W202" s="317">
        <f t="shared" si="101"/>
        <v>0</v>
      </c>
      <c r="X202" s="317">
        <f t="shared" si="102"/>
        <v>0</v>
      </c>
      <c r="Y202" s="317">
        <f t="shared" si="103"/>
        <v>0</v>
      </c>
      <c r="Z202" s="317">
        <f t="shared" si="104"/>
        <v>0</v>
      </c>
      <c r="AA202" s="317">
        <f t="shared" si="105"/>
        <v>0</v>
      </c>
      <c r="AB202" s="317">
        <f t="shared" si="106"/>
        <v>0</v>
      </c>
      <c r="AC202" s="317">
        <f t="shared" si="107"/>
        <v>0</v>
      </c>
      <c r="AD202" s="317">
        <f t="shared" si="108"/>
        <v>0</v>
      </c>
      <c r="AE202" s="317">
        <f t="shared" si="109"/>
        <v>0</v>
      </c>
      <c r="AF202" s="317">
        <f t="shared" si="134"/>
        <v>0</v>
      </c>
      <c r="AG202" s="317">
        <f t="shared" si="135"/>
        <v>0</v>
      </c>
      <c r="AH202" s="317">
        <f t="shared" si="110"/>
        <v>0</v>
      </c>
      <c r="AI202" s="317">
        <f t="shared" si="111"/>
        <v>0</v>
      </c>
      <c r="AJ202" s="317">
        <f t="shared" si="112"/>
        <v>0</v>
      </c>
      <c r="AK202" s="317">
        <f t="shared" si="113"/>
        <v>0</v>
      </c>
      <c r="AL202" s="317">
        <f t="shared" si="114"/>
        <v>0</v>
      </c>
      <c r="AM202" s="317">
        <f t="shared" si="115"/>
        <v>0</v>
      </c>
      <c r="AN202" s="317">
        <f t="shared" si="116"/>
        <v>0</v>
      </c>
      <c r="AO202" s="317">
        <f t="shared" si="117"/>
        <v>0</v>
      </c>
      <c r="AP202" s="317">
        <f t="shared" si="118"/>
        <v>0</v>
      </c>
      <c r="AQ202" s="317">
        <f t="shared" si="119"/>
        <v>0</v>
      </c>
      <c r="AR202" s="317">
        <f t="shared" si="120"/>
        <v>0</v>
      </c>
      <c r="AS202" s="317">
        <f t="shared" si="121"/>
        <v>0</v>
      </c>
      <c r="AT202" s="317">
        <f t="shared" si="122"/>
        <v>0</v>
      </c>
      <c r="AU202" s="317">
        <f t="shared" si="123"/>
        <v>0</v>
      </c>
      <c r="AV202" s="317">
        <f t="shared" si="124"/>
        <v>0</v>
      </c>
      <c r="AW202" s="317">
        <f t="shared" si="125"/>
        <v>0</v>
      </c>
      <c r="AX202" s="317">
        <f t="shared" si="126"/>
        <v>0</v>
      </c>
      <c r="AY202" s="317">
        <f t="shared" si="127"/>
        <v>0</v>
      </c>
      <c r="AZ202" s="317">
        <f t="shared" si="128"/>
        <v>0</v>
      </c>
      <c r="BA202" s="317">
        <f t="shared" si="129"/>
        <v>0</v>
      </c>
    </row>
    <row r="203" spans="1:53" s="314" customFormat="1" ht="15.75" customHeight="1">
      <c r="A203" s="63" t="str">
        <f t="array" ref="A203">IF(C203&lt;&gt;0,SUM(($C$11:C203&lt;&gt;0)*1),"")</f>
        <v/>
      </c>
      <c r="B203" s="315"/>
      <c r="C203" s="315"/>
      <c r="D203" s="315"/>
      <c r="E203" s="432"/>
      <c r="F203" s="371"/>
      <c r="G203" s="373"/>
      <c r="H203" s="373"/>
      <c r="I203" s="63" t="str">
        <f t="shared" si="137"/>
        <v/>
      </c>
      <c r="J203" s="317">
        <f t="shared" ref="J203:J242" si="138">IF($G203="1111",$F203,0)</f>
        <v>0</v>
      </c>
      <c r="K203" s="317">
        <f t="shared" ref="K203:K242" si="139">IF($H203="1111",$F203,0)</f>
        <v>0</v>
      </c>
      <c r="L203" s="317">
        <f t="shared" ref="L203:L242" si="140">IF($G203="1121",$F203,0)</f>
        <v>0</v>
      </c>
      <c r="M203" s="317">
        <f t="shared" ref="M203:M242" si="141">IF($H203="1121",$F203,0)</f>
        <v>0</v>
      </c>
      <c r="N203" s="317">
        <f t="shared" si="130"/>
        <v>0</v>
      </c>
      <c r="O203" s="317">
        <f t="shared" si="131"/>
        <v>0</v>
      </c>
      <c r="P203" s="317">
        <f t="shared" ref="P203:P242" si="142">IF($G203="1331",$F203,0)</f>
        <v>0</v>
      </c>
      <c r="Q203" s="317">
        <f t="shared" ref="Q203:Q242" si="143">IF($H203="1331",$F203,0)</f>
        <v>0</v>
      </c>
      <c r="R203" s="317">
        <f t="shared" ref="R203:R242" si="144">IF($G203="1388",$F203,0)</f>
        <v>0</v>
      </c>
      <c r="S203" s="317">
        <f t="shared" ref="S203:S242" si="145">IF($H203="1388",$F203,0)</f>
        <v>0</v>
      </c>
      <c r="T203" s="317">
        <f t="shared" si="132"/>
        <v>0</v>
      </c>
      <c r="U203" s="317">
        <f t="shared" si="133"/>
        <v>0</v>
      </c>
      <c r="V203" s="317">
        <f t="shared" ref="V203:V242" si="146">IF($G203="331",$F203,0)</f>
        <v>0</v>
      </c>
      <c r="W203" s="317">
        <f t="shared" ref="W203:W242" si="147">IF($H203="331",$F203,0)</f>
        <v>0</v>
      </c>
      <c r="X203" s="317">
        <f t="shared" ref="X203:X242" si="148">IF($G203="3334",$F203,0)</f>
        <v>0</v>
      </c>
      <c r="Y203" s="317">
        <f t="shared" ref="Y203:Y242" si="149">IF($H203="3334",$F203,0)</f>
        <v>0</v>
      </c>
      <c r="Z203" s="317">
        <f t="shared" ref="Z203:Z242" si="150">IF($G203="33382",$F203,0)</f>
        <v>0</v>
      </c>
      <c r="AA203" s="317">
        <f t="shared" ref="AA203:AA242" si="151">IF($H203="33382",$F203,0)</f>
        <v>0</v>
      </c>
      <c r="AB203" s="317">
        <f t="shared" ref="AB203:AB242" si="152">IF($G203="3388",$F203,0)</f>
        <v>0</v>
      </c>
      <c r="AC203" s="317">
        <f t="shared" ref="AC203:AC242" si="153">IF($H203="3388",$F203,0)</f>
        <v>0</v>
      </c>
      <c r="AD203" s="317">
        <f t="shared" ref="AD203:AD242" si="154">IF($G203="3411",$F203,0)</f>
        <v>0</v>
      </c>
      <c r="AE203" s="317">
        <f t="shared" ref="AE203:AE242" si="155">IF($H203="3411",$F203,0)</f>
        <v>0</v>
      </c>
      <c r="AF203" s="317">
        <f t="shared" si="134"/>
        <v>0</v>
      </c>
      <c r="AG203" s="317">
        <f t="shared" si="135"/>
        <v>0</v>
      </c>
      <c r="AH203" s="317">
        <f t="shared" ref="AH203:AH242" si="156">IF($G203="4111",$F203,0)</f>
        <v>0</v>
      </c>
      <c r="AI203" s="317">
        <f t="shared" ref="AI203:AI242" si="157">IF($H203="4111",$F203,0)</f>
        <v>0</v>
      </c>
      <c r="AJ203" s="317">
        <f t="shared" ref="AJ203:AJ242" si="158">IF($G203="4211",$F203,0)</f>
        <v>0</v>
      </c>
      <c r="AK203" s="317">
        <f t="shared" ref="AK203:AK242" si="159">IF($H203="4211",$F203,0)</f>
        <v>0</v>
      </c>
      <c r="AL203" s="317">
        <f t="shared" ref="AL203:AL242" si="160">IF($G203="4212",$F203,0)</f>
        <v>0</v>
      </c>
      <c r="AM203" s="317">
        <f t="shared" ref="AM203:AM242" si="161">IF($H203="4212",$F203,0)</f>
        <v>0</v>
      </c>
      <c r="AN203" s="317">
        <f t="shared" ref="AN203:AN242" si="162">IF($G203="515",$F203,0)</f>
        <v>0</v>
      </c>
      <c r="AO203" s="317">
        <f t="shared" ref="AO203:AO242" si="163">IF($H203="515",$F203,0)</f>
        <v>0</v>
      </c>
      <c r="AP203" s="317">
        <f t="shared" ref="AP203:AP242" si="164">IF($G203="635",$F203,0)</f>
        <v>0</v>
      </c>
      <c r="AQ203" s="317">
        <f t="shared" ref="AQ203:AQ242" si="165">IF($H203="635",$F203,0)</f>
        <v>0</v>
      </c>
      <c r="AR203" s="317">
        <f t="shared" ref="AR203:AR242" si="166">IF($G203="642",$F203,0)</f>
        <v>0</v>
      </c>
      <c r="AS203" s="317">
        <f t="shared" ref="AS203:AS242" si="167">IF($H203="642",$F203,0)</f>
        <v>0</v>
      </c>
      <c r="AT203" s="317">
        <f t="shared" ref="AT203:AT242" si="168">IF($G203="711",$F203,0)</f>
        <v>0</v>
      </c>
      <c r="AU203" s="317">
        <f t="shared" ref="AU203:AU242" si="169">IF($H203="711",$F203,0)</f>
        <v>0</v>
      </c>
      <c r="AV203" s="317">
        <f t="shared" ref="AV203:AV242" si="170">IF($G203="811",$F203,0)</f>
        <v>0</v>
      </c>
      <c r="AW203" s="317">
        <f t="shared" ref="AW203:AW242" si="171">IF($H203="811",$F203,0)</f>
        <v>0</v>
      </c>
      <c r="AX203" s="317">
        <f t="shared" ref="AX203:AX242" si="172">IF($G203="821",$F203,0)</f>
        <v>0</v>
      </c>
      <c r="AY203" s="317">
        <f t="shared" ref="AY203:AY242" si="173">IF($H203="821",$F203,0)</f>
        <v>0</v>
      </c>
      <c r="AZ203" s="317">
        <f t="shared" ref="AZ203:AZ242" si="174">IF($G203="911",$F203,0)</f>
        <v>0</v>
      </c>
      <c r="BA203" s="317">
        <f t="shared" ref="BA203:BA242" si="175">IF($H203="911",$F203,0)</f>
        <v>0</v>
      </c>
    </row>
    <row r="204" spans="1:53" s="314" customFormat="1" ht="15.75" customHeight="1">
      <c r="A204" s="63" t="str">
        <f t="array" ref="A204">IF(C204&lt;&gt;0,SUM(($C$11:C204&lt;&gt;0)*1),"")</f>
        <v/>
      </c>
      <c r="B204" s="315"/>
      <c r="C204" s="315"/>
      <c r="D204" s="315"/>
      <c r="E204" s="432"/>
      <c r="F204" s="371"/>
      <c r="G204" s="373"/>
      <c r="H204" s="373"/>
      <c r="I204" s="63" t="str">
        <f t="shared" si="137"/>
        <v/>
      </c>
      <c r="J204" s="317">
        <f t="shared" si="138"/>
        <v>0</v>
      </c>
      <c r="K204" s="317">
        <f t="shared" si="139"/>
        <v>0</v>
      </c>
      <c r="L204" s="317">
        <f t="shared" si="140"/>
        <v>0</v>
      </c>
      <c r="M204" s="317">
        <f t="shared" si="141"/>
        <v>0</v>
      </c>
      <c r="N204" s="317">
        <f t="shared" ref="N204:N242" si="176">IF($G204="1122",$F204,0)</f>
        <v>0</v>
      </c>
      <c r="O204" s="317">
        <f t="shared" ref="O204:O242" si="177">IF($H204="1122",$F204,0)</f>
        <v>0</v>
      </c>
      <c r="P204" s="317">
        <f t="shared" si="142"/>
        <v>0</v>
      </c>
      <c r="Q204" s="317">
        <f t="shared" si="143"/>
        <v>0</v>
      </c>
      <c r="R204" s="317">
        <f t="shared" si="144"/>
        <v>0</v>
      </c>
      <c r="S204" s="317">
        <f t="shared" si="145"/>
        <v>0</v>
      </c>
      <c r="T204" s="317">
        <f t="shared" ref="T204:T242" si="178">IF($G204="2412",$F204,0)</f>
        <v>0</v>
      </c>
      <c r="U204" s="317">
        <f t="shared" ref="U204:U242" si="179">IF($H204="2412",$F204,0)</f>
        <v>0</v>
      </c>
      <c r="V204" s="317">
        <f t="shared" si="146"/>
        <v>0</v>
      </c>
      <c r="W204" s="317">
        <f t="shared" si="147"/>
        <v>0</v>
      </c>
      <c r="X204" s="317">
        <f t="shared" si="148"/>
        <v>0</v>
      </c>
      <c r="Y204" s="317">
        <f t="shared" si="149"/>
        <v>0</v>
      </c>
      <c r="Z204" s="317">
        <f t="shared" si="150"/>
        <v>0</v>
      </c>
      <c r="AA204" s="317">
        <f t="shared" si="151"/>
        <v>0</v>
      </c>
      <c r="AB204" s="317">
        <f t="shared" si="152"/>
        <v>0</v>
      </c>
      <c r="AC204" s="317">
        <f t="shared" si="153"/>
        <v>0</v>
      </c>
      <c r="AD204" s="317">
        <f t="shared" si="154"/>
        <v>0</v>
      </c>
      <c r="AE204" s="317">
        <f t="shared" si="155"/>
        <v>0</v>
      </c>
      <c r="AF204" s="317">
        <f t="shared" ref="AF204:AF242" si="180">IF($G204="3412",$F204,0)</f>
        <v>0</v>
      </c>
      <c r="AG204" s="317">
        <f t="shared" ref="AG204:AG242" si="181">IF($H204="3412",$F204,0)</f>
        <v>0</v>
      </c>
      <c r="AH204" s="317">
        <f t="shared" si="156"/>
        <v>0</v>
      </c>
      <c r="AI204" s="317">
        <f t="shared" si="157"/>
        <v>0</v>
      </c>
      <c r="AJ204" s="317">
        <f t="shared" si="158"/>
        <v>0</v>
      </c>
      <c r="AK204" s="317">
        <f t="shared" si="159"/>
        <v>0</v>
      </c>
      <c r="AL204" s="317">
        <f t="shared" si="160"/>
        <v>0</v>
      </c>
      <c r="AM204" s="317">
        <f t="shared" si="161"/>
        <v>0</v>
      </c>
      <c r="AN204" s="317">
        <f t="shared" si="162"/>
        <v>0</v>
      </c>
      <c r="AO204" s="317">
        <f t="shared" si="163"/>
        <v>0</v>
      </c>
      <c r="AP204" s="317">
        <f t="shared" si="164"/>
        <v>0</v>
      </c>
      <c r="AQ204" s="317">
        <f t="shared" si="165"/>
        <v>0</v>
      </c>
      <c r="AR204" s="317">
        <f t="shared" si="166"/>
        <v>0</v>
      </c>
      <c r="AS204" s="317">
        <f t="shared" si="167"/>
        <v>0</v>
      </c>
      <c r="AT204" s="317">
        <f t="shared" si="168"/>
        <v>0</v>
      </c>
      <c r="AU204" s="317">
        <f t="shared" si="169"/>
        <v>0</v>
      </c>
      <c r="AV204" s="317">
        <f t="shared" si="170"/>
        <v>0</v>
      </c>
      <c r="AW204" s="317">
        <f t="shared" si="171"/>
        <v>0</v>
      </c>
      <c r="AX204" s="317">
        <f t="shared" si="172"/>
        <v>0</v>
      </c>
      <c r="AY204" s="317">
        <f t="shared" si="173"/>
        <v>0</v>
      </c>
      <c r="AZ204" s="317">
        <f t="shared" si="174"/>
        <v>0</v>
      </c>
      <c r="BA204" s="317">
        <f t="shared" si="175"/>
        <v>0</v>
      </c>
    </row>
    <row r="205" spans="1:53" s="314" customFormat="1" ht="15.75" customHeight="1">
      <c r="A205" s="63" t="str">
        <f t="array" ref="A205">IF(C205&lt;&gt;0,SUM(($C$11:C205&lt;&gt;0)*1),"")</f>
        <v/>
      </c>
      <c r="B205" s="315"/>
      <c r="C205" s="315"/>
      <c r="D205" s="315"/>
      <c r="E205" s="432"/>
      <c r="F205" s="371"/>
      <c r="G205" s="373"/>
      <c r="H205" s="373"/>
      <c r="I205" s="63" t="str">
        <f t="shared" si="137"/>
        <v/>
      </c>
      <c r="J205" s="317">
        <f t="shared" si="138"/>
        <v>0</v>
      </c>
      <c r="K205" s="317">
        <f t="shared" si="139"/>
        <v>0</v>
      </c>
      <c r="L205" s="317">
        <f t="shared" si="140"/>
        <v>0</v>
      </c>
      <c r="M205" s="317">
        <f t="shared" si="141"/>
        <v>0</v>
      </c>
      <c r="N205" s="317">
        <f t="shared" si="176"/>
        <v>0</v>
      </c>
      <c r="O205" s="317">
        <f t="shared" si="177"/>
        <v>0</v>
      </c>
      <c r="P205" s="317">
        <f t="shared" si="142"/>
        <v>0</v>
      </c>
      <c r="Q205" s="317">
        <f t="shared" si="143"/>
        <v>0</v>
      </c>
      <c r="R205" s="317">
        <f t="shared" si="144"/>
        <v>0</v>
      </c>
      <c r="S205" s="317">
        <f t="shared" si="145"/>
        <v>0</v>
      </c>
      <c r="T205" s="317">
        <f t="shared" si="178"/>
        <v>0</v>
      </c>
      <c r="U205" s="317">
        <f t="shared" si="179"/>
        <v>0</v>
      </c>
      <c r="V205" s="317">
        <f t="shared" si="146"/>
        <v>0</v>
      </c>
      <c r="W205" s="317">
        <f t="shared" si="147"/>
        <v>0</v>
      </c>
      <c r="X205" s="317">
        <f t="shared" si="148"/>
        <v>0</v>
      </c>
      <c r="Y205" s="317">
        <f t="shared" si="149"/>
        <v>0</v>
      </c>
      <c r="Z205" s="317">
        <f t="shared" si="150"/>
        <v>0</v>
      </c>
      <c r="AA205" s="317">
        <f t="shared" si="151"/>
        <v>0</v>
      </c>
      <c r="AB205" s="317">
        <f t="shared" si="152"/>
        <v>0</v>
      </c>
      <c r="AC205" s="317">
        <f t="shared" si="153"/>
        <v>0</v>
      </c>
      <c r="AD205" s="317">
        <f t="shared" si="154"/>
        <v>0</v>
      </c>
      <c r="AE205" s="317">
        <f t="shared" si="155"/>
        <v>0</v>
      </c>
      <c r="AF205" s="317">
        <f t="shared" si="180"/>
        <v>0</v>
      </c>
      <c r="AG205" s="317">
        <f t="shared" si="181"/>
        <v>0</v>
      </c>
      <c r="AH205" s="317">
        <f t="shared" si="156"/>
        <v>0</v>
      </c>
      <c r="AI205" s="317">
        <f t="shared" si="157"/>
        <v>0</v>
      </c>
      <c r="AJ205" s="317">
        <f t="shared" si="158"/>
        <v>0</v>
      </c>
      <c r="AK205" s="317">
        <f t="shared" si="159"/>
        <v>0</v>
      </c>
      <c r="AL205" s="317">
        <f t="shared" si="160"/>
        <v>0</v>
      </c>
      <c r="AM205" s="317">
        <f t="shared" si="161"/>
        <v>0</v>
      </c>
      <c r="AN205" s="317">
        <f t="shared" si="162"/>
        <v>0</v>
      </c>
      <c r="AO205" s="317">
        <f t="shared" si="163"/>
        <v>0</v>
      </c>
      <c r="AP205" s="317">
        <f t="shared" si="164"/>
        <v>0</v>
      </c>
      <c r="AQ205" s="317">
        <f t="shared" si="165"/>
        <v>0</v>
      </c>
      <c r="AR205" s="317">
        <f t="shared" si="166"/>
        <v>0</v>
      </c>
      <c r="AS205" s="317">
        <f t="shared" si="167"/>
        <v>0</v>
      </c>
      <c r="AT205" s="317">
        <f t="shared" si="168"/>
        <v>0</v>
      </c>
      <c r="AU205" s="317">
        <f t="shared" si="169"/>
        <v>0</v>
      </c>
      <c r="AV205" s="317">
        <f t="shared" si="170"/>
        <v>0</v>
      </c>
      <c r="AW205" s="317">
        <f t="shared" si="171"/>
        <v>0</v>
      </c>
      <c r="AX205" s="317">
        <f t="shared" si="172"/>
        <v>0</v>
      </c>
      <c r="AY205" s="317">
        <f t="shared" si="173"/>
        <v>0</v>
      </c>
      <c r="AZ205" s="317">
        <f t="shared" si="174"/>
        <v>0</v>
      </c>
      <c r="BA205" s="317">
        <f t="shared" si="175"/>
        <v>0</v>
      </c>
    </row>
    <row r="206" spans="1:53" s="314" customFormat="1" ht="15.75" customHeight="1">
      <c r="A206" s="63" t="str">
        <f t="array" ref="A206">IF(C206&lt;&gt;0,SUM(($C$11:C206&lt;&gt;0)*1),"")</f>
        <v/>
      </c>
      <c r="B206" s="315"/>
      <c r="C206" s="315"/>
      <c r="D206" s="315"/>
      <c r="E206" s="432"/>
      <c r="F206" s="371"/>
      <c r="G206" s="373"/>
      <c r="H206" s="373"/>
      <c r="I206" s="63" t="str">
        <f t="shared" si="137"/>
        <v/>
      </c>
      <c r="J206" s="317">
        <f t="shared" si="138"/>
        <v>0</v>
      </c>
      <c r="K206" s="317">
        <f t="shared" si="139"/>
        <v>0</v>
      </c>
      <c r="L206" s="317">
        <f t="shared" si="140"/>
        <v>0</v>
      </c>
      <c r="M206" s="317">
        <f t="shared" si="141"/>
        <v>0</v>
      </c>
      <c r="N206" s="317">
        <f t="shared" si="176"/>
        <v>0</v>
      </c>
      <c r="O206" s="317">
        <f t="shared" si="177"/>
        <v>0</v>
      </c>
      <c r="P206" s="317">
        <f t="shared" si="142"/>
        <v>0</v>
      </c>
      <c r="Q206" s="317">
        <f t="shared" si="143"/>
        <v>0</v>
      </c>
      <c r="R206" s="317">
        <f t="shared" si="144"/>
        <v>0</v>
      </c>
      <c r="S206" s="317">
        <f t="shared" si="145"/>
        <v>0</v>
      </c>
      <c r="T206" s="317">
        <f t="shared" si="178"/>
        <v>0</v>
      </c>
      <c r="U206" s="317">
        <f t="shared" si="179"/>
        <v>0</v>
      </c>
      <c r="V206" s="317">
        <f t="shared" si="146"/>
        <v>0</v>
      </c>
      <c r="W206" s="317">
        <f t="shared" si="147"/>
        <v>0</v>
      </c>
      <c r="X206" s="317">
        <f t="shared" si="148"/>
        <v>0</v>
      </c>
      <c r="Y206" s="317">
        <f t="shared" si="149"/>
        <v>0</v>
      </c>
      <c r="Z206" s="317">
        <f t="shared" si="150"/>
        <v>0</v>
      </c>
      <c r="AA206" s="317">
        <f t="shared" si="151"/>
        <v>0</v>
      </c>
      <c r="AB206" s="317">
        <f t="shared" si="152"/>
        <v>0</v>
      </c>
      <c r="AC206" s="317">
        <f t="shared" si="153"/>
        <v>0</v>
      </c>
      <c r="AD206" s="317">
        <f t="shared" si="154"/>
        <v>0</v>
      </c>
      <c r="AE206" s="317">
        <f t="shared" si="155"/>
        <v>0</v>
      </c>
      <c r="AF206" s="317">
        <f t="shared" si="180"/>
        <v>0</v>
      </c>
      <c r="AG206" s="317">
        <f t="shared" si="181"/>
        <v>0</v>
      </c>
      <c r="AH206" s="317">
        <f t="shared" si="156"/>
        <v>0</v>
      </c>
      <c r="AI206" s="317">
        <f t="shared" si="157"/>
        <v>0</v>
      </c>
      <c r="AJ206" s="317">
        <f t="shared" si="158"/>
        <v>0</v>
      </c>
      <c r="AK206" s="317">
        <f t="shared" si="159"/>
        <v>0</v>
      </c>
      <c r="AL206" s="317">
        <f t="shared" si="160"/>
        <v>0</v>
      </c>
      <c r="AM206" s="317">
        <f t="shared" si="161"/>
        <v>0</v>
      </c>
      <c r="AN206" s="317">
        <f t="shared" si="162"/>
        <v>0</v>
      </c>
      <c r="AO206" s="317">
        <f t="shared" si="163"/>
        <v>0</v>
      </c>
      <c r="AP206" s="317">
        <f t="shared" si="164"/>
        <v>0</v>
      </c>
      <c r="AQ206" s="317">
        <f t="shared" si="165"/>
        <v>0</v>
      </c>
      <c r="AR206" s="317">
        <f t="shared" si="166"/>
        <v>0</v>
      </c>
      <c r="AS206" s="317">
        <f t="shared" si="167"/>
        <v>0</v>
      </c>
      <c r="AT206" s="317">
        <f t="shared" si="168"/>
        <v>0</v>
      </c>
      <c r="AU206" s="317">
        <f t="shared" si="169"/>
        <v>0</v>
      </c>
      <c r="AV206" s="317">
        <f t="shared" si="170"/>
        <v>0</v>
      </c>
      <c r="AW206" s="317">
        <f t="shared" si="171"/>
        <v>0</v>
      </c>
      <c r="AX206" s="317">
        <f t="shared" si="172"/>
        <v>0</v>
      </c>
      <c r="AY206" s="317">
        <f t="shared" si="173"/>
        <v>0</v>
      </c>
      <c r="AZ206" s="317">
        <f t="shared" si="174"/>
        <v>0</v>
      </c>
      <c r="BA206" s="317">
        <f t="shared" si="175"/>
        <v>0</v>
      </c>
    </row>
    <row r="207" spans="1:53" s="314" customFormat="1" ht="15.75" customHeight="1">
      <c r="A207" s="63" t="str">
        <f t="array" ref="A207">IF(C207&lt;&gt;0,SUM(($C$11:C207&lt;&gt;0)*1),"")</f>
        <v/>
      </c>
      <c r="B207" s="315"/>
      <c r="C207" s="315"/>
      <c r="D207" s="315"/>
      <c r="E207" s="432"/>
      <c r="F207" s="371"/>
      <c r="G207" s="373"/>
      <c r="H207" s="373"/>
      <c r="I207" s="63" t="str">
        <f t="shared" si="137"/>
        <v/>
      </c>
      <c r="J207" s="317">
        <f t="shared" si="138"/>
        <v>0</v>
      </c>
      <c r="K207" s="317">
        <f t="shared" si="139"/>
        <v>0</v>
      </c>
      <c r="L207" s="317">
        <f t="shared" si="140"/>
        <v>0</v>
      </c>
      <c r="M207" s="317">
        <f t="shared" si="141"/>
        <v>0</v>
      </c>
      <c r="N207" s="317">
        <f t="shared" si="176"/>
        <v>0</v>
      </c>
      <c r="O207" s="317">
        <f t="shared" si="177"/>
        <v>0</v>
      </c>
      <c r="P207" s="317">
        <f t="shared" si="142"/>
        <v>0</v>
      </c>
      <c r="Q207" s="317">
        <f t="shared" si="143"/>
        <v>0</v>
      </c>
      <c r="R207" s="317">
        <f t="shared" si="144"/>
        <v>0</v>
      </c>
      <c r="S207" s="317">
        <f t="shared" si="145"/>
        <v>0</v>
      </c>
      <c r="T207" s="317">
        <f t="shared" si="178"/>
        <v>0</v>
      </c>
      <c r="U207" s="317">
        <f t="shared" si="179"/>
        <v>0</v>
      </c>
      <c r="V207" s="317">
        <f t="shared" si="146"/>
        <v>0</v>
      </c>
      <c r="W207" s="317">
        <f t="shared" si="147"/>
        <v>0</v>
      </c>
      <c r="X207" s="317">
        <f t="shared" si="148"/>
        <v>0</v>
      </c>
      <c r="Y207" s="317">
        <f t="shared" si="149"/>
        <v>0</v>
      </c>
      <c r="Z207" s="317">
        <f t="shared" si="150"/>
        <v>0</v>
      </c>
      <c r="AA207" s="317">
        <f t="shared" si="151"/>
        <v>0</v>
      </c>
      <c r="AB207" s="317">
        <f t="shared" si="152"/>
        <v>0</v>
      </c>
      <c r="AC207" s="317">
        <f t="shared" si="153"/>
        <v>0</v>
      </c>
      <c r="AD207" s="317">
        <f t="shared" si="154"/>
        <v>0</v>
      </c>
      <c r="AE207" s="317">
        <f t="shared" si="155"/>
        <v>0</v>
      </c>
      <c r="AF207" s="317">
        <f t="shared" si="180"/>
        <v>0</v>
      </c>
      <c r="AG207" s="317">
        <f t="shared" si="181"/>
        <v>0</v>
      </c>
      <c r="AH207" s="317">
        <f t="shared" si="156"/>
        <v>0</v>
      </c>
      <c r="AI207" s="317">
        <f t="shared" si="157"/>
        <v>0</v>
      </c>
      <c r="AJ207" s="317">
        <f t="shared" si="158"/>
        <v>0</v>
      </c>
      <c r="AK207" s="317">
        <f t="shared" si="159"/>
        <v>0</v>
      </c>
      <c r="AL207" s="317">
        <f t="shared" si="160"/>
        <v>0</v>
      </c>
      <c r="AM207" s="317">
        <f t="shared" si="161"/>
        <v>0</v>
      </c>
      <c r="AN207" s="317">
        <f t="shared" si="162"/>
        <v>0</v>
      </c>
      <c r="AO207" s="317">
        <f t="shared" si="163"/>
        <v>0</v>
      </c>
      <c r="AP207" s="317">
        <f t="shared" si="164"/>
        <v>0</v>
      </c>
      <c r="AQ207" s="317">
        <f t="shared" si="165"/>
        <v>0</v>
      </c>
      <c r="AR207" s="317">
        <f t="shared" si="166"/>
        <v>0</v>
      </c>
      <c r="AS207" s="317">
        <f t="shared" si="167"/>
        <v>0</v>
      </c>
      <c r="AT207" s="317">
        <f t="shared" si="168"/>
        <v>0</v>
      </c>
      <c r="AU207" s="317">
        <f t="shared" si="169"/>
        <v>0</v>
      </c>
      <c r="AV207" s="317">
        <f t="shared" si="170"/>
        <v>0</v>
      </c>
      <c r="AW207" s="317">
        <f t="shared" si="171"/>
        <v>0</v>
      </c>
      <c r="AX207" s="317">
        <f t="shared" si="172"/>
        <v>0</v>
      </c>
      <c r="AY207" s="317">
        <f t="shared" si="173"/>
        <v>0</v>
      </c>
      <c r="AZ207" s="317">
        <f t="shared" si="174"/>
        <v>0</v>
      </c>
      <c r="BA207" s="317">
        <f t="shared" si="175"/>
        <v>0</v>
      </c>
    </row>
    <row r="208" spans="1:53" s="314" customFormat="1" ht="15.75" customHeight="1">
      <c r="A208" s="63" t="str">
        <f t="array" ref="A208">IF(C208&lt;&gt;0,SUM(($C$11:C208&lt;&gt;0)*1),"")</f>
        <v/>
      </c>
      <c r="B208" s="315"/>
      <c r="C208" s="315"/>
      <c r="D208" s="315"/>
      <c r="E208" s="432"/>
      <c r="F208" s="371"/>
      <c r="G208" s="373"/>
      <c r="H208" s="373"/>
      <c r="I208" s="63" t="str">
        <f t="shared" si="137"/>
        <v/>
      </c>
      <c r="J208" s="317">
        <f t="shared" si="138"/>
        <v>0</v>
      </c>
      <c r="K208" s="317">
        <f t="shared" si="139"/>
        <v>0</v>
      </c>
      <c r="L208" s="317">
        <f t="shared" si="140"/>
        <v>0</v>
      </c>
      <c r="M208" s="317">
        <f t="shared" si="141"/>
        <v>0</v>
      </c>
      <c r="N208" s="317">
        <f t="shared" si="176"/>
        <v>0</v>
      </c>
      <c r="O208" s="317">
        <f t="shared" si="177"/>
        <v>0</v>
      </c>
      <c r="P208" s="317">
        <f t="shared" si="142"/>
        <v>0</v>
      </c>
      <c r="Q208" s="317">
        <f t="shared" si="143"/>
        <v>0</v>
      </c>
      <c r="R208" s="317">
        <f t="shared" si="144"/>
        <v>0</v>
      </c>
      <c r="S208" s="317">
        <f t="shared" si="145"/>
        <v>0</v>
      </c>
      <c r="T208" s="317">
        <f t="shared" si="178"/>
        <v>0</v>
      </c>
      <c r="U208" s="317">
        <f t="shared" si="179"/>
        <v>0</v>
      </c>
      <c r="V208" s="317">
        <f t="shared" si="146"/>
        <v>0</v>
      </c>
      <c r="W208" s="317">
        <f t="shared" si="147"/>
        <v>0</v>
      </c>
      <c r="X208" s="317">
        <f t="shared" si="148"/>
        <v>0</v>
      </c>
      <c r="Y208" s="317">
        <f t="shared" si="149"/>
        <v>0</v>
      </c>
      <c r="Z208" s="317">
        <f t="shared" si="150"/>
        <v>0</v>
      </c>
      <c r="AA208" s="317">
        <f t="shared" si="151"/>
        <v>0</v>
      </c>
      <c r="AB208" s="317">
        <f t="shared" si="152"/>
        <v>0</v>
      </c>
      <c r="AC208" s="317">
        <f t="shared" si="153"/>
        <v>0</v>
      </c>
      <c r="AD208" s="317">
        <f t="shared" si="154"/>
        <v>0</v>
      </c>
      <c r="AE208" s="317">
        <f t="shared" si="155"/>
        <v>0</v>
      </c>
      <c r="AF208" s="317">
        <f t="shared" si="180"/>
        <v>0</v>
      </c>
      <c r="AG208" s="317">
        <f t="shared" si="181"/>
        <v>0</v>
      </c>
      <c r="AH208" s="317">
        <f t="shared" si="156"/>
        <v>0</v>
      </c>
      <c r="AI208" s="317">
        <f t="shared" si="157"/>
        <v>0</v>
      </c>
      <c r="AJ208" s="317">
        <f t="shared" si="158"/>
        <v>0</v>
      </c>
      <c r="AK208" s="317">
        <f t="shared" si="159"/>
        <v>0</v>
      </c>
      <c r="AL208" s="317">
        <f t="shared" si="160"/>
        <v>0</v>
      </c>
      <c r="AM208" s="317">
        <f t="shared" si="161"/>
        <v>0</v>
      </c>
      <c r="AN208" s="317">
        <f t="shared" si="162"/>
        <v>0</v>
      </c>
      <c r="AO208" s="317">
        <f t="shared" si="163"/>
        <v>0</v>
      </c>
      <c r="AP208" s="317">
        <f t="shared" si="164"/>
        <v>0</v>
      </c>
      <c r="AQ208" s="317">
        <f t="shared" si="165"/>
        <v>0</v>
      </c>
      <c r="AR208" s="317">
        <f t="shared" si="166"/>
        <v>0</v>
      </c>
      <c r="AS208" s="317">
        <f t="shared" si="167"/>
        <v>0</v>
      </c>
      <c r="AT208" s="317">
        <f t="shared" si="168"/>
        <v>0</v>
      </c>
      <c r="AU208" s="317">
        <f t="shared" si="169"/>
        <v>0</v>
      </c>
      <c r="AV208" s="317">
        <f t="shared" si="170"/>
        <v>0</v>
      </c>
      <c r="AW208" s="317">
        <f t="shared" si="171"/>
        <v>0</v>
      </c>
      <c r="AX208" s="317">
        <f t="shared" si="172"/>
        <v>0</v>
      </c>
      <c r="AY208" s="317">
        <f t="shared" si="173"/>
        <v>0</v>
      </c>
      <c r="AZ208" s="317">
        <f t="shared" si="174"/>
        <v>0</v>
      </c>
      <c r="BA208" s="317">
        <f t="shared" si="175"/>
        <v>0</v>
      </c>
    </row>
    <row r="209" spans="1:53" s="314" customFormat="1" ht="15.75" customHeight="1">
      <c r="A209" s="63" t="str">
        <f t="array" ref="A209">IF(C209&lt;&gt;0,SUM(($C$11:C209&lt;&gt;0)*1),"")</f>
        <v/>
      </c>
      <c r="B209" s="315"/>
      <c r="C209" s="315"/>
      <c r="D209" s="315"/>
      <c r="E209" s="432"/>
      <c r="F209" s="371"/>
      <c r="G209" s="373"/>
      <c r="H209" s="373"/>
      <c r="I209" s="63" t="str">
        <f t="shared" si="137"/>
        <v/>
      </c>
      <c r="J209" s="317">
        <f t="shared" si="138"/>
        <v>0</v>
      </c>
      <c r="K209" s="317">
        <f t="shared" si="139"/>
        <v>0</v>
      </c>
      <c r="L209" s="317">
        <f t="shared" si="140"/>
        <v>0</v>
      </c>
      <c r="M209" s="317">
        <f t="shared" si="141"/>
        <v>0</v>
      </c>
      <c r="N209" s="317">
        <f t="shared" si="176"/>
        <v>0</v>
      </c>
      <c r="O209" s="317">
        <f t="shared" si="177"/>
        <v>0</v>
      </c>
      <c r="P209" s="317">
        <f t="shared" si="142"/>
        <v>0</v>
      </c>
      <c r="Q209" s="317">
        <f t="shared" si="143"/>
        <v>0</v>
      </c>
      <c r="R209" s="317">
        <f t="shared" si="144"/>
        <v>0</v>
      </c>
      <c r="S209" s="317">
        <f t="shared" si="145"/>
        <v>0</v>
      </c>
      <c r="T209" s="317">
        <f t="shared" si="178"/>
        <v>0</v>
      </c>
      <c r="U209" s="317">
        <f t="shared" si="179"/>
        <v>0</v>
      </c>
      <c r="V209" s="317">
        <f t="shared" si="146"/>
        <v>0</v>
      </c>
      <c r="W209" s="317">
        <f t="shared" si="147"/>
        <v>0</v>
      </c>
      <c r="X209" s="317">
        <f t="shared" si="148"/>
        <v>0</v>
      </c>
      <c r="Y209" s="317">
        <f t="shared" si="149"/>
        <v>0</v>
      </c>
      <c r="Z209" s="317">
        <f t="shared" si="150"/>
        <v>0</v>
      </c>
      <c r="AA209" s="317">
        <f t="shared" si="151"/>
        <v>0</v>
      </c>
      <c r="AB209" s="317">
        <f t="shared" si="152"/>
        <v>0</v>
      </c>
      <c r="AC209" s="317">
        <f t="shared" si="153"/>
        <v>0</v>
      </c>
      <c r="AD209" s="317">
        <f t="shared" si="154"/>
        <v>0</v>
      </c>
      <c r="AE209" s="317">
        <f t="shared" si="155"/>
        <v>0</v>
      </c>
      <c r="AF209" s="317">
        <f t="shared" si="180"/>
        <v>0</v>
      </c>
      <c r="AG209" s="317">
        <f t="shared" si="181"/>
        <v>0</v>
      </c>
      <c r="AH209" s="317">
        <f t="shared" si="156"/>
        <v>0</v>
      </c>
      <c r="AI209" s="317">
        <f t="shared" si="157"/>
        <v>0</v>
      </c>
      <c r="AJ209" s="317">
        <f t="shared" si="158"/>
        <v>0</v>
      </c>
      <c r="AK209" s="317">
        <f t="shared" si="159"/>
        <v>0</v>
      </c>
      <c r="AL209" s="317">
        <f t="shared" si="160"/>
        <v>0</v>
      </c>
      <c r="AM209" s="317">
        <f t="shared" si="161"/>
        <v>0</v>
      </c>
      <c r="AN209" s="317">
        <f t="shared" si="162"/>
        <v>0</v>
      </c>
      <c r="AO209" s="317">
        <f t="shared" si="163"/>
        <v>0</v>
      </c>
      <c r="AP209" s="317">
        <f t="shared" si="164"/>
        <v>0</v>
      </c>
      <c r="AQ209" s="317">
        <f t="shared" si="165"/>
        <v>0</v>
      </c>
      <c r="AR209" s="317">
        <f t="shared" si="166"/>
        <v>0</v>
      </c>
      <c r="AS209" s="317">
        <f t="shared" si="167"/>
        <v>0</v>
      </c>
      <c r="AT209" s="317">
        <f t="shared" si="168"/>
        <v>0</v>
      </c>
      <c r="AU209" s="317">
        <f t="shared" si="169"/>
        <v>0</v>
      </c>
      <c r="AV209" s="317">
        <f t="shared" si="170"/>
        <v>0</v>
      </c>
      <c r="AW209" s="317">
        <f t="shared" si="171"/>
        <v>0</v>
      </c>
      <c r="AX209" s="317">
        <f t="shared" si="172"/>
        <v>0</v>
      </c>
      <c r="AY209" s="317">
        <f t="shared" si="173"/>
        <v>0</v>
      </c>
      <c r="AZ209" s="317">
        <f t="shared" si="174"/>
        <v>0</v>
      </c>
      <c r="BA209" s="317">
        <f t="shared" si="175"/>
        <v>0</v>
      </c>
    </row>
    <row r="210" spans="1:53" s="314" customFormat="1" ht="15.75" customHeight="1">
      <c r="A210" s="63" t="str">
        <f t="array" ref="A210">IF(C210&lt;&gt;0,SUM(($C$11:C210&lt;&gt;0)*1),"")</f>
        <v/>
      </c>
      <c r="B210" s="315"/>
      <c r="C210" s="315"/>
      <c r="D210" s="315"/>
      <c r="E210" s="432"/>
      <c r="F210" s="371"/>
      <c r="G210" s="373"/>
      <c r="H210" s="373"/>
      <c r="I210" s="63" t="str">
        <f t="shared" si="137"/>
        <v/>
      </c>
      <c r="J210" s="317">
        <f t="shared" si="138"/>
        <v>0</v>
      </c>
      <c r="K210" s="317">
        <f t="shared" si="139"/>
        <v>0</v>
      </c>
      <c r="L210" s="317">
        <f t="shared" si="140"/>
        <v>0</v>
      </c>
      <c r="M210" s="317">
        <f t="shared" si="141"/>
        <v>0</v>
      </c>
      <c r="N210" s="317">
        <f t="shared" si="176"/>
        <v>0</v>
      </c>
      <c r="O210" s="317">
        <f t="shared" si="177"/>
        <v>0</v>
      </c>
      <c r="P210" s="317">
        <f t="shared" si="142"/>
        <v>0</v>
      </c>
      <c r="Q210" s="317">
        <f t="shared" si="143"/>
        <v>0</v>
      </c>
      <c r="R210" s="317">
        <f t="shared" si="144"/>
        <v>0</v>
      </c>
      <c r="S210" s="317">
        <f t="shared" si="145"/>
        <v>0</v>
      </c>
      <c r="T210" s="317">
        <f t="shared" si="178"/>
        <v>0</v>
      </c>
      <c r="U210" s="317">
        <f t="shared" si="179"/>
        <v>0</v>
      </c>
      <c r="V210" s="317">
        <f t="shared" si="146"/>
        <v>0</v>
      </c>
      <c r="W210" s="317">
        <f t="shared" si="147"/>
        <v>0</v>
      </c>
      <c r="X210" s="317">
        <f t="shared" si="148"/>
        <v>0</v>
      </c>
      <c r="Y210" s="317">
        <f t="shared" si="149"/>
        <v>0</v>
      </c>
      <c r="Z210" s="317">
        <f t="shared" si="150"/>
        <v>0</v>
      </c>
      <c r="AA210" s="317">
        <f t="shared" si="151"/>
        <v>0</v>
      </c>
      <c r="AB210" s="317">
        <f t="shared" si="152"/>
        <v>0</v>
      </c>
      <c r="AC210" s="317">
        <f t="shared" si="153"/>
        <v>0</v>
      </c>
      <c r="AD210" s="317">
        <f t="shared" si="154"/>
        <v>0</v>
      </c>
      <c r="AE210" s="317">
        <f t="shared" si="155"/>
        <v>0</v>
      </c>
      <c r="AF210" s="317">
        <f t="shared" si="180"/>
        <v>0</v>
      </c>
      <c r="AG210" s="317">
        <f t="shared" si="181"/>
        <v>0</v>
      </c>
      <c r="AH210" s="317">
        <f t="shared" si="156"/>
        <v>0</v>
      </c>
      <c r="AI210" s="317">
        <f t="shared" si="157"/>
        <v>0</v>
      </c>
      <c r="AJ210" s="317">
        <f t="shared" si="158"/>
        <v>0</v>
      </c>
      <c r="AK210" s="317">
        <f t="shared" si="159"/>
        <v>0</v>
      </c>
      <c r="AL210" s="317">
        <f t="shared" si="160"/>
        <v>0</v>
      </c>
      <c r="AM210" s="317">
        <f t="shared" si="161"/>
        <v>0</v>
      </c>
      <c r="AN210" s="317">
        <f t="shared" si="162"/>
        <v>0</v>
      </c>
      <c r="AO210" s="317">
        <f t="shared" si="163"/>
        <v>0</v>
      </c>
      <c r="AP210" s="317">
        <f t="shared" si="164"/>
        <v>0</v>
      </c>
      <c r="AQ210" s="317">
        <f t="shared" si="165"/>
        <v>0</v>
      </c>
      <c r="AR210" s="317">
        <f t="shared" si="166"/>
        <v>0</v>
      </c>
      <c r="AS210" s="317">
        <f t="shared" si="167"/>
        <v>0</v>
      </c>
      <c r="AT210" s="317">
        <f t="shared" si="168"/>
        <v>0</v>
      </c>
      <c r="AU210" s="317">
        <f t="shared" si="169"/>
        <v>0</v>
      </c>
      <c r="AV210" s="317">
        <f t="shared" si="170"/>
        <v>0</v>
      </c>
      <c r="AW210" s="317">
        <f t="shared" si="171"/>
        <v>0</v>
      </c>
      <c r="AX210" s="317">
        <f t="shared" si="172"/>
        <v>0</v>
      </c>
      <c r="AY210" s="317">
        <f t="shared" si="173"/>
        <v>0</v>
      </c>
      <c r="AZ210" s="317">
        <f t="shared" si="174"/>
        <v>0</v>
      </c>
      <c r="BA210" s="317">
        <f t="shared" si="175"/>
        <v>0</v>
      </c>
    </row>
    <row r="211" spans="1:53" s="314" customFormat="1" ht="15.75" customHeight="1">
      <c r="A211" s="63" t="str">
        <f t="array" ref="A211">IF(C211&lt;&gt;0,SUM(($C$11:C211&lt;&gt;0)*1),"")</f>
        <v/>
      </c>
      <c r="B211" s="315"/>
      <c r="C211" s="315"/>
      <c r="D211" s="315"/>
      <c r="E211" s="432"/>
      <c r="F211" s="371"/>
      <c r="G211" s="373"/>
      <c r="H211" s="373"/>
      <c r="I211" s="63" t="str">
        <f t="shared" si="137"/>
        <v/>
      </c>
      <c r="J211" s="317">
        <f t="shared" si="138"/>
        <v>0</v>
      </c>
      <c r="K211" s="317">
        <f t="shared" si="139"/>
        <v>0</v>
      </c>
      <c r="L211" s="317">
        <f t="shared" si="140"/>
        <v>0</v>
      </c>
      <c r="M211" s="317">
        <f t="shared" si="141"/>
        <v>0</v>
      </c>
      <c r="N211" s="317">
        <f t="shared" si="176"/>
        <v>0</v>
      </c>
      <c r="O211" s="317">
        <f t="shared" si="177"/>
        <v>0</v>
      </c>
      <c r="P211" s="317">
        <f t="shared" si="142"/>
        <v>0</v>
      </c>
      <c r="Q211" s="317">
        <f t="shared" si="143"/>
        <v>0</v>
      </c>
      <c r="R211" s="317">
        <f t="shared" si="144"/>
        <v>0</v>
      </c>
      <c r="S211" s="317">
        <f t="shared" si="145"/>
        <v>0</v>
      </c>
      <c r="T211" s="317">
        <f t="shared" si="178"/>
        <v>0</v>
      </c>
      <c r="U211" s="317">
        <f t="shared" si="179"/>
        <v>0</v>
      </c>
      <c r="V211" s="317">
        <f t="shared" si="146"/>
        <v>0</v>
      </c>
      <c r="W211" s="317">
        <f t="shared" si="147"/>
        <v>0</v>
      </c>
      <c r="X211" s="317">
        <f t="shared" si="148"/>
        <v>0</v>
      </c>
      <c r="Y211" s="317">
        <f t="shared" si="149"/>
        <v>0</v>
      </c>
      <c r="Z211" s="317">
        <f t="shared" si="150"/>
        <v>0</v>
      </c>
      <c r="AA211" s="317">
        <f t="shared" si="151"/>
        <v>0</v>
      </c>
      <c r="AB211" s="317">
        <f t="shared" si="152"/>
        <v>0</v>
      </c>
      <c r="AC211" s="317">
        <f t="shared" si="153"/>
        <v>0</v>
      </c>
      <c r="AD211" s="317">
        <f t="shared" si="154"/>
        <v>0</v>
      </c>
      <c r="AE211" s="317">
        <f t="shared" si="155"/>
        <v>0</v>
      </c>
      <c r="AF211" s="317">
        <f t="shared" si="180"/>
        <v>0</v>
      </c>
      <c r="AG211" s="317">
        <f t="shared" si="181"/>
        <v>0</v>
      </c>
      <c r="AH211" s="317">
        <f t="shared" si="156"/>
        <v>0</v>
      </c>
      <c r="AI211" s="317">
        <f t="shared" si="157"/>
        <v>0</v>
      </c>
      <c r="AJ211" s="317">
        <f t="shared" si="158"/>
        <v>0</v>
      </c>
      <c r="AK211" s="317">
        <f t="shared" si="159"/>
        <v>0</v>
      </c>
      <c r="AL211" s="317">
        <f t="shared" si="160"/>
        <v>0</v>
      </c>
      <c r="AM211" s="317">
        <f t="shared" si="161"/>
        <v>0</v>
      </c>
      <c r="AN211" s="317">
        <f t="shared" si="162"/>
        <v>0</v>
      </c>
      <c r="AO211" s="317">
        <f t="shared" si="163"/>
        <v>0</v>
      </c>
      <c r="AP211" s="317">
        <f t="shared" si="164"/>
        <v>0</v>
      </c>
      <c r="AQ211" s="317">
        <f t="shared" si="165"/>
        <v>0</v>
      </c>
      <c r="AR211" s="317">
        <f t="shared" si="166"/>
        <v>0</v>
      </c>
      <c r="AS211" s="317">
        <f t="shared" si="167"/>
        <v>0</v>
      </c>
      <c r="AT211" s="317">
        <f t="shared" si="168"/>
        <v>0</v>
      </c>
      <c r="AU211" s="317">
        <f t="shared" si="169"/>
        <v>0</v>
      </c>
      <c r="AV211" s="317">
        <f t="shared" si="170"/>
        <v>0</v>
      </c>
      <c r="AW211" s="317">
        <f t="shared" si="171"/>
        <v>0</v>
      </c>
      <c r="AX211" s="317">
        <f t="shared" si="172"/>
        <v>0</v>
      </c>
      <c r="AY211" s="317">
        <f t="shared" si="173"/>
        <v>0</v>
      </c>
      <c r="AZ211" s="317">
        <f t="shared" si="174"/>
        <v>0</v>
      </c>
      <c r="BA211" s="317">
        <f t="shared" si="175"/>
        <v>0</v>
      </c>
    </row>
    <row r="212" spans="1:53" s="314" customFormat="1" ht="15.75" customHeight="1">
      <c r="A212" s="63" t="str">
        <f t="array" ref="A212">IF(C212&lt;&gt;0,SUM(($C$11:C212&lt;&gt;0)*1),"")</f>
        <v/>
      </c>
      <c r="B212" s="315"/>
      <c r="C212" s="315"/>
      <c r="D212" s="315"/>
      <c r="E212" s="432"/>
      <c r="F212" s="371"/>
      <c r="G212" s="373"/>
      <c r="H212" s="373"/>
      <c r="I212" s="63" t="str">
        <f t="shared" si="137"/>
        <v/>
      </c>
      <c r="J212" s="317">
        <f t="shared" si="138"/>
        <v>0</v>
      </c>
      <c r="K212" s="317">
        <f t="shared" si="139"/>
        <v>0</v>
      </c>
      <c r="L212" s="317">
        <f t="shared" si="140"/>
        <v>0</v>
      </c>
      <c r="M212" s="317">
        <f t="shared" si="141"/>
        <v>0</v>
      </c>
      <c r="N212" s="317">
        <f t="shared" si="176"/>
        <v>0</v>
      </c>
      <c r="O212" s="317">
        <f t="shared" si="177"/>
        <v>0</v>
      </c>
      <c r="P212" s="317">
        <f t="shared" si="142"/>
        <v>0</v>
      </c>
      <c r="Q212" s="317">
        <f t="shared" si="143"/>
        <v>0</v>
      </c>
      <c r="R212" s="317">
        <f t="shared" si="144"/>
        <v>0</v>
      </c>
      <c r="S212" s="317">
        <f t="shared" si="145"/>
        <v>0</v>
      </c>
      <c r="T212" s="317">
        <f t="shared" si="178"/>
        <v>0</v>
      </c>
      <c r="U212" s="317">
        <f t="shared" si="179"/>
        <v>0</v>
      </c>
      <c r="V212" s="317">
        <f t="shared" si="146"/>
        <v>0</v>
      </c>
      <c r="W212" s="317">
        <f t="shared" si="147"/>
        <v>0</v>
      </c>
      <c r="X212" s="317">
        <f t="shared" si="148"/>
        <v>0</v>
      </c>
      <c r="Y212" s="317">
        <f t="shared" si="149"/>
        <v>0</v>
      </c>
      <c r="Z212" s="317">
        <f t="shared" si="150"/>
        <v>0</v>
      </c>
      <c r="AA212" s="317">
        <f t="shared" si="151"/>
        <v>0</v>
      </c>
      <c r="AB212" s="317">
        <f t="shared" si="152"/>
        <v>0</v>
      </c>
      <c r="AC212" s="317">
        <f t="shared" si="153"/>
        <v>0</v>
      </c>
      <c r="AD212" s="317">
        <f t="shared" si="154"/>
        <v>0</v>
      </c>
      <c r="AE212" s="317">
        <f t="shared" si="155"/>
        <v>0</v>
      </c>
      <c r="AF212" s="317">
        <f t="shared" si="180"/>
        <v>0</v>
      </c>
      <c r="AG212" s="317">
        <f t="shared" si="181"/>
        <v>0</v>
      </c>
      <c r="AH212" s="317">
        <f t="shared" si="156"/>
        <v>0</v>
      </c>
      <c r="AI212" s="317">
        <f t="shared" si="157"/>
        <v>0</v>
      </c>
      <c r="AJ212" s="317">
        <f t="shared" si="158"/>
        <v>0</v>
      </c>
      <c r="AK212" s="317">
        <f t="shared" si="159"/>
        <v>0</v>
      </c>
      <c r="AL212" s="317">
        <f t="shared" si="160"/>
        <v>0</v>
      </c>
      <c r="AM212" s="317">
        <f t="shared" si="161"/>
        <v>0</v>
      </c>
      <c r="AN212" s="317">
        <f t="shared" si="162"/>
        <v>0</v>
      </c>
      <c r="AO212" s="317">
        <f t="shared" si="163"/>
        <v>0</v>
      </c>
      <c r="AP212" s="317">
        <f t="shared" si="164"/>
        <v>0</v>
      </c>
      <c r="AQ212" s="317">
        <f t="shared" si="165"/>
        <v>0</v>
      </c>
      <c r="AR212" s="317">
        <f t="shared" si="166"/>
        <v>0</v>
      </c>
      <c r="AS212" s="317">
        <f t="shared" si="167"/>
        <v>0</v>
      </c>
      <c r="AT212" s="317">
        <f t="shared" si="168"/>
        <v>0</v>
      </c>
      <c r="AU212" s="317">
        <f t="shared" si="169"/>
        <v>0</v>
      </c>
      <c r="AV212" s="317">
        <f t="shared" si="170"/>
        <v>0</v>
      </c>
      <c r="AW212" s="317">
        <f t="shared" si="171"/>
        <v>0</v>
      </c>
      <c r="AX212" s="317">
        <f t="shared" si="172"/>
        <v>0</v>
      </c>
      <c r="AY212" s="317">
        <f t="shared" si="173"/>
        <v>0</v>
      </c>
      <c r="AZ212" s="317">
        <f t="shared" si="174"/>
        <v>0</v>
      </c>
      <c r="BA212" s="317">
        <f t="shared" si="175"/>
        <v>0</v>
      </c>
    </row>
    <row r="213" spans="1:53" s="314" customFormat="1" ht="15.75" customHeight="1">
      <c r="A213" s="63" t="str">
        <f t="array" ref="A213">IF(C213&lt;&gt;0,SUM(($C$11:C213&lt;&gt;0)*1),"")</f>
        <v/>
      </c>
      <c r="B213" s="315"/>
      <c r="C213" s="315"/>
      <c r="D213" s="315"/>
      <c r="E213" s="432"/>
      <c r="F213" s="371"/>
      <c r="G213" s="373"/>
      <c r="H213" s="373"/>
      <c r="I213" s="63" t="str">
        <f t="shared" si="137"/>
        <v/>
      </c>
      <c r="J213" s="317">
        <f t="shared" si="138"/>
        <v>0</v>
      </c>
      <c r="K213" s="317">
        <f t="shared" si="139"/>
        <v>0</v>
      </c>
      <c r="L213" s="317">
        <f t="shared" si="140"/>
        <v>0</v>
      </c>
      <c r="M213" s="317">
        <f t="shared" si="141"/>
        <v>0</v>
      </c>
      <c r="N213" s="317">
        <f t="shared" si="176"/>
        <v>0</v>
      </c>
      <c r="O213" s="317">
        <f t="shared" si="177"/>
        <v>0</v>
      </c>
      <c r="P213" s="317">
        <f t="shared" si="142"/>
        <v>0</v>
      </c>
      <c r="Q213" s="317">
        <f t="shared" si="143"/>
        <v>0</v>
      </c>
      <c r="R213" s="317">
        <f t="shared" si="144"/>
        <v>0</v>
      </c>
      <c r="S213" s="317">
        <f t="shared" si="145"/>
        <v>0</v>
      </c>
      <c r="T213" s="317">
        <f t="shared" si="178"/>
        <v>0</v>
      </c>
      <c r="U213" s="317">
        <f t="shared" si="179"/>
        <v>0</v>
      </c>
      <c r="V213" s="317">
        <f t="shared" si="146"/>
        <v>0</v>
      </c>
      <c r="W213" s="317">
        <f t="shared" si="147"/>
        <v>0</v>
      </c>
      <c r="X213" s="317">
        <f t="shared" si="148"/>
        <v>0</v>
      </c>
      <c r="Y213" s="317">
        <f t="shared" si="149"/>
        <v>0</v>
      </c>
      <c r="Z213" s="317">
        <f t="shared" si="150"/>
        <v>0</v>
      </c>
      <c r="AA213" s="317">
        <f t="shared" si="151"/>
        <v>0</v>
      </c>
      <c r="AB213" s="317">
        <f t="shared" si="152"/>
        <v>0</v>
      </c>
      <c r="AC213" s="317">
        <f t="shared" si="153"/>
        <v>0</v>
      </c>
      <c r="AD213" s="317">
        <f t="shared" si="154"/>
        <v>0</v>
      </c>
      <c r="AE213" s="317">
        <f t="shared" si="155"/>
        <v>0</v>
      </c>
      <c r="AF213" s="317">
        <f t="shared" si="180"/>
        <v>0</v>
      </c>
      <c r="AG213" s="317">
        <f t="shared" si="181"/>
        <v>0</v>
      </c>
      <c r="AH213" s="317">
        <f t="shared" si="156"/>
        <v>0</v>
      </c>
      <c r="AI213" s="317">
        <f t="shared" si="157"/>
        <v>0</v>
      </c>
      <c r="AJ213" s="317">
        <f t="shared" si="158"/>
        <v>0</v>
      </c>
      <c r="AK213" s="317">
        <f t="shared" si="159"/>
        <v>0</v>
      </c>
      <c r="AL213" s="317">
        <f t="shared" si="160"/>
        <v>0</v>
      </c>
      <c r="AM213" s="317">
        <f t="shared" si="161"/>
        <v>0</v>
      </c>
      <c r="AN213" s="317">
        <f t="shared" si="162"/>
        <v>0</v>
      </c>
      <c r="AO213" s="317">
        <f t="shared" si="163"/>
        <v>0</v>
      </c>
      <c r="AP213" s="317">
        <f t="shared" si="164"/>
        <v>0</v>
      </c>
      <c r="AQ213" s="317">
        <f t="shared" si="165"/>
        <v>0</v>
      </c>
      <c r="AR213" s="317">
        <f t="shared" si="166"/>
        <v>0</v>
      </c>
      <c r="AS213" s="317">
        <f t="shared" si="167"/>
        <v>0</v>
      </c>
      <c r="AT213" s="317">
        <f t="shared" si="168"/>
        <v>0</v>
      </c>
      <c r="AU213" s="317">
        <f t="shared" si="169"/>
        <v>0</v>
      </c>
      <c r="AV213" s="317">
        <f t="shared" si="170"/>
        <v>0</v>
      </c>
      <c r="AW213" s="317">
        <f t="shared" si="171"/>
        <v>0</v>
      </c>
      <c r="AX213" s="317">
        <f t="shared" si="172"/>
        <v>0</v>
      </c>
      <c r="AY213" s="317">
        <f t="shared" si="173"/>
        <v>0</v>
      </c>
      <c r="AZ213" s="317">
        <f t="shared" si="174"/>
        <v>0</v>
      </c>
      <c r="BA213" s="317">
        <f t="shared" si="175"/>
        <v>0</v>
      </c>
    </row>
    <row r="214" spans="1:53" s="314" customFormat="1" ht="15.75" customHeight="1">
      <c r="A214" s="63" t="str">
        <f t="array" ref="A214">IF(C214&lt;&gt;0,SUM(($C$11:C214&lt;&gt;0)*1),"")</f>
        <v/>
      </c>
      <c r="B214" s="315"/>
      <c r="C214" s="315"/>
      <c r="D214" s="315"/>
      <c r="E214" s="432"/>
      <c r="F214" s="371"/>
      <c r="G214" s="373"/>
      <c r="H214" s="373"/>
      <c r="I214" s="63" t="str">
        <f t="shared" si="137"/>
        <v/>
      </c>
      <c r="J214" s="317">
        <f t="shared" si="138"/>
        <v>0</v>
      </c>
      <c r="K214" s="317">
        <f t="shared" si="139"/>
        <v>0</v>
      </c>
      <c r="L214" s="317">
        <f t="shared" si="140"/>
        <v>0</v>
      </c>
      <c r="M214" s="317">
        <f t="shared" si="141"/>
        <v>0</v>
      </c>
      <c r="N214" s="317">
        <f t="shared" si="176"/>
        <v>0</v>
      </c>
      <c r="O214" s="317">
        <f t="shared" si="177"/>
        <v>0</v>
      </c>
      <c r="P214" s="317">
        <f t="shared" si="142"/>
        <v>0</v>
      </c>
      <c r="Q214" s="317">
        <f t="shared" si="143"/>
        <v>0</v>
      </c>
      <c r="R214" s="317">
        <f t="shared" si="144"/>
        <v>0</v>
      </c>
      <c r="S214" s="317">
        <f t="shared" si="145"/>
        <v>0</v>
      </c>
      <c r="T214" s="317">
        <f t="shared" si="178"/>
        <v>0</v>
      </c>
      <c r="U214" s="317">
        <f t="shared" si="179"/>
        <v>0</v>
      </c>
      <c r="V214" s="317">
        <f t="shared" si="146"/>
        <v>0</v>
      </c>
      <c r="W214" s="317">
        <f t="shared" si="147"/>
        <v>0</v>
      </c>
      <c r="X214" s="317">
        <f t="shared" si="148"/>
        <v>0</v>
      </c>
      <c r="Y214" s="317">
        <f t="shared" si="149"/>
        <v>0</v>
      </c>
      <c r="Z214" s="317">
        <f t="shared" si="150"/>
        <v>0</v>
      </c>
      <c r="AA214" s="317">
        <f t="shared" si="151"/>
        <v>0</v>
      </c>
      <c r="AB214" s="317">
        <f t="shared" si="152"/>
        <v>0</v>
      </c>
      <c r="AC214" s="317">
        <f t="shared" si="153"/>
        <v>0</v>
      </c>
      <c r="AD214" s="317">
        <f t="shared" si="154"/>
        <v>0</v>
      </c>
      <c r="AE214" s="317">
        <f t="shared" si="155"/>
        <v>0</v>
      </c>
      <c r="AF214" s="317">
        <f t="shared" si="180"/>
        <v>0</v>
      </c>
      <c r="AG214" s="317">
        <f t="shared" si="181"/>
        <v>0</v>
      </c>
      <c r="AH214" s="317">
        <f t="shared" si="156"/>
        <v>0</v>
      </c>
      <c r="AI214" s="317">
        <f t="shared" si="157"/>
        <v>0</v>
      </c>
      <c r="AJ214" s="317">
        <f t="shared" si="158"/>
        <v>0</v>
      </c>
      <c r="AK214" s="317">
        <f t="shared" si="159"/>
        <v>0</v>
      </c>
      <c r="AL214" s="317">
        <f t="shared" si="160"/>
        <v>0</v>
      </c>
      <c r="AM214" s="317">
        <f t="shared" si="161"/>
        <v>0</v>
      </c>
      <c r="AN214" s="317">
        <f t="shared" si="162"/>
        <v>0</v>
      </c>
      <c r="AO214" s="317">
        <f t="shared" si="163"/>
        <v>0</v>
      </c>
      <c r="AP214" s="317">
        <f t="shared" si="164"/>
        <v>0</v>
      </c>
      <c r="AQ214" s="317">
        <f t="shared" si="165"/>
        <v>0</v>
      </c>
      <c r="AR214" s="317">
        <f t="shared" si="166"/>
        <v>0</v>
      </c>
      <c r="AS214" s="317">
        <f t="shared" si="167"/>
        <v>0</v>
      </c>
      <c r="AT214" s="317">
        <f t="shared" si="168"/>
        <v>0</v>
      </c>
      <c r="AU214" s="317">
        <f t="shared" si="169"/>
        <v>0</v>
      </c>
      <c r="AV214" s="317">
        <f t="shared" si="170"/>
        <v>0</v>
      </c>
      <c r="AW214" s="317">
        <f t="shared" si="171"/>
        <v>0</v>
      </c>
      <c r="AX214" s="317">
        <f t="shared" si="172"/>
        <v>0</v>
      </c>
      <c r="AY214" s="317">
        <f t="shared" si="173"/>
        <v>0</v>
      </c>
      <c r="AZ214" s="317">
        <f t="shared" si="174"/>
        <v>0</v>
      </c>
      <c r="BA214" s="317">
        <f t="shared" si="175"/>
        <v>0</v>
      </c>
    </row>
    <row r="215" spans="1:53" s="314" customFormat="1" ht="15.75" customHeight="1">
      <c r="A215" s="63" t="str">
        <f t="array" ref="A215">IF(C215&lt;&gt;0,SUM(($C$11:C215&lt;&gt;0)*1),"")</f>
        <v/>
      </c>
      <c r="B215" s="315"/>
      <c r="C215" s="315"/>
      <c r="D215" s="315"/>
      <c r="E215" s="432"/>
      <c r="F215" s="371"/>
      <c r="G215" s="373"/>
      <c r="H215" s="373"/>
      <c r="I215" s="63" t="str">
        <f t="shared" si="137"/>
        <v/>
      </c>
      <c r="J215" s="317">
        <f t="shared" si="138"/>
        <v>0</v>
      </c>
      <c r="K215" s="317">
        <f t="shared" si="139"/>
        <v>0</v>
      </c>
      <c r="L215" s="317">
        <f t="shared" si="140"/>
        <v>0</v>
      </c>
      <c r="M215" s="317">
        <f t="shared" si="141"/>
        <v>0</v>
      </c>
      <c r="N215" s="317">
        <f t="shared" si="176"/>
        <v>0</v>
      </c>
      <c r="O215" s="317">
        <f t="shared" si="177"/>
        <v>0</v>
      </c>
      <c r="P215" s="317">
        <f t="shared" si="142"/>
        <v>0</v>
      </c>
      <c r="Q215" s="317">
        <f t="shared" si="143"/>
        <v>0</v>
      </c>
      <c r="R215" s="317">
        <f t="shared" si="144"/>
        <v>0</v>
      </c>
      <c r="S215" s="317">
        <f t="shared" si="145"/>
        <v>0</v>
      </c>
      <c r="T215" s="317">
        <f t="shared" si="178"/>
        <v>0</v>
      </c>
      <c r="U215" s="317">
        <f t="shared" si="179"/>
        <v>0</v>
      </c>
      <c r="V215" s="317">
        <f t="shared" si="146"/>
        <v>0</v>
      </c>
      <c r="W215" s="317">
        <f t="shared" si="147"/>
        <v>0</v>
      </c>
      <c r="X215" s="317">
        <f t="shared" si="148"/>
        <v>0</v>
      </c>
      <c r="Y215" s="317">
        <f t="shared" si="149"/>
        <v>0</v>
      </c>
      <c r="Z215" s="317">
        <f t="shared" si="150"/>
        <v>0</v>
      </c>
      <c r="AA215" s="317">
        <f t="shared" si="151"/>
        <v>0</v>
      </c>
      <c r="AB215" s="317">
        <f t="shared" si="152"/>
        <v>0</v>
      </c>
      <c r="AC215" s="317">
        <f t="shared" si="153"/>
        <v>0</v>
      </c>
      <c r="AD215" s="317">
        <f t="shared" si="154"/>
        <v>0</v>
      </c>
      <c r="AE215" s="317">
        <f t="shared" si="155"/>
        <v>0</v>
      </c>
      <c r="AF215" s="317">
        <f t="shared" si="180"/>
        <v>0</v>
      </c>
      <c r="AG215" s="317">
        <f t="shared" si="181"/>
        <v>0</v>
      </c>
      <c r="AH215" s="317">
        <f t="shared" si="156"/>
        <v>0</v>
      </c>
      <c r="AI215" s="317">
        <f t="shared" si="157"/>
        <v>0</v>
      </c>
      <c r="AJ215" s="317">
        <f t="shared" si="158"/>
        <v>0</v>
      </c>
      <c r="AK215" s="317">
        <f t="shared" si="159"/>
        <v>0</v>
      </c>
      <c r="AL215" s="317">
        <f t="shared" si="160"/>
        <v>0</v>
      </c>
      <c r="AM215" s="317">
        <f t="shared" si="161"/>
        <v>0</v>
      </c>
      <c r="AN215" s="317">
        <f t="shared" si="162"/>
        <v>0</v>
      </c>
      <c r="AO215" s="317">
        <f t="shared" si="163"/>
        <v>0</v>
      </c>
      <c r="AP215" s="317">
        <f t="shared" si="164"/>
        <v>0</v>
      </c>
      <c r="AQ215" s="317">
        <f t="shared" si="165"/>
        <v>0</v>
      </c>
      <c r="AR215" s="317">
        <f t="shared" si="166"/>
        <v>0</v>
      </c>
      <c r="AS215" s="317">
        <f t="shared" si="167"/>
        <v>0</v>
      </c>
      <c r="AT215" s="317">
        <f t="shared" si="168"/>
        <v>0</v>
      </c>
      <c r="AU215" s="317">
        <f t="shared" si="169"/>
        <v>0</v>
      </c>
      <c r="AV215" s="317">
        <f t="shared" si="170"/>
        <v>0</v>
      </c>
      <c r="AW215" s="317">
        <f t="shared" si="171"/>
        <v>0</v>
      </c>
      <c r="AX215" s="317">
        <f t="shared" si="172"/>
        <v>0</v>
      </c>
      <c r="AY215" s="317">
        <f t="shared" si="173"/>
        <v>0</v>
      </c>
      <c r="AZ215" s="317">
        <f t="shared" si="174"/>
        <v>0</v>
      </c>
      <c r="BA215" s="317">
        <f t="shared" si="175"/>
        <v>0</v>
      </c>
    </row>
    <row r="216" spans="1:53" s="314" customFormat="1" ht="15.75" customHeight="1">
      <c r="A216" s="63" t="str">
        <f t="array" ref="A216">IF(C216&lt;&gt;0,SUM(($C$11:C216&lt;&gt;0)*1),"")</f>
        <v/>
      </c>
      <c r="B216" s="315"/>
      <c r="C216" s="315"/>
      <c r="D216" s="315"/>
      <c r="E216" s="432"/>
      <c r="F216" s="371"/>
      <c r="G216" s="373"/>
      <c r="H216" s="373"/>
      <c r="I216" s="63" t="str">
        <f t="shared" si="137"/>
        <v/>
      </c>
      <c r="J216" s="317">
        <f t="shared" si="138"/>
        <v>0</v>
      </c>
      <c r="K216" s="317">
        <f t="shared" si="139"/>
        <v>0</v>
      </c>
      <c r="L216" s="317">
        <f t="shared" si="140"/>
        <v>0</v>
      </c>
      <c r="M216" s="317">
        <f t="shared" si="141"/>
        <v>0</v>
      </c>
      <c r="N216" s="317">
        <f t="shared" si="176"/>
        <v>0</v>
      </c>
      <c r="O216" s="317">
        <f t="shared" si="177"/>
        <v>0</v>
      </c>
      <c r="P216" s="317">
        <f t="shared" si="142"/>
        <v>0</v>
      </c>
      <c r="Q216" s="317">
        <f t="shared" si="143"/>
        <v>0</v>
      </c>
      <c r="R216" s="317">
        <f t="shared" si="144"/>
        <v>0</v>
      </c>
      <c r="S216" s="317">
        <f t="shared" si="145"/>
        <v>0</v>
      </c>
      <c r="T216" s="317">
        <f t="shared" si="178"/>
        <v>0</v>
      </c>
      <c r="U216" s="317">
        <f t="shared" si="179"/>
        <v>0</v>
      </c>
      <c r="V216" s="317">
        <f t="shared" si="146"/>
        <v>0</v>
      </c>
      <c r="W216" s="317">
        <f t="shared" si="147"/>
        <v>0</v>
      </c>
      <c r="X216" s="317">
        <f t="shared" si="148"/>
        <v>0</v>
      </c>
      <c r="Y216" s="317">
        <f t="shared" si="149"/>
        <v>0</v>
      </c>
      <c r="Z216" s="317">
        <f t="shared" si="150"/>
        <v>0</v>
      </c>
      <c r="AA216" s="317">
        <f t="shared" si="151"/>
        <v>0</v>
      </c>
      <c r="AB216" s="317">
        <f t="shared" si="152"/>
        <v>0</v>
      </c>
      <c r="AC216" s="317">
        <f t="shared" si="153"/>
        <v>0</v>
      </c>
      <c r="AD216" s="317">
        <f t="shared" si="154"/>
        <v>0</v>
      </c>
      <c r="AE216" s="317">
        <f t="shared" si="155"/>
        <v>0</v>
      </c>
      <c r="AF216" s="317">
        <f t="shared" si="180"/>
        <v>0</v>
      </c>
      <c r="AG216" s="317">
        <f t="shared" si="181"/>
        <v>0</v>
      </c>
      <c r="AH216" s="317">
        <f t="shared" si="156"/>
        <v>0</v>
      </c>
      <c r="AI216" s="317">
        <f t="shared" si="157"/>
        <v>0</v>
      </c>
      <c r="AJ216" s="317">
        <f t="shared" si="158"/>
        <v>0</v>
      </c>
      <c r="AK216" s="317">
        <f t="shared" si="159"/>
        <v>0</v>
      </c>
      <c r="AL216" s="317">
        <f t="shared" si="160"/>
        <v>0</v>
      </c>
      <c r="AM216" s="317">
        <f t="shared" si="161"/>
        <v>0</v>
      </c>
      <c r="AN216" s="317">
        <f t="shared" si="162"/>
        <v>0</v>
      </c>
      <c r="AO216" s="317">
        <f t="shared" si="163"/>
        <v>0</v>
      </c>
      <c r="AP216" s="317">
        <f t="shared" si="164"/>
        <v>0</v>
      </c>
      <c r="AQ216" s="317">
        <f t="shared" si="165"/>
        <v>0</v>
      </c>
      <c r="AR216" s="317">
        <f t="shared" si="166"/>
        <v>0</v>
      </c>
      <c r="AS216" s="317">
        <f t="shared" si="167"/>
        <v>0</v>
      </c>
      <c r="AT216" s="317">
        <f t="shared" si="168"/>
        <v>0</v>
      </c>
      <c r="AU216" s="317">
        <f t="shared" si="169"/>
        <v>0</v>
      </c>
      <c r="AV216" s="317">
        <f t="shared" si="170"/>
        <v>0</v>
      </c>
      <c r="AW216" s="317">
        <f t="shared" si="171"/>
        <v>0</v>
      </c>
      <c r="AX216" s="317">
        <f t="shared" si="172"/>
        <v>0</v>
      </c>
      <c r="AY216" s="317">
        <f t="shared" si="173"/>
        <v>0</v>
      </c>
      <c r="AZ216" s="317">
        <f t="shared" si="174"/>
        <v>0</v>
      </c>
      <c r="BA216" s="317">
        <f t="shared" si="175"/>
        <v>0</v>
      </c>
    </row>
    <row r="217" spans="1:53" s="314" customFormat="1" ht="15.75" customHeight="1">
      <c r="A217" s="63" t="str">
        <f t="array" ref="A217">IF(C217&lt;&gt;0,SUM(($C$11:C217&lt;&gt;0)*1),"")</f>
        <v/>
      </c>
      <c r="B217" s="315"/>
      <c r="C217" s="315"/>
      <c r="D217" s="315"/>
      <c r="E217" s="432"/>
      <c r="F217" s="371"/>
      <c r="G217" s="373"/>
      <c r="H217" s="373"/>
      <c r="I217" s="63" t="str">
        <f t="shared" si="137"/>
        <v/>
      </c>
      <c r="J217" s="317">
        <f t="shared" si="138"/>
        <v>0</v>
      </c>
      <c r="K217" s="317">
        <f t="shared" si="139"/>
        <v>0</v>
      </c>
      <c r="L217" s="317">
        <f t="shared" si="140"/>
        <v>0</v>
      </c>
      <c r="M217" s="317">
        <f t="shared" si="141"/>
        <v>0</v>
      </c>
      <c r="N217" s="317">
        <f t="shared" si="176"/>
        <v>0</v>
      </c>
      <c r="O217" s="317">
        <f t="shared" si="177"/>
        <v>0</v>
      </c>
      <c r="P217" s="317">
        <f t="shared" si="142"/>
        <v>0</v>
      </c>
      <c r="Q217" s="317">
        <f t="shared" si="143"/>
        <v>0</v>
      </c>
      <c r="R217" s="317">
        <f t="shared" si="144"/>
        <v>0</v>
      </c>
      <c r="S217" s="317">
        <f t="shared" si="145"/>
        <v>0</v>
      </c>
      <c r="T217" s="317">
        <f t="shared" si="178"/>
        <v>0</v>
      </c>
      <c r="U217" s="317">
        <f t="shared" si="179"/>
        <v>0</v>
      </c>
      <c r="V217" s="317">
        <f t="shared" si="146"/>
        <v>0</v>
      </c>
      <c r="W217" s="317">
        <f t="shared" si="147"/>
        <v>0</v>
      </c>
      <c r="X217" s="317">
        <f t="shared" si="148"/>
        <v>0</v>
      </c>
      <c r="Y217" s="317">
        <f t="shared" si="149"/>
        <v>0</v>
      </c>
      <c r="Z217" s="317">
        <f t="shared" si="150"/>
        <v>0</v>
      </c>
      <c r="AA217" s="317">
        <f t="shared" si="151"/>
        <v>0</v>
      </c>
      <c r="AB217" s="317">
        <f t="shared" si="152"/>
        <v>0</v>
      </c>
      <c r="AC217" s="317">
        <f t="shared" si="153"/>
        <v>0</v>
      </c>
      <c r="AD217" s="317">
        <f t="shared" si="154"/>
        <v>0</v>
      </c>
      <c r="AE217" s="317">
        <f t="shared" si="155"/>
        <v>0</v>
      </c>
      <c r="AF217" s="317">
        <f t="shared" si="180"/>
        <v>0</v>
      </c>
      <c r="AG217" s="317">
        <f t="shared" si="181"/>
        <v>0</v>
      </c>
      <c r="AH217" s="317">
        <f t="shared" si="156"/>
        <v>0</v>
      </c>
      <c r="AI217" s="317">
        <f t="shared" si="157"/>
        <v>0</v>
      </c>
      <c r="AJ217" s="317">
        <f t="shared" si="158"/>
        <v>0</v>
      </c>
      <c r="AK217" s="317">
        <f t="shared" si="159"/>
        <v>0</v>
      </c>
      <c r="AL217" s="317">
        <f t="shared" si="160"/>
        <v>0</v>
      </c>
      <c r="AM217" s="317">
        <f t="shared" si="161"/>
        <v>0</v>
      </c>
      <c r="AN217" s="317">
        <f t="shared" si="162"/>
        <v>0</v>
      </c>
      <c r="AO217" s="317">
        <f t="shared" si="163"/>
        <v>0</v>
      </c>
      <c r="AP217" s="317">
        <f t="shared" si="164"/>
        <v>0</v>
      </c>
      <c r="AQ217" s="317">
        <f t="shared" si="165"/>
        <v>0</v>
      </c>
      <c r="AR217" s="317">
        <f t="shared" si="166"/>
        <v>0</v>
      </c>
      <c r="AS217" s="317">
        <f t="shared" si="167"/>
        <v>0</v>
      </c>
      <c r="AT217" s="317">
        <f t="shared" si="168"/>
        <v>0</v>
      </c>
      <c r="AU217" s="317">
        <f t="shared" si="169"/>
        <v>0</v>
      </c>
      <c r="AV217" s="317">
        <f t="shared" si="170"/>
        <v>0</v>
      </c>
      <c r="AW217" s="317">
        <f t="shared" si="171"/>
        <v>0</v>
      </c>
      <c r="AX217" s="317">
        <f t="shared" si="172"/>
        <v>0</v>
      </c>
      <c r="AY217" s="317">
        <f t="shared" si="173"/>
        <v>0</v>
      </c>
      <c r="AZ217" s="317">
        <f t="shared" si="174"/>
        <v>0</v>
      </c>
      <c r="BA217" s="317">
        <f t="shared" si="175"/>
        <v>0</v>
      </c>
    </row>
    <row r="218" spans="1:53" s="314" customFormat="1" ht="15.75" customHeight="1">
      <c r="A218" s="63" t="str">
        <f t="array" ref="A218">IF(C218&lt;&gt;0,SUM(($C$11:C218&lt;&gt;0)*1),"")</f>
        <v/>
      </c>
      <c r="B218" s="315"/>
      <c r="C218" s="315"/>
      <c r="D218" s="315"/>
      <c r="E218" s="432"/>
      <c r="F218" s="371"/>
      <c r="G218" s="373"/>
      <c r="H218" s="373"/>
      <c r="I218" s="63" t="str">
        <f t="shared" si="137"/>
        <v/>
      </c>
      <c r="J218" s="317">
        <f t="shared" si="138"/>
        <v>0</v>
      </c>
      <c r="K218" s="317">
        <f t="shared" si="139"/>
        <v>0</v>
      </c>
      <c r="L218" s="317">
        <f t="shared" si="140"/>
        <v>0</v>
      </c>
      <c r="M218" s="317">
        <f t="shared" si="141"/>
        <v>0</v>
      </c>
      <c r="N218" s="317">
        <f t="shared" si="176"/>
        <v>0</v>
      </c>
      <c r="O218" s="317">
        <f t="shared" si="177"/>
        <v>0</v>
      </c>
      <c r="P218" s="317">
        <f t="shared" si="142"/>
        <v>0</v>
      </c>
      <c r="Q218" s="317">
        <f t="shared" si="143"/>
        <v>0</v>
      </c>
      <c r="R218" s="317">
        <f t="shared" si="144"/>
        <v>0</v>
      </c>
      <c r="S218" s="317">
        <f t="shared" si="145"/>
        <v>0</v>
      </c>
      <c r="T218" s="317">
        <f t="shared" si="178"/>
        <v>0</v>
      </c>
      <c r="U218" s="317">
        <f t="shared" si="179"/>
        <v>0</v>
      </c>
      <c r="V218" s="317">
        <f t="shared" si="146"/>
        <v>0</v>
      </c>
      <c r="W218" s="317">
        <f t="shared" si="147"/>
        <v>0</v>
      </c>
      <c r="X218" s="317">
        <f t="shared" si="148"/>
        <v>0</v>
      </c>
      <c r="Y218" s="317">
        <f t="shared" si="149"/>
        <v>0</v>
      </c>
      <c r="Z218" s="317">
        <f t="shared" si="150"/>
        <v>0</v>
      </c>
      <c r="AA218" s="317">
        <f t="shared" si="151"/>
        <v>0</v>
      </c>
      <c r="AB218" s="317">
        <f t="shared" si="152"/>
        <v>0</v>
      </c>
      <c r="AC218" s="317">
        <f t="shared" si="153"/>
        <v>0</v>
      </c>
      <c r="AD218" s="317">
        <f t="shared" si="154"/>
        <v>0</v>
      </c>
      <c r="AE218" s="317">
        <f t="shared" si="155"/>
        <v>0</v>
      </c>
      <c r="AF218" s="317">
        <f t="shared" si="180"/>
        <v>0</v>
      </c>
      <c r="AG218" s="317">
        <f t="shared" si="181"/>
        <v>0</v>
      </c>
      <c r="AH218" s="317">
        <f t="shared" si="156"/>
        <v>0</v>
      </c>
      <c r="AI218" s="317">
        <f t="shared" si="157"/>
        <v>0</v>
      </c>
      <c r="AJ218" s="317">
        <f t="shared" si="158"/>
        <v>0</v>
      </c>
      <c r="AK218" s="317">
        <f t="shared" si="159"/>
        <v>0</v>
      </c>
      <c r="AL218" s="317">
        <f t="shared" si="160"/>
        <v>0</v>
      </c>
      <c r="AM218" s="317">
        <f t="shared" si="161"/>
        <v>0</v>
      </c>
      <c r="AN218" s="317">
        <f t="shared" si="162"/>
        <v>0</v>
      </c>
      <c r="AO218" s="317">
        <f t="shared" si="163"/>
        <v>0</v>
      </c>
      <c r="AP218" s="317">
        <f t="shared" si="164"/>
        <v>0</v>
      </c>
      <c r="AQ218" s="317">
        <f t="shared" si="165"/>
        <v>0</v>
      </c>
      <c r="AR218" s="317">
        <f t="shared" si="166"/>
        <v>0</v>
      </c>
      <c r="AS218" s="317">
        <f t="shared" si="167"/>
        <v>0</v>
      </c>
      <c r="AT218" s="317">
        <f t="shared" si="168"/>
        <v>0</v>
      </c>
      <c r="AU218" s="317">
        <f t="shared" si="169"/>
        <v>0</v>
      </c>
      <c r="AV218" s="317">
        <f t="shared" si="170"/>
        <v>0</v>
      </c>
      <c r="AW218" s="317">
        <f t="shared" si="171"/>
        <v>0</v>
      </c>
      <c r="AX218" s="317">
        <f t="shared" si="172"/>
        <v>0</v>
      </c>
      <c r="AY218" s="317">
        <f t="shared" si="173"/>
        <v>0</v>
      </c>
      <c r="AZ218" s="317">
        <f t="shared" si="174"/>
        <v>0</v>
      </c>
      <c r="BA218" s="317">
        <f t="shared" si="175"/>
        <v>0</v>
      </c>
    </row>
    <row r="219" spans="1:53" s="314" customFormat="1" ht="15.75" customHeight="1">
      <c r="A219" s="63" t="str">
        <f t="array" ref="A219">IF(C219&lt;&gt;0,SUM(($C$11:C219&lt;&gt;0)*1),"")</f>
        <v/>
      </c>
      <c r="B219" s="315"/>
      <c r="C219" s="315"/>
      <c r="D219" s="315"/>
      <c r="E219" s="432"/>
      <c r="F219" s="371"/>
      <c r="G219" s="373"/>
      <c r="H219" s="373"/>
      <c r="I219" s="63" t="str">
        <f t="shared" si="137"/>
        <v/>
      </c>
      <c r="J219" s="317">
        <f t="shared" si="138"/>
        <v>0</v>
      </c>
      <c r="K219" s="317">
        <f t="shared" si="139"/>
        <v>0</v>
      </c>
      <c r="L219" s="317">
        <f t="shared" si="140"/>
        <v>0</v>
      </c>
      <c r="M219" s="317">
        <f t="shared" si="141"/>
        <v>0</v>
      </c>
      <c r="N219" s="317">
        <f t="shared" si="176"/>
        <v>0</v>
      </c>
      <c r="O219" s="317">
        <f t="shared" si="177"/>
        <v>0</v>
      </c>
      <c r="P219" s="317">
        <f t="shared" si="142"/>
        <v>0</v>
      </c>
      <c r="Q219" s="317">
        <f t="shared" si="143"/>
        <v>0</v>
      </c>
      <c r="R219" s="317">
        <f t="shared" si="144"/>
        <v>0</v>
      </c>
      <c r="S219" s="317">
        <f t="shared" si="145"/>
        <v>0</v>
      </c>
      <c r="T219" s="317">
        <f t="shared" si="178"/>
        <v>0</v>
      </c>
      <c r="U219" s="317">
        <f t="shared" si="179"/>
        <v>0</v>
      </c>
      <c r="V219" s="317">
        <f t="shared" si="146"/>
        <v>0</v>
      </c>
      <c r="W219" s="317">
        <f t="shared" si="147"/>
        <v>0</v>
      </c>
      <c r="X219" s="317">
        <f t="shared" si="148"/>
        <v>0</v>
      </c>
      <c r="Y219" s="317">
        <f t="shared" si="149"/>
        <v>0</v>
      </c>
      <c r="Z219" s="317">
        <f t="shared" si="150"/>
        <v>0</v>
      </c>
      <c r="AA219" s="317">
        <f t="shared" si="151"/>
        <v>0</v>
      </c>
      <c r="AB219" s="317">
        <f t="shared" si="152"/>
        <v>0</v>
      </c>
      <c r="AC219" s="317">
        <f t="shared" si="153"/>
        <v>0</v>
      </c>
      <c r="AD219" s="317">
        <f t="shared" si="154"/>
        <v>0</v>
      </c>
      <c r="AE219" s="317">
        <f t="shared" si="155"/>
        <v>0</v>
      </c>
      <c r="AF219" s="317">
        <f t="shared" si="180"/>
        <v>0</v>
      </c>
      <c r="AG219" s="317">
        <f t="shared" si="181"/>
        <v>0</v>
      </c>
      <c r="AH219" s="317">
        <f t="shared" si="156"/>
        <v>0</v>
      </c>
      <c r="AI219" s="317">
        <f t="shared" si="157"/>
        <v>0</v>
      </c>
      <c r="AJ219" s="317">
        <f t="shared" si="158"/>
        <v>0</v>
      </c>
      <c r="AK219" s="317">
        <f t="shared" si="159"/>
        <v>0</v>
      </c>
      <c r="AL219" s="317">
        <f t="shared" si="160"/>
        <v>0</v>
      </c>
      <c r="AM219" s="317">
        <f t="shared" si="161"/>
        <v>0</v>
      </c>
      <c r="AN219" s="317">
        <f t="shared" si="162"/>
        <v>0</v>
      </c>
      <c r="AO219" s="317">
        <f t="shared" si="163"/>
        <v>0</v>
      </c>
      <c r="AP219" s="317">
        <f t="shared" si="164"/>
        <v>0</v>
      </c>
      <c r="AQ219" s="317">
        <f t="shared" si="165"/>
        <v>0</v>
      </c>
      <c r="AR219" s="317">
        <f t="shared" si="166"/>
        <v>0</v>
      </c>
      <c r="AS219" s="317">
        <f t="shared" si="167"/>
        <v>0</v>
      </c>
      <c r="AT219" s="317">
        <f t="shared" si="168"/>
        <v>0</v>
      </c>
      <c r="AU219" s="317">
        <f t="shared" si="169"/>
        <v>0</v>
      </c>
      <c r="AV219" s="317">
        <f t="shared" si="170"/>
        <v>0</v>
      </c>
      <c r="AW219" s="317">
        <f t="shared" si="171"/>
        <v>0</v>
      </c>
      <c r="AX219" s="317">
        <f t="shared" si="172"/>
        <v>0</v>
      </c>
      <c r="AY219" s="317">
        <f t="shared" si="173"/>
        <v>0</v>
      </c>
      <c r="AZ219" s="317">
        <f t="shared" si="174"/>
        <v>0</v>
      </c>
      <c r="BA219" s="317">
        <f t="shared" si="175"/>
        <v>0</v>
      </c>
    </row>
    <row r="220" spans="1:53" s="314" customFormat="1" ht="15.75" customHeight="1">
      <c r="A220" s="63" t="str">
        <f t="array" ref="A220">IF(C220&lt;&gt;0,SUM(($C$11:C220&lt;&gt;0)*1),"")</f>
        <v/>
      </c>
      <c r="B220" s="315"/>
      <c r="C220" s="315"/>
      <c r="D220" s="315"/>
      <c r="E220" s="432"/>
      <c r="F220" s="371"/>
      <c r="G220" s="373"/>
      <c r="H220" s="373"/>
      <c r="I220" s="63" t="str">
        <f t="shared" si="137"/>
        <v/>
      </c>
      <c r="J220" s="317">
        <f t="shared" si="138"/>
        <v>0</v>
      </c>
      <c r="K220" s="317">
        <f t="shared" si="139"/>
        <v>0</v>
      </c>
      <c r="L220" s="317">
        <f t="shared" si="140"/>
        <v>0</v>
      </c>
      <c r="M220" s="317">
        <f t="shared" si="141"/>
        <v>0</v>
      </c>
      <c r="N220" s="317">
        <f t="shared" si="176"/>
        <v>0</v>
      </c>
      <c r="O220" s="317">
        <f t="shared" si="177"/>
        <v>0</v>
      </c>
      <c r="P220" s="317">
        <f t="shared" si="142"/>
        <v>0</v>
      </c>
      <c r="Q220" s="317">
        <f t="shared" si="143"/>
        <v>0</v>
      </c>
      <c r="R220" s="317">
        <f t="shared" si="144"/>
        <v>0</v>
      </c>
      <c r="S220" s="317">
        <f t="shared" si="145"/>
        <v>0</v>
      </c>
      <c r="T220" s="317">
        <f t="shared" si="178"/>
        <v>0</v>
      </c>
      <c r="U220" s="317">
        <f t="shared" si="179"/>
        <v>0</v>
      </c>
      <c r="V220" s="317">
        <f t="shared" si="146"/>
        <v>0</v>
      </c>
      <c r="W220" s="317">
        <f t="shared" si="147"/>
        <v>0</v>
      </c>
      <c r="X220" s="317">
        <f t="shared" si="148"/>
        <v>0</v>
      </c>
      <c r="Y220" s="317">
        <f t="shared" si="149"/>
        <v>0</v>
      </c>
      <c r="Z220" s="317">
        <f t="shared" si="150"/>
        <v>0</v>
      </c>
      <c r="AA220" s="317">
        <f t="shared" si="151"/>
        <v>0</v>
      </c>
      <c r="AB220" s="317">
        <f t="shared" si="152"/>
        <v>0</v>
      </c>
      <c r="AC220" s="317">
        <f t="shared" si="153"/>
        <v>0</v>
      </c>
      <c r="AD220" s="317">
        <f t="shared" si="154"/>
        <v>0</v>
      </c>
      <c r="AE220" s="317">
        <f t="shared" si="155"/>
        <v>0</v>
      </c>
      <c r="AF220" s="317">
        <f t="shared" si="180"/>
        <v>0</v>
      </c>
      <c r="AG220" s="317">
        <f t="shared" si="181"/>
        <v>0</v>
      </c>
      <c r="AH220" s="317">
        <f t="shared" si="156"/>
        <v>0</v>
      </c>
      <c r="AI220" s="317">
        <f t="shared" si="157"/>
        <v>0</v>
      </c>
      <c r="AJ220" s="317">
        <f t="shared" si="158"/>
        <v>0</v>
      </c>
      <c r="AK220" s="317">
        <f t="shared" si="159"/>
        <v>0</v>
      </c>
      <c r="AL220" s="317">
        <f t="shared" si="160"/>
        <v>0</v>
      </c>
      <c r="AM220" s="317">
        <f t="shared" si="161"/>
        <v>0</v>
      </c>
      <c r="AN220" s="317">
        <f t="shared" si="162"/>
        <v>0</v>
      </c>
      <c r="AO220" s="317">
        <f t="shared" si="163"/>
        <v>0</v>
      </c>
      <c r="AP220" s="317">
        <f t="shared" si="164"/>
        <v>0</v>
      </c>
      <c r="AQ220" s="317">
        <f t="shared" si="165"/>
        <v>0</v>
      </c>
      <c r="AR220" s="317">
        <f t="shared" si="166"/>
        <v>0</v>
      </c>
      <c r="AS220" s="317">
        <f t="shared" si="167"/>
        <v>0</v>
      </c>
      <c r="AT220" s="317">
        <f t="shared" si="168"/>
        <v>0</v>
      </c>
      <c r="AU220" s="317">
        <f t="shared" si="169"/>
        <v>0</v>
      </c>
      <c r="AV220" s="317">
        <f t="shared" si="170"/>
        <v>0</v>
      </c>
      <c r="AW220" s="317">
        <f t="shared" si="171"/>
        <v>0</v>
      </c>
      <c r="AX220" s="317">
        <f t="shared" si="172"/>
        <v>0</v>
      </c>
      <c r="AY220" s="317">
        <f t="shared" si="173"/>
        <v>0</v>
      </c>
      <c r="AZ220" s="317">
        <f t="shared" si="174"/>
        <v>0</v>
      </c>
      <c r="BA220" s="317">
        <f t="shared" si="175"/>
        <v>0</v>
      </c>
    </row>
    <row r="221" spans="1:53" s="314" customFormat="1" ht="15.75" customHeight="1">
      <c r="A221" s="63" t="str">
        <f t="array" ref="A221">IF(C221&lt;&gt;0,SUM(($C$11:C221&lt;&gt;0)*1),"")</f>
        <v/>
      </c>
      <c r="B221" s="315"/>
      <c r="C221" s="315"/>
      <c r="D221" s="315"/>
      <c r="E221" s="432"/>
      <c r="F221" s="371"/>
      <c r="G221" s="373"/>
      <c r="H221" s="373"/>
      <c r="I221" s="63" t="str">
        <f t="shared" si="137"/>
        <v/>
      </c>
      <c r="J221" s="317">
        <f t="shared" si="138"/>
        <v>0</v>
      </c>
      <c r="K221" s="317">
        <f t="shared" si="139"/>
        <v>0</v>
      </c>
      <c r="L221" s="317">
        <f t="shared" si="140"/>
        <v>0</v>
      </c>
      <c r="M221" s="317">
        <f t="shared" si="141"/>
        <v>0</v>
      </c>
      <c r="N221" s="317">
        <f t="shared" si="176"/>
        <v>0</v>
      </c>
      <c r="O221" s="317">
        <f t="shared" si="177"/>
        <v>0</v>
      </c>
      <c r="P221" s="317">
        <f t="shared" si="142"/>
        <v>0</v>
      </c>
      <c r="Q221" s="317">
        <f t="shared" si="143"/>
        <v>0</v>
      </c>
      <c r="R221" s="317">
        <f t="shared" si="144"/>
        <v>0</v>
      </c>
      <c r="S221" s="317">
        <f t="shared" si="145"/>
        <v>0</v>
      </c>
      <c r="T221" s="317">
        <f t="shared" si="178"/>
        <v>0</v>
      </c>
      <c r="U221" s="317">
        <f t="shared" si="179"/>
        <v>0</v>
      </c>
      <c r="V221" s="317">
        <f t="shared" si="146"/>
        <v>0</v>
      </c>
      <c r="W221" s="317">
        <f t="shared" si="147"/>
        <v>0</v>
      </c>
      <c r="X221" s="317">
        <f t="shared" si="148"/>
        <v>0</v>
      </c>
      <c r="Y221" s="317">
        <f t="shared" si="149"/>
        <v>0</v>
      </c>
      <c r="Z221" s="317">
        <f t="shared" si="150"/>
        <v>0</v>
      </c>
      <c r="AA221" s="317">
        <f t="shared" si="151"/>
        <v>0</v>
      </c>
      <c r="AB221" s="317">
        <f t="shared" si="152"/>
        <v>0</v>
      </c>
      <c r="AC221" s="317">
        <f t="shared" si="153"/>
        <v>0</v>
      </c>
      <c r="AD221" s="317">
        <f t="shared" si="154"/>
        <v>0</v>
      </c>
      <c r="AE221" s="317">
        <f t="shared" si="155"/>
        <v>0</v>
      </c>
      <c r="AF221" s="317">
        <f t="shared" si="180"/>
        <v>0</v>
      </c>
      <c r="AG221" s="317">
        <f t="shared" si="181"/>
        <v>0</v>
      </c>
      <c r="AH221" s="317">
        <f t="shared" si="156"/>
        <v>0</v>
      </c>
      <c r="AI221" s="317">
        <f t="shared" si="157"/>
        <v>0</v>
      </c>
      <c r="AJ221" s="317">
        <f t="shared" si="158"/>
        <v>0</v>
      </c>
      <c r="AK221" s="317">
        <f t="shared" si="159"/>
        <v>0</v>
      </c>
      <c r="AL221" s="317">
        <f t="shared" si="160"/>
        <v>0</v>
      </c>
      <c r="AM221" s="317">
        <f t="shared" si="161"/>
        <v>0</v>
      </c>
      <c r="AN221" s="317">
        <f t="shared" si="162"/>
        <v>0</v>
      </c>
      <c r="AO221" s="317">
        <f t="shared" si="163"/>
        <v>0</v>
      </c>
      <c r="AP221" s="317">
        <f t="shared" si="164"/>
        <v>0</v>
      </c>
      <c r="AQ221" s="317">
        <f t="shared" si="165"/>
        <v>0</v>
      </c>
      <c r="AR221" s="317">
        <f t="shared" si="166"/>
        <v>0</v>
      </c>
      <c r="AS221" s="317">
        <f t="shared" si="167"/>
        <v>0</v>
      </c>
      <c r="AT221" s="317">
        <f t="shared" si="168"/>
        <v>0</v>
      </c>
      <c r="AU221" s="317">
        <f t="shared" si="169"/>
        <v>0</v>
      </c>
      <c r="AV221" s="317">
        <f t="shared" si="170"/>
        <v>0</v>
      </c>
      <c r="AW221" s="317">
        <f t="shared" si="171"/>
        <v>0</v>
      </c>
      <c r="AX221" s="317">
        <f t="shared" si="172"/>
        <v>0</v>
      </c>
      <c r="AY221" s="317">
        <f t="shared" si="173"/>
        <v>0</v>
      </c>
      <c r="AZ221" s="317">
        <f t="shared" si="174"/>
        <v>0</v>
      </c>
      <c r="BA221" s="317">
        <f t="shared" si="175"/>
        <v>0</v>
      </c>
    </row>
    <row r="222" spans="1:53" s="314" customFormat="1" ht="15.75" customHeight="1">
      <c r="A222" s="63" t="str">
        <f t="array" ref="A222">IF(C222&lt;&gt;0,SUM(($C$11:C222&lt;&gt;0)*1),"")</f>
        <v/>
      </c>
      <c r="B222" s="315"/>
      <c r="C222" s="315"/>
      <c r="D222" s="315"/>
      <c r="E222" s="432"/>
      <c r="F222" s="371"/>
      <c r="G222" s="373"/>
      <c r="H222" s="373"/>
      <c r="I222" s="63" t="str">
        <f t="shared" si="137"/>
        <v/>
      </c>
      <c r="J222" s="317">
        <f t="shared" si="138"/>
        <v>0</v>
      </c>
      <c r="K222" s="317">
        <f t="shared" si="139"/>
        <v>0</v>
      </c>
      <c r="L222" s="317">
        <f t="shared" si="140"/>
        <v>0</v>
      </c>
      <c r="M222" s="317">
        <f t="shared" si="141"/>
        <v>0</v>
      </c>
      <c r="N222" s="317">
        <f t="shared" si="176"/>
        <v>0</v>
      </c>
      <c r="O222" s="317">
        <f t="shared" si="177"/>
        <v>0</v>
      </c>
      <c r="P222" s="317">
        <f t="shared" si="142"/>
        <v>0</v>
      </c>
      <c r="Q222" s="317">
        <f t="shared" si="143"/>
        <v>0</v>
      </c>
      <c r="R222" s="317">
        <f t="shared" si="144"/>
        <v>0</v>
      </c>
      <c r="S222" s="317">
        <f t="shared" si="145"/>
        <v>0</v>
      </c>
      <c r="T222" s="317">
        <f t="shared" si="178"/>
        <v>0</v>
      </c>
      <c r="U222" s="317">
        <f t="shared" si="179"/>
        <v>0</v>
      </c>
      <c r="V222" s="317">
        <f t="shared" si="146"/>
        <v>0</v>
      </c>
      <c r="W222" s="317">
        <f t="shared" si="147"/>
        <v>0</v>
      </c>
      <c r="X222" s="317">
        <f t="shared" si="148"/>
        <v>0</v>
      </c>
      <c r="Y222" s="317">
        <f t="shared" si="149"/>
        <v>0</v>
      </c>
      <c r="Z222" s="317">
        <f t="shared" si="150"/>
        <v>0</v>
      </c>
      <c r="AA222" s="317">
        <f t="shared" si="151"/>
        <v>0</v>
      </c>
      <c r="AB222" s="317">
        <f t="shared" si="152"/>
        <v>0</v>
      </c>
      <c r="AC222" s="317">
        <f t="shared" si="153"/>
        <v>0</v>
      </c>
      <c r="AD222" s="317">
        <f t="shared" si="154"/>
        <v>0</v>
      </c>
      <c r="AE222" s="317">
        <f t="shared" si="155"/>
        <v>0</v>
      </c>
      <c r="AF222" s="317">
        <f t="shared" si="180"/>
        <v>0</v>
      </c>
      <c r="AG222" s="317">
        <f t="shared" si="181"/>
        <v>0</v>
      </c>
      <c r="AH222" s="317">
        <f t="shared" si="156"/>
        <v>0</v>
      </c>
      <c r="AI222" s="317">
        <f t="shared" si="157"/>
        <v>0</v>
      </c>
      <c r="AJ222" s="317">
        <f t="shared" si="158"/>
        <v>0</v>
      </c>
      <c r="AK222" s="317">
        <f t="shared" si="159"/>
        <v>0</v>
      </c>
      <c r="AL222" s="317">
        <f t="shared" si="160"/>
        <v>0</v>
      </c>
      <c r="AM222" s="317">
        <f t="shared" si="161"/>
        <v>0</v>
      </c>
      <c r="AN222" s="317">
        <f t="shared" si="162"/>
        <v>0</v>
      </c>
      <c r="AO222" s="317">
        <f t="shared" si="163"/>
        <v>0</v>
      </c>
      <c r="AP222" s="317">
        <f t="shared" si="164"/>
        <v>0</v>
      </c>
      <c r="AQ222" s="317">
        <f t="shared" si="165"/>
        <v>0</v>
      </c>
      <c r="AR222" s="317">
        <f t="shared" si="166"/>
        <v>0</v>
      </c>
      <c r="AS222" s="317">
        <f t="shared" si="167"/>
        <v>0</v>
      </c>
      <c r="AT222" s="317">
        <f t="shared" si="168"/>
        <v>0</v>
      </c>
      <c r="AU222" s="317">
        <f t="shared" si="169"/>
        <v>0</v>
      </c>
      <c r="AV222" s="317">
        <f t="shared" si="170"/>
        <v>0</v>
      </c>
      <c r="AW222" s="317">
        <f t="shared" si="171"/>
        <v>0</v>
      </c>
      <c r="AX222" s="317">
        <f t="shared" si="172"/>
        <v>0</v>
      </c>
      <c r="AY222" s="317">
        <f t="shared" si="173"/>
        <v>0</v>
      </c>
      <c r="AZ222" s="317">
        <f t="shared" si="174"/>
        <v>0</v>
      </c>
      <c r="BA222" s="317">
        <f t="shared" si="175"/>
        <v>0</v>
      </c>
    </row>
    <row r="223" spans="1:53" s="314" customFormat="1" ht="15.75" customHeight="1">
      <c r="A223" s="63" t="str">
        <f t="array" ref="A223">IF(C223&lt;&gt;0,SUM(($C$11:C223&lt;&gt;0)*1),"")</f>
        <v/>
      </c>
      <c r="B223" s="315"/>
      <c r="C223" s="315"/>
      <c r="D223" s="315"/>
      <c r="E223" s="432"/>
      <c r="F223" s="371"/>
      <c r="G223" s="373"/>
      <c r="H223" s="373"/>
      <c r="I223" s="63" t="str">
        <f t="shared" si="137"/>
        <v/>
      </c>
      <c r="J223" s="317">
        <f t="shared" si="138"/>
        <v>0</v>
      </c>
      <c r="K223" s="317">
        <f t="shared" si="139"/>
        <v>0</v>
      </c>
      <c r="L223" s="317">
        <f t="shared" si="140"/>
        <v>0</v>
      </c>
      <c r="M223" s="317">
        <f t="shared" si="141"/>
        <v>0</v>
      </c>
      <c r="N223" s="317">
        <f t="shared" si="176"/>
        <v>0</v>
      </c>
      <c r="O223" s="317">
        <f t="shared" si="177"/>
        <v>0</v>
      </c>
      <c r="P223" s="317">
        <f t="shared" si="142"/>
        <v>0</v>
      </c>
      <c r="Q223" s="317">
        <f t="shared" si="143"/>
        <v>0</v>
      </c>
      <c r="R223" s="317">
        <f t="shared" si="144"/>
        <v>0</v>
      </c>
      <c r="S223" s="317">
        <f t="shared" si="145"/>
        <v>0</v>
      </c>
      <c r="T223" s="317">
        <f t="shared" si="178"/>
        <v>0</v>
      </c>
      <c r="U223" s="317">
        <f t="shared" si="179"/>
        <v>0</v>
      </c>
      <c r="V223" s="317">
        <f t="shared" si="146"/>
        <v>0</v>
      </c>
      <c r="W223" s="317">
        <f t="shared" si="147"/>
        <v>0</v>
      </c>
      <c r="X223" s="317">
        <f t="shared" si="148"/>
        <v>0</v>
      </c>
      <c r="Y223" s="317">
        <f t="shared" si="149"/>
        <v>0</v>
      </c>
      <c r="Z223" s="317">
        <f t="shared" si="150"/>
        <v>0</v>
      </c>
      <c r="AA223" s="317">
        <f t="shared" si="151"/>
        <v>0</v>
      </c>
      <c r="AB223" s="317">
        <f t="shared" si="152"/>
        <v>0</v>
      </c>
      <c r="AC223" s="317">
        <f t="shared" si="153"/>
        <v>0</v>
      </c>
      <c r="AD223" s="317">
        <f t="shared" si="154"/>
        <v>0</v>
      </c>
      <c r="AE223" s="317">
        <f t="shared" si="155"/>
        <v>0</v>
      </c>
      <c r="AF223" s="317">
        <f t="shared" si="180"/>
        <v>0</v>
      </c>
      <c r="AG223" s="317">
        <f t="shared" si="181"/>
        <v>0</v>
      </c>
      <c r="AH223" s="317">
        <f t="shared" si="156"/>
        <v>0</v>
      </c>
      <c r="AI223" s="317">
        <f t="shared" si="157"/>
        <v>0</v>
      </c>
      <c r="AJ223" s="317">
        <f t="shared" si="158"/>
        <v>0</v>
      </c>
      <c r="AK223" s="317">
        <f t="shared" si="159"/>
        <v>0</v>
      </c>
      <c r="AL223" s="317">
        <f t="shared" si="160"/>
        <v>0</v>
      </c>
      <c r="AM223" s="317">
        <f t="shared" si="161"/>
        <v>0</v>
      </c>
      <c r="AN223" s="317">
        <f t="shared" si="162"/>
        <v>0</v>
      </c>
      <c r="AO223" s="317">
        <f t="shared" si="163"/>
        <v>0</v>
      </c>
      <c r="AP223" s="317">
        <f t="shared" si="164"/>
        <v>0</v>
      </c>
      <c r="AQ223" s="317">
        <f t="shared" si="165"/>
        <v>0</v>
      </c>
      <c r="AR223" s="317">
        <f t="shared" si="166"/>
        <v>0</v>
      </c>
      <c r="AS223" s="317">
        <f t="shared" si="167"/>
        <v>0</v>
      </c>
      <c r="AT223" s="317">
        <f t="shared" si="168"/>
        <v>0</v>
      </c>
      <c r="AU223" s="317">
        <f t="shared" si="169"/>
        <v>0</v>
      </c>
      <c r="AV223" s="317">
        <f t="shared" si="170"/>
        <v>0</v>
      </c>
      <c r="AW223" s="317">
        <f t="shared" si="171"/>
        <v>0</v>
      </c>
      <c r="AX223" s="317">
        <f t="shared" si="172"/>
        <v>0</v>
      </c>
      <c r="AY223" s="317">
        <f t="shared" si="173"/>
        <v>0</v>
      </c>
      <c r="AZ223" s="317">
        <f t="shared" si="174"/>
        <v>0</v>
      </c>
      <c r="BA223" s="317">
        <f t="shared" si="175"/>
        <v>0</v>
      </c>
    </row>
    <row r="224" spans="1:53" s="314" customFormat="1" ht="15.75" customHeight="1">
      <c r="A224" s="63" t="str">
        <f t="array" ref="A224">IF(C224&lt;&gt;0,SUM(($C$11:C224&lt;&gt;0)*1),"")</f>
        <v/>
      </c>
      <c r="B224" s="315"/>
      <c r="C224" s="315"/>
      <c r="D224" s="315"/>
      <c r="E224" s="432"/>
      <c r="F224" s="371"/>
      <c r="G224" s="373"/>
      <c r="H224" s="373"/>
      <c r="I224" s="63" t="str">
        <f t="shared" si="137"/>
        <v/>
      </c>
      <c r="J224" s="317">
        <f t="shared" si="138"/>
        <v>0</v>
      </c>
      <c r="K224" s="317">
        <f t="shared" si="139"/>
        <v>0</v>
      </c>
      <c r="L224" s="317">
        <f t="shared" si="140"/>
        <v>0</v>
      </c>
      <c r="M224" s="317">
        <f t="shared" si="141"/>
        <v>0</v>
      </c>
      <c r="N224" s="317">
        <f t="shared" si="176"/>
        <v>0</v>
      </c>
      <c r="O224" s="317">
        <f t="shared" si="177"/>
        <v>0</v>
      </c>
      <c r="P224" s="317">
        <f t="shared" si="142"/>
        <v>0</v>
      </c>
      <c r="Q224" s="317">
        <f t="shared" si="143"/>
        <v>0</v>
      </c>
      <c r="R224" s="317">
        <f t="shared" si="144"/>
        <v>0</v>
      </c>
      <c r="S224" s="317">
        <f t="shared" si="145"/>
        <v>0</v>
      </c>
      <c r="T224" s="317">
        <f t="shared" si="178"/>
        <v>0</v>
      </c>
      <c r="U224" s="317">
        <f t="shared" si="179"/>
        <v>0</v>
      </c>
      <c r="V224" s="317">
        <f t="shared" si="146"/>
        <v>0</v>
      </c>
      <c r="W224" s="317">
        <f t="shared" si="147"/>
        <v>0</v>
      </c>
      <c r="X224" s="317">
        <f t="shared" si="148"/>
        <v>0</v>
      </c>
      <c r="Y224" s="317">
        <f t="shared" si="149"/>
        <v>0</v>
      </c>
      <c r="Z224" s="317">
        <f t="shared" si="150"/>
        <v>0</v>
      </c>
      <c r="AA224" s="317">
        <f t="shared" si="151"/>
        <v>0</v>
      </c>
      <c r="AB224" s="317">
        <f t="shared" si="152"/>
        <v>0</v>
      </c>
      <c r="AC224" s="317">
        <f t="shared" si="153"/>
        <v>0</v>
      </c>
      <c r="AD224" s="317">
        <f t="shared" si="154"/>
        <v>0</v>
      </c>
      <c r="AE224" s="317">
        <f t="shared" si="155"/>
        <v>0</v>
      </c>
      <c r="AF224" s="317">
        <f t="shared" si="180"/>
        <v>0</v>
      </c>
      <c r="AG224" s="317">
        <f t="shared" si="181"/>
        <v>0</v>
      </c>
      <c r="AH224" s="317">
        <f t="shared" si="156"/>
        <v>0</v>
      </c>
      <c r="AI224" s="317">
        <f t="shared" si="157"/>
        <v>0</v>
      </c>
      <c r="AJ224" s="317">
        <f t="shared" si="158"/>
        <v>0</v>
      </c>
      <c r="AK224" s="317">
        <f t="shared" si="159"/>
        <v>0</v>
      </c>
      <c r="AL224" s="317">
        <f t="shared" si="160"/>
        <v>0</v>
      </c>
      <c r="AM224" s="317">
        <f t="shared" si="161"/>
        <v>0</v>
      </c>
      <c r="AN224" s="317">
        <f t="shared" si="162"/>
        <v>0</v>
      </c>
      <c r="AO224" s="317">
        <f t="shared" si="163"/>
        <v>0</v>
      </c>
      <c r="AP224" s="317">
        <f t="shared" si="164"/>
        <v>0</v>
      </c>
      <c r="AQ224" s="317">
        <f t="shared" si="165"/>
        <v>0</v>
      </c>
      <c r="AR224" s="317">
        <f t="shared" si="166"/>
        <v>0</v>
      </c>
      <c r="AS224" s="317">
        <f t="shared" si="167"/>
        <v>0</v>
      </c>
      <c r="AT224" s="317">
        <f t="shared" si="168"/>
        <v>0</v>
      </c>
      <c r="AU224" s="317">
        <f t="shared" si="169"/>
        <v>0</v>
      </c>
      <c r="AV224" s="317">
        <f t="shared" si="170"/>
        <v>0</v>
      </c>
      <c r="AW224" s="317">
        <f t="shared" si="171"/>
        <v>0</v>
      </c>
      <c r="AX224" s="317">
        <f t="shared" si="172"/>
        <v>0</v>
      </c>
      <c r="AY224" s="317">
        <f t="shared" si="173"/>
        <v>0</v>
      </c>
      <c r="AZ224" s="317">
        <f t="shared" si="174"/>
        <v>0</v>
      </c>
      <c r="BA224" s="317">
        <f t="shared" si="175"/>
        <v>0</v>
      </c>
    </row>
    <row r="225" spans="1:53" s="314" customFormat="1" ht="15.75" customHeight="1">
      <c r="A225" s="63" t="str">
        <f t="array" ref="A225">IF(C225&lt;&gt;0,SUM(($C$11:C225&lt;&gt;0)*1),"")</f>
        <v/>
      </c>
      <c r="B225" s="315"/>
      <c r="C225" s="315"/>
      <c r="D225" s="315"/>
      <c r="E225" s="432"/>
      <c r="F225" s="371"/>
      <c r="G225" s="373"/>
      <c r="H225" s="373"/>
      <c r="I225" s="63" t="str">
        <f t="shared" si="137"/>
        <v/>
      </c>
      <c r="J225" s="317">
        <f t="shared" si="138"/>
        <v>0</v>
      </c>
      <c r="K225" s="317">
        <f t="shared" si="139"/>
        <v>0</v>
      </c>
      <c r="L225" s="317">
        <f t="shared" si="140"/>
        <v>0</v>
      </c>
      <c r="M225" s="317">
        <f t="shared" si="141"/>
        <v>0</v>
      </c>
      <c r="N225" s="317">
        <f t="shared" si="176"/>
        <v>0</v>
      </c>
      <c r="O225" s="317">
        <f t="shared" si="177"/>
        <v>0</v>
      </c>
      <c r="P225" s="317">
        <f t="shared" si="142"/>
        <v>0</v>
      </c>
      <c r="Q225" s="317">
        <f t="shared" si="143"/>
        <v>0</v>
      </c>
      <c r="R225" s="317">
        <f t="shared" si="144"/>
        <v>0</v>
      </c>
      <c r="S225" s="317">
        <f t="shared" si="145"/>
        <v>0</v>
      </c>
      <c r="T225" s="317">
        <f t="shared" si="178"/>
        <v>0</v>
      </c>
      <c r="U225" s="317">
        <f t="shared" si="179"/>
        <v>0</v>
      </c>
      <c r="V225" s="317">
        <f t="shared" si="146"/>
        <v>0</v>
      </c>
      <c r="W225" s="317">
        <f t="shared" si="147"/>
        <v>0</v>
      </c>
      <c r="X225" s="317">
        <f t="shared" si="148"/>
        <v>0</v>
      </c>
      <c r="Y225" s="317">
        <f t="shared" si="149"/>
        <v>0</v>
      </c>
      <c r="Z225" s="317">
        <f t="shared" si="150"/>
        <v>0</v>
      </c>
      <c r="AA225" s="317">
        <f t="shared" si="151"/>
        <v>0</v>
      </c>
      <c r="AB225" s="317">
        <f t="shared" si="152"/>
        <v>0</v>
      </c>
      <c r="AC225" s="317">
        <f t="shared" si="153"/>
        <v>0</v>
      </c>
      <c r="AD225" s="317">
        <f t="shared" si="154"/>
        <v>0</v>
      </c>
      <c r="AE225" s="317">
        <f t="shared" si="155"/>
        <v>0</v>
      </c>
      <c r="AF225" s="317">
        <f t="shared" si="180"/>
        <v>0</v>
      </c>
      <c r="AG225" s="317">
        <f t="shared" si="181"/>
        <v>0</v>
      </c>
      <c r="AH225" s="317">
        <f t="shared" si="156"/>
        <v>0</v>
      </c>
      <c r="AI225" s="317">
        <f t="shared" si="157"/>
        <v>0</v>
      </c>
      <c r="AJ225" s="317">
        <f t="shared" si="158"/>
        <v>0</v>
      </c>
      <c r="AK225" s="317">
        <f t="shared" si="159"/>
        <v>0</v>
      </c>
      <c r="AL225" s="317">
        <f t="shared" si="160"/>
        <v>0</v>
      </c>
      <c r="AM225" s="317">
        <f t="shared" si="161"/>
        <v>0</v>
      </c>
      <c r="AN225" s="317">
        <f t="shared" si="162"/>
        <v>0</v>
      </c>
      <c r="AO225" s="317">
        <f t="shared" si="163"/>
        <v>0</v>
      </c>
      <c r="AP225" s="317">
        <f t="shared" si="164"/>
        <v>0</v>
      </c>
      <c r="AQ225" s="317">
        <f t="shared" si="165"/>
        <v>0</v>
      </c>
      <c r="AR225" s="317">
        <f t="shared" si="166"/>
        <v>0</v>
      </c>
      <c r="AS225" s="317">
        <f t="shared" si="167"/>
        <v>0</v>
      </c>
      <c r="AT225" s="317">
        <f t="shared" si="168"/>
        <v>0</v>
      </c>
      <c r="AU225" s="317">
        <f t="shared" si="169"/>
        <v>0</v>
      </c>
      <c r="AV225" s="317">
        <f t="shared" si="170"/>
        <v>0</v>
      </c>
      <c r="AW225" s="317">
        <f t="shared" si="171"/>
        <v>0</v>
      </c>
      <c r="AX225" s="317">
        <f t="shared" si="172"/>
        <v>0</v>
      </c>
      <c r="AY225" s="317">
        <f t="shared" si="173"/>
        <v>0</v>
      </c>
      <c r="AZ225" s="317">
        <f t="shared" si="174"/>
        <v>0</v>
      </c>
      <c r="BA225" s="317">
        <f t="shared" si="175"/>
        <v>0</v>
      </c>
    </row>
    <row r="226" spans="1:53" s="314" customFormat="1" ht="15.75" customHeight="1">
      <c r="A226" s="63" t="str">
        <f t="array" ref="A226">IF(C226&lt;&gt;0,SUM(($C$11:C226&lt;&gt;0)*1),"")</f>
        <v/>
      </c>
      <c r="B226" s="315"/>
      <c r="C226" s="315"/>
      <c r="D226" s="315"/>
      <c r="E226" s="432"/>
      <c r="F226" s="371"/>
      <c r="G226" s="373"/>
      <c r="H226" s="373"/>
      <c r="I226" s="63" t="str">
        <f t="shared" si="137"/>
        <v/>
      </c>
      <c r="J226" s="317">
        <f t="shared" si="138"/>
        <v>0</v>
      </c>
      <c r="K226" s="317">
        <f t="shared" si="139"/>
        <v>0</v>
      </c>
      <c r="L226" s="317">
        <f t="shared" si="140"/>
        <v>0</v>
      </c>
      <c r="M226" s="317">
        <f t="shared" si="141"/>
        <v>0</v>
      </c>
      <c r="N226" s="317">
        <f t="shared" si="176"/>
        <v>0</v>
      </c>
      <c r="O226" s="317">
        <f t="shared" si="177"/>
        <v>0</v>
      </c>
      <c r="P226" s="317">
        <f t="shared" si="142"/>
        <v>0</v>
      </c>
      <c r="Q226" s="317">
        <f t="shared" si="143"/>
        <v>0</v>
      </c>
      <c r="R226" s="317">
        <f t="shared" si="144"/>
        <v>0</v>
      </c>
      <c r="S226" s="317">
        <f t="shared" si="145"/>
        <v>0</v>
      </c>
      <c r="T226" s="317">
        <f t="shared" si="178"/>
        <v>0</v>
      </c>
      <c r="U226" s="317">
        <f t="shared" si="179"/>
        <v>0</v>
      </c>
      <c r="V226" s="317">
        <f t="shared" si="146"/>
        <v>0</v>
      </c>
      <c r="W226" s="317">
        <f t="shared" si="147"/>
        <v>0</v>
      </c>
      <c r="X226" s="317">
        <f t="shared" si="148"/>
        <v>0</v>
      </c>
      <c r="Y226" s="317">
        <f t="shared" si="149"/>
        <v>0</v>
      </c>
      <c r="Z226" s="317">
        <f t="shared" si="150"/>
        <v>0</v>
      </c>
      <c r="AA226" s="317">
        <f t="shared" si="151"/>
        <v>0</v>
      </c>
      <c r="AB226" s="317">
        <f t="shared" si="152"/>
        <v>0</v>
      </c>
      <c r="AC226" s="317">
        <f t="shared" si="153"/>
        <v>0</v>
      </c>
      <c r="AD226" s="317">
        <f t="shared" si="154"/>
        <v>0</v>
      </c>
      <c r="AE226" s="317">
        <f t="shared" si="155"/>
        <v>0</v>
      </c>
      <c r="AF226" s="317">
        <f t="shared" si="180"/>
        <v>0</v>
      </c>
      <c r="AG226" s="317">
        <f t="shared" si="181"/>
        <v>0</v>
      </c>
      <c r="AH226" s="317">
        <f t="shared" si="156"/>
        <v>0</v>
      </c>
      <c r="AI226" s="317">
        <f t="shared" si="157"/>
        <v>0</v>
      </c>
      <c r="AJ226" s="317">
        <f t="shared" si="158"/>
        <v>0</v>
      </c>
      <c r="AK226" s="317">
        <f t="shared" si="159"/>
        <v>0</v>
      </c>
      <c r="AL226" s="317">
        <f t="shared" si="160"/>
        <v>0</v>
      </c>
      <c r="AM226" s="317">
        <f t="shared" si="161"/>
        <v>0</v>
      </c>
      <c r="AN226" s="317">
        <f t="shared" si="162"/>
        <v>0</v>
      </c>
      <c r="AO226" s="317">
        <f t="shared" si="163"/>
        <v>0</v>
      </c>
      <c r="AP226" s="317">
        <f t="shared" si="164"/>
        <v>0</v>
      </c>
      <c r="AQ226" s="317">
        <f t="shared" si="165"/>
        <v>0</v>
      </c>
      <c r="AR226" s="317">
        <f t="shared" si="166"/>
        <v>0</v>
      </c>
      <c r="AS226" s="317">
        <f t="shared" si="167"/>
        <v>0</v>
      </c>
      <c r="AT226" s="317">
        <f t="shared" si="168"/>
        <v>0</v>
      </c>
      <c r="AU226" s="317">
        <f t="shared" si="169"/>
        <v>0</v>
      </c>
      <c r="AV226" s="317">
        <f t="shared" si="170"/>
        <v>0</v>
      </c>
      <c r="AW226" s="317">
        <f t="shared" si="171"/>
        <v>0</v>
      </c>
      <c r="AX226" s="317">
        <f t="shared" si="172"/>
        <v>0</v>
      </c>
      <c r="AY226" s="317">
        <f t="shared" si="173"/>
        <v>0</v>
      </c>
      <c r="AZ226" s="317">
        <f t="shared" si="174"/>
        <v>0</v>
      </c>
      <c r="BA226" s="317">
        <f t="shared" si="175"/>
        <v>0</v>
      </c>
    </row>
    <row r="227" spans="1:53" s="314" customFormat="1" ht="15.75" customHeight="1">
      <c r="A227" s="63" t="str">
        <f t="array" ref="A227">IF(C227&lt;&gt;0,SUM(($C$11:C227&lt;&gt;0)*1),"")</f>
        <v/>
      </c>
      <c r="B227" s="315"/>
      <c r="C227" s="315"/>
      <c r="D227" s="315"/>
      <c r="E227" s="432"/>
      <c r="F227" s="371"/>
      <c r="G227" s="373"/>
      <c r="H227" s="373"/>
      <c r="I227" s="63" t="str">
        <f t="shared" si="137"/>
        <v/>
      </c>
      <c r="J227" s="317">
        <f t="shared" si="138"/>
        <v>0</v>
      </c>
      <c r="K227" s="317">
        <f t="shared" si="139"/>
        <v>0</v>
      </c>
      <c r="L227" s="317">
        <f t="shared" si="140"/>
        <v>0</v>
      </c>
      <c r="M227" s="317">
        <f t="shared" si="141"/>
        <v>0</v>
      </c>
      <c r="N227" s="317">
        <f t="shared" si="176"/>
        <v>0</v>
      </c>
      <c r="O227" s="317">
        <f t="shared" si="177"/>
        <v>0</v>
      </c>
      <c r="P227" s="317">
        <f t="shared" si="142"/>
        <v>0</v>
      </c>
      <c r="Q227" s="317">
        <f t="shared" si="143"/>
        <v>0</v>
      </c>
      <c r="R227" s="317">
        <f t="shared" si="144"/>
        <v>0</v>
      </c>
      <c r="S227" s="317">
        <f t="shared" si="145"/>
        <v>0</v>
      </c>
      <c r="T227" s="317">
        <f t="shared" si="178"/>
        <v>0</v>
      </c>
      <c r="U227" s="317">
        <f t="shared" si="179"/>
        <v>0</v>
      </c>
      <c r="V227" s="317">
        <f t="shared" si="146"/>
        <v>0</v>
      </c>
      <c r="W227" s="317">
        <f t="shared" si="147"/>
        <v>0</v>
      </c>
      <c r="X227" s="317">
        <f t="shared" si="148"/>
        <v>0</v>
      </c>
      <c r="Y227" s="317">
        <f t="shared" si="149"/>
        <v>0</v>
      </c>
      <c r="Z227" s="317">
        <f t="shared" si="150"/>
        <v>0</v>
      </c>
      <c r="AA227" s="317">
        <f t="shared" si="151"/>
        <v>0</v>
      </c>
      <c r="AB227" s="317">
        <f t="shared" si="152"/>
        <v>0</v>
      </c>
      <c r="AC227" s="317">
        <f t="shared" si="153"/>
        <v>0</v>
      </c>
      <c r="AD227" s="317">
        <f t="shared" si="154"/>
        <v>0</v>
      </c>
      <c r="AE227" s="317">
        <f t="shared" si="155"/>
        <v>0</v>
      </c>
      <c r="AF227" s="317">
        <f t="shared" si="180"/>
        <v>0</v>
      </c>
      <c r="AG227" s="317">
        <f t="shared" si="181"/>
        <v>0</v>
      </c>
      <c r="AH227" s="317">
        <f t="shared" si="156"/>
        <v>0</v>
      </c>
      <c r="AI227" s="317">
        <f t="shared" si="157"/>
        <v>0</v>
      </c>
      <c r="AJ227" s="317">
        <f t="shared" si="158"/>
        <v>0</v>
      </c>
      <c r="AK227" s="317">
        <f t="shared" si="159"/>
        <v>0</v>
      </c>
      <c r="AL227" s="317">
        <f t="shared" si="160"/>
        <v>0</v>
      </c>
      <c r="AM227" s="317">
        <f t="shared" si="161"/>
        <v>0</v>
      </c>
      <c r="AN227" s="317">
        <f t="shared" si="162"/>
        <v>0</v>
      </c>
      <c r="AO227" s="317">
        <f t="shared" si="163"/>
        <v>0</v>
      </c>
      <c r="AP227" s="317">
        <f t="shared" si="164"/>
        <v>0</v>
      </c>
      <c r="AQ227" s="317">
        <f t="shared" si="165"/>
        <v>0</v>
      </c>
      <c r="AR227" s="317">
        <f t="shared" si="166"/>
        <v>0</v>
      </c>
      <c r="AS227" s="317">
        <f t="shared" si="167"/>
        <v>0</v>
      </c>
      <c r="AT227" s="317">
        <f t="shared" si="168"/>
        <v>0</v>
      </c>
      <c r="AU227" s="317">
        <f t="shared" si="169"/>
        <v>0</v>
      </c>
      <c r="AV227" s="317">
        <f t="shared" si="170"/>
        <v>0</v>
      </c>
      <c r="AW227" s="317">
        <f t="shared" si="171"/>
        <v>0</v>
      </c>
      <c r="AX227" s="317">
        <f t="shared" si="172"/>
        <v>0</v>
      </c>
      <c r="AY227" s="317">
        <f t="shared" si="173"/>
        <v>0</v>
      </c>
      <c r="AZ227" s="317">
        <f t="shared" si="174"/>
        <v>0</v>
      </c>
      <c r="BA227" s="317">
        <f t="shared" si="175"/>
        <v>0</v>
      </c>
    </row>
    <row r="228" spans="1:53" s="314" customFormat="1" ht="15.75" customHeight="1">
      <c r="A228" s="63" t="str">
        <f t="array" ref="A228">IF(C228&lt;&gt;0,SUM(($C$11:C228&lt;&gt;0)*1),"")</f>
        <v/>
      </c>
      <c r="B228" s="315"/>
      <c r="C228" s="315"/>
      <c r="D228" s="315"/>
      <c r="E228" s="432"/>
      <c r="F228" s="371"/>
      <c r="G228" s="373"/>
      <c r="H228" s="373"/>
      <c r="I228" s="63" t="str">
        <f t="shared" si="137"/>
        <v/>
      </c>
      <c r="J228" s="317">
        <f t="shared" si="138"/>
        <v>0</v>
      </c>
      <c r="K228" s="317">
        <f t="shared" si="139"/>
        <v>0</v>
      </c>
      <c r="L228" s="317">
        <f t="shared" si="140"/>
        <v>0</v>
      </c>
      <c r="M228" s="317">
        <f t="shared" si="141"/>
        <v>0</v>
      </c>
      <c r="N228" s="317">
        <f t="shared" si="176"/>
        <v>0</v>
      </c>
      <c r="O228" s="317">
        <f t="shared" si="177"/>
        <v>0</v>
      </c>
      <c r="P228" s="317">
        <f t="shared" si="142"/>
        <v>0</v>
      </c>
      <c r="Q228" s="317">
        <f t="shared" si="143"/>
        <v>0</v>
      </c>
      <c r="R228" s="317">
        <f t="shared" si="144"/>
        <v>0</v>
      </c>
      <c r="S228" s="317">
        <f t="shared" si="145"/>
        <v>0</v>
      </c>
      <c r="T228" s="317">
        <f t="shared" si="178"/>
        <v>0</v>
      </c>
      <c r="U228" s="317">
        <f t="shared" si="179"/>
        <v>0</v>
      </c>
      <c r="V228" s="317">
        <f t="shared" si="146"/>
        <v>0</v>
      </c>
      <c r="W228" s="317">
        <f t="shared" si="147"/>
        <v>0</v>
      </c>
      <c r="X228" s="317">
        <f t="shared" si="148"/>
        <v>0</v>
      </c>
      <c r="Y228" s="317">
        <f t="shared" si="149"/>
        <v>0</v>
      </c>
      <c r="Z228" s="317">
        <f t="shared" si="150"/>
        <v>0</v>
      </c>
      <c r="AA228" s="317">
        <f t="shared" si="151"/>
        <v>0</v>
      </c>
      <c r="AB228" s="317">
        <f t="shared" si="152"/>
        <v>0</v>
      </c>
      <c r="AC228" s="317">
        <f t="shared" si="153"/>
        <v>0</v>
      </c>
      <c r="AD228" s="317">
        <f t="shared" si="154"/>
        <v>0</v>
      </c>
      <c r="AE228" s="317">
        <f t="shared" si="155"/>
        <v>0</v>
      </c>
      <c r="AF228" s="317">
        <f t="shared" si="180"/>
        <v>0</v>
      </c>
      <c r="AG228" s="317">
        <f t="shared" si="181"/>
        <v>0</v>
      </c>
      <c r="AH228" s="317">
        <f t="shared" si="156"/>
        <v>0</v>
      </c>
      <c r="AI228" s="317">
        <f t="shared" si="157"/>
        <v>0</v>
      </c>
      <c r="AJ228" s="317">
        <f t="shared" si="158"/>
        <v>0</v>
      </c>
      <c r="AK228" s="317">
        <f t="shared" si="159"/>
        <v>0</v>
      </c>
      <c r="AL228" s="317">
        <f t="shared" si="160"/>
        <v>0</v>
      </c>
      <c r="AM228" s="317">
        <f t="shared" si="161"/>
        <v>0</v>
      </c>
      <c r="AN228" s="317">
        <f t="shared" si="162"/>
        <v>0</v>
      </c>
      <c r="AO228" s="317">
        <f t="shared" si="163"/>
        <v>0</v>
      </c>
      <c r="AP228" s="317">
        <f t="shared" si="164"/>
        <v>0</v>
      </c>
      <c r="AQ228" s="317">
        <f t="shared" si="165"/>
        <v>0</v>
      </c>
      <c r="AR228" s="317">
        <f t="shared" si="166"/>
        <v>0</v>
      </c>
      <c r="AS228" s="317">
        <f t="shared" si="167"/>
        <v>0</v>
      </c>
      <c r="AT228" s="317">
        <f t="shared" si="168"/>
        <v>0</v>
      </c>
      <c r="AU228" s="317">
        <f t="shared" si="169"/>
        <v>0</v>
      </c>
      <c r="AV228" s="317">
        <f t="shared" si="170"/>
        <v>0</v>
      </c>
      <c r="AW228" s="317">
        <f t="shared" si="171"/>
        <v>0</v>
      </c>
      <c r="AX228" s="317">
        <f t="shared" si="172"/>
        <v>0</v>
      </c>
      <c r="AY228" s="317">
        <f t="shared" si="173"/>
        <v>0</v>
      </c>
      <c r="AZ228" s="317">
        <f t="shared" si="174"/>
        <v>0</v>
      </c>
      <c r="BA228" s="317">
        <f t="shared" si="175"/>
        <v>0</v>
      </c>
    </row>
    <row r="229" spans="1:53" s="314" customFormat="1" ht="15.75" customHeight="1">
      <c r="A229" s="63" t="str">
        <f t="array" ref="A229">IF(C229&lt;&gt;0,SUM(($C$11:C229&lt;&gt;0)*1),"")</f>
        <v/>
      </c>
      <c r="B229" s="315"/>
      <c r="C229" s="315"/>
      <c r="D229" s="315"/>
      <c r="E229" s="432"/>
      <c r="F229" s="371"/>
      <c r="G229" s="373"/>
      <c r="H229" s="373"/>
      <c r="I229" s="63" t="str">
        <f t="shared" si="137"/>
        <v/>
      </c>
      <c r="J229" s="317">
        <f t="shared" si="138"/>
        <v>0</v>
      </c>
      <c r="K229" s="317">
        <f t="shared" si="139"/>
        <v>0</v>
      </c>
      <c r="L229" s="317">
        <f t="shared" si="140"/>
        <v>0</v>
      </c>
      <c r="M229" s="317">
        <f t="shared" si="141"/>
        <v>0</v>
      </c>
      <c r="N229" s="317">
        <f t="shared" si="176"/>
        <v>0</v>
      </c>
      <c r="O229" s="317">
        <f t="shared" si="177"/>
        <v>0</v>
      </c>
      <c r="P229" s="317">
        <f t="shared" si="142"/>
        <v>0</v>
      </c>
      <c r="Q229" s="317">
        <f t="shared" si="143"/>
        <v>0</v>
      </c>
      <c r="R229" s="317">
        <f t="shared" si="144"/>
        <v>0</v>
      </c>
      <c r="S229" s="317">
        <f t="shared" si="145"/>
        <v>0</v>
      </c>
      <c r="T229" s="317">
        <f t="shared" si="178"/>
        <v>0</v>
      </c>
      <c r="U229" s="317">
        <f t="shared" si="179"/>
        <v>0</v>
      </c>
      <c r="V229" s="317">
        <f t="shared" si="146"/>
        <v>0</v>
      </c>
      <c r="W229" s="317">
        <f t="shared" si="147"/>
        <v>0</v>
      </c>
      <c r="X229" s="317">
        <f t="shared" si="148"/>
        <v>0</v>
      </c>
      <c r="Y229" s="317">
        <f t="shared" si="149"/>
        <v>0</v>
      </c>
      <c r="Z229" s="317">
        <f t="shared" si="150"/>
        <v>0</v>
      </c>
      <c r="AA229" s="317">
        <f t="shared" si="151"/>
        <v>0</v>
      </c>
      <c r="AB229" s="317">
        <f t="shared" si="152"/>
        <v>0</v>
      </c>
      <c r="AC229" s="317">
        <f t="shared" si="153"/>
        <v>0</v>
      </c>
      <c r="AD229" s="317">
        <f t="shared" si="154"/>
        <v>0</v>
      </c>
      <c r="AE229" s="317">
        <f t="shared" si="155"/>
        <v>0</v>
      </c>
      <c r="AF229" s="317">
        <f t="shared" si="180"/>
        <v>0</v>
      </c>
      <c r="AG229" s="317">
        <f t="shared" si="181"/>
        <v>0</v>
      </c>
      <c r="AH229" s="317">
        <f t="shared" si="156"/>
        <v>0</v>
      </c>
      <c r="AI229" s="317">
        <f t="shared" si="157"/>
        <v>0</v>
      </c>
      <c r="AJ229" s="317">
        <f t="shared" si="158"/>
        <v>0</v>
      </c>
      <c r="AK229" s="317">
        <f t="shared" si="159"/>
        <v>0</v>
      </c>
      <c r="AL229" s="317">
        <f t="shared" si="160"/>
        <v>0</v>
      </c>
      <c r="AM229" s="317">
        <f t="shared" si="161"/>
        <v>0</v>
      </c>
      <c r="AN229" s="317">
        <f t="shared" si="162"/>
        <v>0</v>
      </c>
      <c r="AO229" s="317">
        <f t="shared" si="163"/>
        <v>0</v>
      </c>
      <c r="AP229" s="317">
        <f t="shared" si="164"/>
        <v>0</v>
      </c>
      <c r="AQ229" s="317">
        <f t="shared" si="165"/>
        <v>0</v>
      </c>
      <c r="AR229" s="317">
        <f t="shared" si="166"/>
        <v>0</v>
      </c>
      <c r="AS229" s="317">
        <f t="shared" si="167"/>
        <v>0</v>
      </c>
      <c r="AT229" s="317">
        <f t="shared" si="168"/>
        <v>0</v>
      </c>
      <c r="AU229" s="317">
        <f t="shared" si="169"/>
        <v>0</v>
      </c>
      <c r="AV229" s="317">
        <f t="shared" si="170"/>
        <v>0</v>
      </c>
      <c r="AW229" s="317">
        <f t="shared" si="171"/>
        <v>0</v>
      </c>
      <c r="AX229" s="317">
        <f t="shared" si="172"/>
        <v>0</v>
      </c>
      <c r="AY229" s="317">
        <f t="shared" si="173"/>
        <v>0</v>
      </c>
      <c r="AZ229" s="317">
        <f t="shared" si="174"/>
        <v>0</v>
      </c>
      <c r="BA229" s="317">
        <f t="shared" si="175"/>
        <v>0</v>
      </c>
    </row>
    <row r="230" spans="1:53" s="314" customFormat="1" ht="15.75" customHeight="1">
      <c r="A230" s="63" t="str">
        <f t="array" ref="A230">IF(C230&lt;&gt;0,SUM(($C$11:C230&lt;&gt;0)*1),"")</f>
        <v/>
      </c>
      <c r="B230" s="315"/>
      <c r="C230" s="315"/>
      <c r="D230" s="315"/>
      <c r="E230" s="432"/>
      <c r="F230" s="371"/>
      <c r="G230" s="373"/>
      <c r="H230" s="373"/>
      <c r="I230" s="63" t="str">
        <f t="shared" si="137"/>
        <v/>
      </c>
      <c r="J230" s="317">
        <f t="shared" si="138"/>
        <v>0</v>
      </c>
      <c r="K230" s="317">
        <f t="shared" si="139"/>
        <v>0</v>
      </c>
      <c r="L230" s="317">
        <f t="shared" si="140"/>
        <v>0</v>
      </c>
      <c r="M230" s="317">
        <f t="shared" si="141"/>
        <v>0</v>
      </c>
      <c r="N230" s="317">
        <f t="shared" si="176"/>
        <v>0</v>
      </c>
      <c r="O230" s="317">
        <f t="shared" si="177"/>
        <v>0</v>
      </c>
      <c r="P230" s="317">
        <f t="shared" si="142"/>
        <v>0</v>
      </c>
      <c r="Q230" s="317">
        <f t="shared" si="143"/>
        <v>0</v>
      </c>
      <c r="R230" s="317">
        <f t="shared" si="144"/>
        <v>0</v>
      </c>
      <c r="S230" s="317">
        <f t="shared" si="145"/>
        <v>0</v>
      </c>
      <c r="T230" s="317">
        <f t="shared" si="178"/>
        <v>0</v>
      </c>
      <c r="U230" s="317">
        <f t="shared" si="179"/>
        <v>0</v>
      </c>
      <c r="V230" s="317">
        <f t="shared" si="146"/>
        <v>0</v>
      </c>
      <c r="W230" s="317">
        <f t="shared" si="147"/>
        <v>0</v>
      </c>
      <c r="X230" s="317">
        <f t="shared" si="148"/>
        <v>0</v>
      </c>
      <c r="Y230" s="317">
        <f t="shared" si="149"/>
        <v>0</v>
      </c>
      <c r="Z230" s="317">
        <f t="shared" si="150"/>
        <v>0</v>
      </c>
      <c r="AA230" s="317">
        <f t="shared" si="151"/>
        <v>0</v>
      </c>
      <c r="AB230" s="317">
        <f t="shared" si="152"/>
        <v>0</v>
      </c>
      <c r="AC230" s="317">
        <f t="shared" si="153"/>
        <v>0</v>
      </c>
      <c r="AD230" s="317">
        <f t="shared" si="154"/>
        <v>0</v>
      </c>
      <c r="AE230" s="317">
        <f t="shared" si="155"/>
        <v>0</v>
      </c>
      <c r="AF230" s="317">
        <f t="shared" si="180"/>
        <v>0</v>
      </c>
      <c r="AG230" s="317">
        <f t="shared" si="181"/>
        <v>0</v>
      </c>
      <c r="AH230" s="317">
        <f t="shared" si="156"/>
        <v>0</v>
      </c>
      <c r="AI230" s="317">
        <f t="shared" si="157"/>
        <v>0</v>
      </c>
      <c r="AJ230" s="317">
        <f t="shared" si="158"/>
        <v>0</v>
      </c>
      <c r="AK230" s="317">
        <f t="shared" si="159"/>
        <v>0</v>
      </c>
      <c r="AL230" s="317">
        <f t="shared" si="160"/>
        <v>0</v>
      </c>
      <c r="AM230" s="317">
        <f t="shared" si="161"/>
        <v>0</v>
      </c>
      <c r="AN230" s="317">
        <f t="shared" si="162"/>
        <v>0</v>
      </c>
      <c r="AO230" s="317">
        <f t="shared" si="163"/>
        <v>0</v>
      </c>
      <c r="AP230" s="317">
        <f t="shared" si="164"/>
        <v>0</v>
      </c>
      <c r="AQ230" s="317">
        <f t="shared" si="165"/>
        <v>0</v>
      </c>
      <c r="AR230" s="317">
        <f t="shared" si="166"/>
        <v>0</v>
      </c>
      <c r="AS230" s="317">
        <f t="shared" si="167"/>
        <v>0</v>
      </c>
      <c r="AT230" s="317">
        <f t="shared" si="168"/>
        <v>0</v>
      </c>
      <c r="AU230" s="317">
        <f t="shared" si="169"/>
        <v>0</v>
      </c>
      <c r="AV230" s="317">
        <f t="shared" si="170"/>
        <v>0</v>
      </c>
      <c r="AW230" s="317">
        <f t="shared" si="171"/>
        <v>0</v>
      </c>
      <c r="AX230" s="317">
        <f t="shared" si="172"/>
        <v>0</v>
      </c>
      <c r="AY230" s="317">
        <f t="shared" si="173"/>
        <v>0</v>
      </c>
      <c r="AZ230" s="317">
        <f t="shared" si="174"/>
        <v>0</v>
      </c>
      <c r="BA230" s="317">
        <f t="shared" si="175"/>
        <v>0</v>
      </c>
    </row>
    <row r="231" spans="1:53" s="314" customFormat="1" ht="15.75" customHeight="1">
      <c r="A231" s="63" t="str">
        <f t="array" ref="A231">IF(C231&lt;&gt;0,SUM(($C$11:C231&lt;&gt;0)*1),"")</f>
        <v/>
      </c>
      <c r="B231" s="315"/>
      <c r="C231" s="315"/>
      <c r="D231" s="315"/>
      <c r="E231" s="432"/>
      <c r="F231" s="371"/>
      <c r="G231" s="373"/>
      <c r="H231" s="373"/>
      <c r="I231" s="63" t="str">
        <f>A231</f>
        <v/>
      </c>
      <c r="J231" s="317">
        <f t="shared" si="138"/>
        <v>0</v>
      </c>
      <c r="K231" s="317">
        <f t="shared" si="139"/>
        <v>0</v>
      </c>
      <c r="L231" s="317">
        <f t="shared" si="140"/>
        <v>0</v>
      </c>
      <c r="M231" s="317">
        <f t="shared" si="141"/>
        <v>0</v>
      </c>
      <c r="N231" s="317">
        <f t="shared" si="176"/>
        <v>0</v>
      </c>
      <c r="O231" s="317">
        <f t="shared" si="177"/>
        <v>0</v>
      </c>
      <c r="P231" s="317">
        <f t="shared" si="142"/>
        <v>0</v>
      </c>
      <c r="Q231" s="317">
        <f t="shared" si="143"/>
        <v>0</v>
      </c>
      <c r="R231" s="317">
        <f t="shared" si="144"/>
        <v>0</v>
      </c>
      <c r="S231" s="317">
        <f t="shared" si="145"/>
        <v>0</v>
      </c>
      <c r="T231" s="317">
        <f t="shared" si="178"/>
        <v>0</v>
      </c>
      <c r="U231" s="317">
        <f t="shared" si="179"/>
        <v>0</v>
      </c>
      <c r="V231" s="317">
        <f t="shared" si="146"/>
        <v>0</v>
      </c>
      <c r="W231" s="317">
        <f t="shared" si="147"/>
        <v>0</v>
      </c>
      <c r="X231" s="317">
        <f t="shared" si="148"/>
        <v>0</v>
      </c>
      <c r="Y231" s="317">
        <f t="shared" si="149"/>
        <v>0</v>
      </c>
      <c r="Z231" s="317">
        <f t="shared" si="150"/>
        <v>0</v>
      </c>
      <c r="AA231" s="317">
        <f t="shared" si="151"/>
        <v>0</v>
      </c>
      <c r="AB231" s="317">
        <f t="shared" si="152"/>
        <v>0</v>
      </c>
      <c r="AC231" s="317">
        <f t="shared" si="153"/>
        <v>0</v>
      </c>
      <c r="AD231" s="317">
        <f t="shared" si="154"/>
        <v>0</v>
      </c>
      <c r="AE231" s="317">
        <f t="shared" si="155"/>
        <v>0</v>
      </c>
      <c r="AF231" s="317">
        <f t="shared" si="180"/>
        <v>0</v>
      </c>
      <c r="AG231" s="317">
        <f t="shared" si="181"/>
        <v>0</v>
      </c>
      <c r="AH231" s="317">
        <f t="shared" si="156"/>
        <v>0</v>
      </c>
      <c r="AI231" s="317">
        <f t="shared" si="157"/>
        <v>0</v>
      </c>
      <c r="AJ231" s="317">
        <f t="shared" si="158"/>
        <v>0</v>
      </c>
      <c r="AK231" s="317">
        <f t="shared" si="159"/>
        <v>0</v>
      </c>
      <c r="AL231" s="317">
        <f t="shared" si="160"/>
        <v>0</v>
      </c>
      <c r="AM231" s="317">
        <f t="shared" si="161"/>
        <v>0</v>
      </c>
      <c r="AN231" s="317">
        <f t="shared" si="162"/>
        <v>0</v>
      </c>
      <c r="AO231" s="317">
        <f t="shared" si="163"/>
        <v>0</v>
      </c>
      <c r="AP231" s="317">
        <f t="shared" si="164"/>
        <v>0</v>
      </c>
      <c r="AQ231" s="317">
        <f t="shared" si="165"/>
        <v>0</v>
      </c>
      <c r="AR231" s="317">
        <f t="shared" si="166"/>
        <v>0</v>
      </c>
      <c r="AS231" s="317">
        <f t="shared" si="167"/>
        <v>0</v>
      </c>
      <c r="AT231" s="317">
        <f t="shared" si="168"/>
        <v>0</v>
      </c>
      <c r="AU231" s="317">
        <f t="shared" si="169"/>
        <v>0</v>
      </c>
      <c r="AV231" s="317">
        <f t="shared" si="170"/>
        <v>0</v>
      </c>
      <c r="AW231" s="317">
        <f t="shared" si="171"/>
        <v>0</v>
      </c>
      <c r="AX231" s="317">
        <f t="shared" si="172"/>
        <v>0</v>
      </c>
      <c r="AY231" s="317">
        <f t="shared" si="173"/>
        <v>0</v>
      </c>
      <c r="AZ231" s="317">
        <f t="shared" si="174"/>
        <v>0</v>
      </c>
      <c r="BA231" s="317">
        <f t="shared" si="175"/>
        <v>0</v>
      </c>
    </row>
    <row r="232" spans="1:53" s="314" customFormat="1" ht="15.75" customHeight="1">
      <c r="A232" s="63" t="str">
        <f t="array" ref="A232">IF(C232&lt;&gt;0,SUM(($C$11:C232&lt;&gt;0)*1),"")</f>
        <v/>
      </c>
      <c r="B232" s="315"/>
      <c r="C232" s="315"/>
      <c r="D232" s="315"/>
      <c r="E232" s="432"/>
      <c r="F232" s="371"/>
      <c r="G232" s="373"/>
      <c r="H232" s="373"/>
      <c r="I232" s="63" t="str">
        <f>A232</f>
        <v/>
      </c>
      <c r="J232" s="317">
        <f t="shared" si="138"/>
        <v>0</v>
      </c>
      <c r="K232" s="317">
        <f t="shared" si="139"/>
        <v>0</v>
      </c>
      <c r="L232" s="317">
        <f t="shared" si="140"/>
        <v>0</v>
      </c>
      <c r="M232" s="317">
        <f t="shared" si="141"/>
        <v>0</v>
      </c>
      <c r="N232" s="317">
        <f t="shared" si="176"/>
        <v>0</v>
      </c>
      <c r="O232" s="317">
        <f t="shared" si="177"/>
        <v>0</v>
      </c>
      <c r="P232" s="317">
        <f t="shared" si="142"/>
        <v>0</v>
      </c>
      <c r="Q232" s="317">
        <f t="shared" si="143"/>
        <v>0</v>
      </c>
      <c r="R232" s="317">
        <f t="shared" si="144"/>
        <v>0</v>
      </c>
      <c r="S232" s="317">
        <f t="shared" si="145"/>
        <v>0</v>
      </c>
      <c r="T232" s="317">
        <f t="shared" si="178"/>
        <v>0</v>
      </c>
      <c r="U232" s="317">
        <f t="shared" si="179"/>
        <v>0</v>
      </c>
      <c r="V232" s="317">
        <f t="shared" si="146"/>
        <v>0</v>
      </c>
      <c r="W232" s="317">
        <f t="shared" si="147"/>
        <v>0</v>
      </c>
      <c r="X232" s="317">
        <f t="shared" si="148"/>
        <v>0</v>
      </c>
      <c r="Y232" s="317">
        <f t="shared" si="149"/>
        <v>0</v>
      </c>
      <c r="Z232" s="317">
        <f t="shared" si="150"/>
        <v>0</v>
      </c>
      <c r="AA232" s="317">
        <f t="shared" si="151"/>
        <v>0</v>
      </c>
      <c r="AB232" s="317">
        <f t="shared" si="152"/>
        <v>0</v>
      </c>
      <c r="AC232" s="317">
        <f t="shared" si="153"/>
        <v>0</v>
      </c>
      <c r="AD232" s="317">
        <f t="shared" si="154"/>
        <v>0</v>
      </c>
      <c r="AE232" s="317">
        <f t="shared" si="155"/>
        <v>0</v>
      </c>
      <c r="AF232" s="317">
        <f t="shared" si="180"/>
        <v>0</v>
      </c>
      <c r="AG232" s="317">
        <f t="shared" si="181"/>
        <v>0</v>
      </c>
      <c r="AH232" s="317">
        <f t="shared" si="156"/>
        <v>0</v>
      </c>
      <c r="AI232" s="317">
        <f t="shared" si="157"/>
        <v>0</v>
      </c>
      <c r="AJ232" s="317">
        <f t="shared" si="158"/>
        <v>0</v>
      </c>
      <c r="AK232" s="317">
        <f t="shared" si="159"/>
        <v>0</v>
      </c>
      <c r="AL232" s="317">
        <f t="shared" si="160"/>
        <v>0</v>
      </c>
      <c r="AM232" s="317">
        <f t="shared" si="161"/>
        <v>0</v>
      </c>
      <c r="AN232" s="317">
        <f t="shared" si="162"/>
        <v>0</v>
      </c>
      <c r="AO232" s="317">
        <f t="shared" si="163"/>
        <v>0</v>
      </c>
      <c r="AP232" s="317">
        <f t="shared" si="164"/>
        <v>0</v>
      </c>
      <c r="AQ232" s="317">
        <f t="shared" si="165"/>
        <v>0</v>
      </c>
      <c r="AR232" s="317">
        <f t="shared" si="166"/>
        <v>0</v>
      </c>
      <c r="AS232" s="317">
        <f t="shared" si="167"/>
        <v>0</v>
      </c>
      <c r="AT232" s="317">
        <f t="shared" si="168"/>
        <v>0</v>
      </c>
      <c r="AU232" s="317">
        <f t="shared" si="169"/>
        <v>0</v>
      </c>
      <c r="AV232" s="317">
        <f t="shared" si="170"/>
        <v>0</v>
      </c>
      <c r="AW232" s="317">
        <f t="shared" si="171"/>
        <v>0</v>
      </c>
      <c r="AX232" s="317">
        <f t="shared" si="172"/>
        <v>0</v>
      </c>
      <c r="AY232" s="317">
        <f t="shared" si="173"/>
        <v>0</v>
      </c>
      <c r="AZ232" s="317">
        <f t="shared" si="174"/>
        <v>0</v>
      </c>
      <c r="BA232" s="317">
        <f t="shared" si="175"/>
        <v>0</v>
      </c>
    </row>
    <row r="233" spans="1:53" s="314" customFormat="1" ht="15.75" customHeight="1">
      <c r="A233" s="63" t="str">
        <f t="array" ref="A233">IF(C233&lt;&gt;0,SUM(($C$11:C233&lt;&gt;0)*1),"")</f>
        <v/>
      </c>
      <c r="B233" s="315"/>
      <c r="C233" s="315"/>
      <c r="D233" s="315"/>
      <c r="E233" s="432"/>
      <c r="F233" s="371"/>
      <c r="G233" s="373"/>
      <c r="H233" s="373"/>
      <c r="I233" s="63" t="str">
        <f>A233</f>
        <v/>
      </c>
      <c r="J233" s="317">
        <f t="shared" si="138"/>
        <v>0</v>
      </c>
      <c r="K233" s="317">
        <f t="shared" si="139"/>
        <v>0</v>
      </c>
      <c r="L233" s="317">
        <f t="shared" si="140"/>
        <v>0</v>
      </c>
      <c r="M233" s="317">
        <f t="shared" si="141"/>
        <v>0</v>
      </c>
      <c r="N233" s="317">
        <f t="shared" si="176"/>
        <v>0</v>
      </c>
      <c r="O233" s="317">
        <f t="shared" si="177"/>
        <v>0</v>
      </c>
      <c r="P233" s="317">
        <f t="shared" si="142"/>
        <v>0</v>
      </c>
      <c r="Q233" s="317">
        <f t="shared" si="143"/>
        <v>0</v>
      </c>
      <c r="R233" s="317">
        <f t="shared" si="144"/>
        <v>0</v>
      </c>
      <c r="S233" s="317">
        <f t="shared" si="145"/>
        <v>0</v>
      </c>
      <c r="T233" s="317">
        <f t="shared" si="178"/>
        <v>0</v>
      </c>
      <c r="U233" s="317">
        <f t="shared" si="179"/>
        <v>0</v>
      </c>
      <c r="V233" s="317">
        <f t="shared" si="146"/>
        <v>0</v>
      </c>
      <c r="W233" s="317">
        <f t="shared" si="147"/>
        <v>0</v>
      </c>
      <c r="X233" s="317">
        <f t="shared" si="148"/>
        <v>0</v>
      </c>
      <c r="Y233" s="317">
        <f t="shared" si="149"/>
        <v>0</v>
      </c>
      <c r="Z233" s="317">
        <f t="shared" si="150"/>
        <v>0</v>
      </c>
      <c r="AA233" s="317">
        <f t="shared" si="151"/>
        <v>0</v>
      </c>
      <c r="AB233" s="317">
        <f t="shared" si="152"/>
        <v>0</v>
      </c>
      <c r="AC233" s="317">
        <f t="shared" si="153"/>
        <v>0</v>
      </c>
      <c r="AD233" s="317">
        <f t="shared" si="154"/>
        <v>0</v>
      </c>
      <c r="AE233" s="317">
        <f t="shared" si="155"/>
        <v>0</v>
      </c>
      <c r="AF233" s="317">
        <f t="shared" si="180"/>
        <v>0</v>
      </c>
      <c r="AG233" s="317">
        <f t="shared" si="181"/>
        <v>0</v>
      </c>
      <c r="AH233" s="317">
        <f t="shared" si="156"/>
        <v>0</v>
      </c>
      <c r="AI233" s="317">
        <f t="shared" si="157"/>
        <v>0</v>
      </c>
      <c r="AJ233" s="317">
        <f t="shared" si="158"/>
        <v>0</v>
      </c>
      <c r="AK233" s="317">
        <f t="shared" si="159"/>
        <v>0</v>
      </c>
      <c r="AL233" s="317">
        <f t="shared" si="160"/>
        <v>0</v>
      </c>
      <c r="AM233" s="317">
        <f t="shared" si="161"/>
        <v>0</v>
      </c>
      <c r="AN233" s="317">
        <f t="shared" si="162"/>
        <v>0</v>
      </c>
      <c r="AO233" s="317">
        <f t="shared" si="163"/>
        <v>0</v>
      </c>
      <c r="AP233" s="317">
        <f t="shared" si="164"/>
        <v>0</v>
      </c>
      <c r="AQ233" s="317">
        <f t="shared" si="165"/>
        <v>0</v>
      </c>
      <c r="AR233" s="317">
        <f t="shared" si="166"/>
        <v>0</v>
      </c>
      <c r="AS233" s="317">
        <f t="shared" si="167"/>
        <v>0</v>
      </c>
      <c r="AT233" s="317">
        <f t="shared" si="168"/>
        <v>0</v>
      </c>
      <c r="AU233" s="317">
        <f t="shared" si="169"/>
        <v>0</v>
      </c>
      <c r="AV233" s="317">
        <f t="shared" si="170"/>
        <v>0</v>
      </c>
      <c r="AW233" s="317">
        <f t="shared" si="171"/>
        <v>0</v>
      </c>
      <c r="AX233" s="317">
        <f t="shared" si="172"/>
        <v>0</v>
      </c>
      <c r="AY233" s="317">
        <f t="shared" si="173"/>
        <v>0</v>
      </c>
      <c r="AZ233" s="317">
        <f t="shared" si="174"/>
        <v>0</v>
      </c>
      <c r="BA233" s="317">
        <f t="shared" si="175"/>
        <v>0</v>
      </c>
    </row>
    <row r="234" spans="1:53" s="314" customFormat="1" ht="15.75" customHeight="1">
      <c r="A234" s="63" t="str">
        <f t="array" ref="A234">IF(C234&lt;&gt;0,SUM(($C$11:C234&lt;&gt;0)*1),"")</f>
        <v/>
      </c>
      <c r="B234" s="315"/>
      <c r="C234" s="315"/>
      <c r="D234" s="315"/>
      <c r="E234" s="432"/>
      <c r="F234" s="371"/>
      <c r="G234" s="373"/>
      <c r="H234" s="373"/>
      <c r="I234" s="63" t="str">
        <f>A234</f>
        <v/>
      </c>
      <c r="J234" s="317">
        <f t="shared" si="138"/>
        <v>0</v>
      </c>
      <c r="K234" s="317">
        <f t="shared" si="139"/>
        <v>0</v>
      </c>
      <c r="L234" s="317">
        <f t="shared" si="140"/>
        <v>0</v>
      </c>
      <c r="M234" s="317">
        <f t="shared" si="141"/>
        <v>0</v>
      </c>
      <c r="N234" s="317">
        <f t="shared" si="176"/>
        <v>0</v>
      </c>
      <c r="O234" s="317">
        <f t="shared" si="177"/>
        <v>0</v>
      </c>
      <c r="P234" s="317">
        <f t="shared" si="142"/>
        <v>0</v>
      </c>
      <c r="Q234" s="317">
        <f t="shared" si="143"/>
        <v>0</v>
      </c>
      <c r="R234" s="317">
        <f t="shared" si="144"/>
        <v>0</v>
      </c>
      <c r="S234" s="317">
        <f t="shared" si="145"/>
        <v>0</v>
      </c>
      <c r="T234" s="317">
        <f t="shared" si="178"/>
        <v>0</v>
      </c>
      <c r="U234" s="317">
        <f t="shared" si="179"/>
        <v>0</v>
      </c>
      <c r="V234" s="317">
        <f t="shared" si="146"/>
        <v>0</v>
      </c>
      <c r="W234" s="317">
        <f t="shared" si="147"/>
        <v>0</v>
      </c>
      <c r="X234" s="317">
        <f t="shared" si="148"/>
        <v>0</v>
      </c>
      <c r="Y234" s="317">
        <f t="shared" si="149"/>
        <v>0</v>
      </c>
      <c r="Z234" s="317">
        <f t="shared" si="150"/>
        <v>0</v>
      </c>
      <c r="AA234" s="317">
        <f t="shared" si="151"/>
        <v>0</v>
      </c>
      <c r="AB234" s="317">
        <f t="shared" si="152"/>
        <v>0</v>
      </c>
      <c r="AC234" s="317">
        <f t="shared" si="153"/>
        <v>0</v>
      </c>
      <c r="AD234" s="317">
        <f t="shared" si="154"/>
        <v>0</v>
      </c>
      <c r="AE234" s="317">
        <f t="shared" si="155"/>
        <v>0</v>
      </c>
      <c r="AF234" s="317">
        <f t="shared" si="180"/>
        <v>0</v>
      </c>
      <c r="AG234" s="317">
        <f t="shared" si="181"/>
        <v>0</v>
      </c>
      <c r="AH234" s="317">
        <f t="shared" si="156"/>
        <v>0</v>
      </c>
      <c r="AI234" s="317">
        <f t="shared" si="157"/>
        <v>0</v>
      </c>
      <c r="AJ234" s="317">
        <f t="shared" si="158"/>
        <v>0</v>
      </c>
      <c r="AK234" s="317">
        <f t="shared" si="159"/>
        <v>0</v>
      </c>
      <c r="AL234" s="317">
        <f t="shared" si="160"/>
        <v>0</v>
      </c>
      <c r="AM234" s="317">
        <f t="shared" si="161"/>
        <v>0</v>
      </c>
      <c r="AN234" s="317">
        <f t="shared" si="162"/>
        <v>0</v>
      </c>
      <c r="AO234" s="317">
        <f t="shared" si="163"/>
        <v>0</v>
      </c>
      <c r="AP234" s="317">
        <f t="shared" si="164"/>
        <v>0</v>
      </c>
      <c r="AQ234" s="317">
        <f t="shared" si="165"/>
        <v>0</v>
      </c>
      <c r="AR234" s="317">
        <f t="shared" si="166"/>
        <v>0</v>
      </c>
      <c r="AS234" s="317">
        <f t="shared" si="167"/>
        <v>0</v>
      </c>
      <c r="AT234" s="317">
        <f t="shared" si="168"/>
        <v>0</v>
      </c>
      <c r="AU234" s="317">
        <f t="shared" si="169"/>
        <v>0</v>
      </c>
      <c r="AV234" s="317">
        <f t="shared" si="170"/>
        <v>0</v>
      </c>
      <c r="AW234" s="317">
        <f t="shared" si="171"/>
        <v>0</v>
      </c>
      <c r="AX234" s="317">
        <f t="shared" si="172"/>
        <v>0</v>
      </c>
      <c r="AY234" s="317">
        <f t="shared" si="173"/>
        <v>0</v>
      </c>
      <c r="AZ234" s="317">
        <f t="shared" si="174"/>
        <v>0</v>
      </c>
      <c r="BA234" s="317">
        <f t="shared" si="175"/>
        <v>0</v>
      </c>
    </row>
    <row r="235" spans="1:53" s="314" customFormat="1" ht="15.75" customHeight="1">
      <c r="A235" s="63" t="str">
        <f t="array" ref="A235">IF(C235&lt;&gt;0,SUM(($C$11:C235&lt;&gt;0)*1),"")</f>
        <v/>
      </c>
      <c r="B235" s="315"/>
      <c r="C235" s="315"/>
      <c r="D235" s="315"/>
      <c r="E235" s="432"/>
      <c r="F235" s="371"/>
      <c r="G235" s="373"/>
      <c r="H235" s="373"/>
      <c r="I235" s="63" t="str">
        <f>A235</f>
        <v/>
      </c>
      <c r="J235" s="317">
        <f t="shared" si="138"/>
        <v>0</v>
      </c>
      <c r="K235" s="317">
        <f t="shared" si="139"/>
        <v>0</v>
      </c>
      <c r="L235" s="317">
        <f t="shared" si="140"/>
        <v>0</v>
      </c>
      <c r="M235" s="317">
        <f t="shared" si="141"/>
        <v>0</v>
      </c>
      <c r="N235" s="317">
        <f t="shared" si="176"/>
        <v>0</v>
      </c>
      <c r="O235" s="317">
        <f t="shared" si="177"/>
        <v>0</v>
      </c>
      <c r="P235" s="317">
        <f t="shared" si="142"/>
        <v>0</v>
      </c>
      <c r="Q235" s="317">
        <f t="shared" si="143"/>
        <v>0</v>
      </c>
      <c r="R235" s="317">
        <f t="shared" si="144"/>
        <v>0</v>
      </c>
      <c r="S235" s="317">
        <f t="shared" si="145"/>
        <v>0</v>
      </c>
      <c r="T235" s="317">
        <f t="shared" si="178"/>
        <v>0</v>
      </c>
      <c r="U235" s="317">
        <f t="shared" si="179"/>
        <v>0</v>
      </c>
      <c r="V235" s="317">
        <f t="shared" si="146"/>
        <v>0</v>
      </c>
      <c r="W235" s="317">
        <f t="shared" si="147"/>
        <v>0</v>
      </c>
      <c r="X235" s="317">
        <f t="shared" si="148"/>
        <v>0</v>
      </c>
      <c r="Y235" s="317">
        <f t="shared" si="149"/>
        <v>0</v>
      </c>
      <c r="Z235" s="317">
        <f t="shared" si="150"/>
        <v>0</v>
      </c>
      <c r="AA235" s="317">
        <f t="shared" si="151"/>
        <v>0</v>
      </c>
      <c r="AB235" s="317">
        <f t="shared" si="152"/>
        <v>0</v>
      </c>
      <c r="AC235" s="317">
        <f t="shared" si="153"/>
        <v>0</v>
      </c>
      <c r="AD235" s="317">
        <f t="shared" si="154"/>
        <v>0</v>
      </c>
      <c r="AE235" s="317">
        <f t="shared" si="155"/>
        <v>0</v>
      </c>
      <c r="AF235" s="317">
        <f t="shared" si="180"/>
        <v>0</v>
      </c>
      <c r="AG235" s="317">
        <f t="shared" si="181"/>
        <v>0</v>
      </c>
      <c r="AH235" s="317">
        <f t="shared" si="156"/>
        <v>0</v>
      </c>
      <c r="AI235" s="317">
        <f t="shared" si="157"/>
        <v>0</v>
      </c>
      <c r="AJ235" s="317">
        <f t="shared" si="158"/>
        <v>0</v>
      </c>
      <c r="AK235" s="317">
        <f t="shared" si="159"/>
        <v>0</v>
      </c>
      <c r="AL235" s="317">
        <f t="shared" si="160"/>
        <v>0</v>
      </c>
      <c r="AM235" s="317">
        <f t="shared" si="161"/>
        <v>0</v>
      </c>
      <c r="AN235" s="317">
        <f t="shared" si="162"/>
        <v>0</v>
      </c>
      <c r="AO235" s="317">
        <f t="shared" si="163"/>
        <v>0</v>
      </c>
      <c r="AP235" s="317">
        <f t="shared" si="164"/>
        <v>0</v>
      </c>
      <c r="AQ235" s="317">
        <f t="shared" si="165"/>
        <v>0</v>
      </c>
      <c r="AR235" s="317">
        <f t="shared" si="166"/>
        <v>0</v>
      </c>
      <c r="AS235" s="317">
        <f t="shared" si="167"/>
        <v>0</v>
      </c>
      <c r="AT235" s="317">
        <f t="shared" si="168"/>
        <v>0</v>
      </c>
      <c r="AU235" s="317">
        <f t="shared" si="169"/>
        <v>0</v>
      </c>
      <c r="AV235" s="317">
        <f t="shared" si="170"/>
        <v>0</v>
      </c>
      <c r="AW235" s="317">
        <f t="shared" si="171"/>
        <v>0</v>
      </c>
      <c r="AX235" s="317">
        <f t="shared" si="172"/>
        <v>0</v>
      </c>
      <c r="AY235" s="317">
        <f t="shared" si="173"/>
        <v>0</v>
      </c>
      <c r="AZ235" s="317">
        <f t="shared" si="174"/>
        <v>0</v>
      </c>
      <c r="BA235" s="317">
        <f t="shared" si="175"/>
        <v>0</v>
      </c>
    </row>
    <row r="236" spans="1:53" s="314" customFormat="1" ht="15.75" customHeight="1">
      <c r="A236" s="63">
        <f t="array" aca="1" ref="A236" ca="1">IF(C236&lt;&gt;0,SUM(($C$11:C236&lt;&gt;0)*1),"")</f>
        <v>2</v>
      </c>
      <c r="B236" s="318">
        <v>42277</v>
      </c>
      <c r="C236" s="318" t="s">
        <v>150</v>
      </c>
      <c r="D236" s="318">
        <f t="shared" ref="D236:D241" si="182">B236</f>
        <v>42277</v>
      </c>
      <c r="E236" s="319" t="s">
        <v>151</v>
      </c>
      <c r="F236" s="85">
        <f ca="1">AP243</f>
        <v>0</v>
      </c>
      <c r="G236" s="320" t="s">
        <v>243</v>
      </c>
      <c r="H236" s="320" t="s">
        <v>134</v>
      </c>
      <c r="I236" s="63">
        <f t="shared" ref="I236:I242" ca="1" si="183">A236</f>
        <v>2</v>
      </c>
      <c r="J236" s="317">
        <f t="shared" si="138"/>
        <v>0</v>
      </c>
      <c r="K236" s="317">
        <f t="shared" si="139"/>
        <v>0</v>
      </c>
      <c r="L236" s="317">
        <f t="shared" si="140"/>
        <v>0</v>
      </c>
      <c r="M236" s="317">
        <f t="shared" si="141"/>
        <v>0</v>
      </c>
      <c r="N236" s="317">
        <f t="shared" si="176"/>
        <v>0</v>
      </c>
      <c r="O236" s="317">
        <f t="shared" si="177"/>
        <v>0</v>
      </c>
      <c r="P236" s="317">
        <f t="shared" si="142"/>
        <v>0</v>
      </c>
      <c r="Q236" s="317">
        <f t="shared" si="143"/>
        <v>0</v>
      </c>
      <c r="R236" s="317">
        <f t="shared" si="144"/>
        <v>0</v>
      </c>
      <c r="S236" s="317">
        <f t="shared" si="145"/>
        <v>0</v>
      </c>
      <c r="T236" s="317">
        <f t="shared" ca="1" si="178"/>
        <v>0</v>
      </c>
      <c r="U236" s="317">
        <f t="shared" si="179"/>
        <v>0</v>
      </c>
      <c r="V236" s="317">
        <f t="shared" si="146"/>
        <v>0</v>
      </c>
      <c r="W236" s="317">
        <f t="shared" si="147"/>
        <v>0</v>
      </c>
      <c r="X236" s="317">
        <f t="shared" si="148"/>
        <v>0</v>
      </c>
      <c r="Y236" s="317">
        <f t="shared" si="149"/>
        <v>0</v>
      </c>
      <c r="Z236" s="317">
        <f t="shared" si="150"/>
        <v>0</v>
      </c>
      <c r="AA236" s="317">
        <f t="shared" si="151"/>
        <v>0</v>
      </c>
      <c r="AB236" s="317">
        <f t="shared" si="152"/>
        <v>0</v>
      </c>
      <c r="AC236" s="317">
        <f t="shared" si="153"/>
        <v>0</v>
      </c>
      <c r="AD236" s="317">
        <f t="shared" si="154"/>
        <v>0</v>
      </c>
      <c r="AE236" s="317">
        <f t="shared" si="155"/>
        <v>0</v>
      </c>
      <c r="AF236" s="317">
        <f t="shared" si="180"/>
        <v>0</v>
      </c>
      <c r="AG236" s="317">
        <f t="shared" si="181"/>
        <v>0</v>
      </c>
      <c r="AH236" s="317">
        <f t="shared" si="156"/>
        <v>0</v>
      </c>
      <c r="AI236" s="317">
        <f t="shared" si="157"/>
        <v>0</v>
      </c>
      <c r="AJ236" s="317">
        <f t="shared" si="158"/>
        <v>0</v>
      </c>
      <c r="AK236" s="317">
        <f t="shared" si="159"/>
        <v>0</v>
      </c>
      <c r="AL236" s="317">
        <f t="shared" si="160"/>
        <v>0</v>
      </c>
      <c r="AM236" s="317">
        <f t="shared" si="161"/>
        <v>0</v>
      </c>
      <c r="AN236" s="317">
        <f t="shared" si="162"/>
        <v>0</v>
      </c>
      <c r="AO236" s="317">
        <f t="shared" si="163"/>
        <v>0</v>
      </c>
      <c r="AP236" s="317">
        <f t="shared" si="164"/>
        <v>0</v>
      </c>
      <c r="AQ236" s="317">
        <f t="shared" ca="1" si="165"/>
        <v>0</v>
      </c>
      <c r="AR236" s="317">
        <f t="shared" si="166"/>
        <v>0</v>
      </c>
      <c r="AS236" s="317">
        <f t="shared" si="167"/>
        <v>0</v>
      </c>
      <c r="AT236" s="317">
        <f t="shared" si="168"/>
        <v>0</v>
      </c>
      <c r="AU236" s="317">
        <f t="shared" si="169"/>
        <v>0</v>
      </c>
      <c r="AV236" s="317">
        <f t="shared" si="170"/>
        <v>0</v>
      </c>
      <c r="AW236" s="317">
        <f t="shared" si="171"/>
        <v>0</v>
      </c>
      <c r="AX236" s="317">
        <f t="shared" si="172"/>
        <v>0</v>
      </c>
      <c r="AY236" s="317">
        <f t="shared" si="173"/>
        <v>0</v>
      </c>
      <c r="AZ236" s="317">
        <f t="shared" si="174"/>
        <v>0</v>
      </c>
      <c r="BA236" s="317">
        <f t="shared" si="175"/>
        <v>0</v>
      </c>
    </row>
    <row r="237" spans="1:53" s="314" customFormat="1" ht="15.75" customHeight="1">
      <c r="A237" s="63">
        <f t="array" aca="1" ref="A237" ca="1">IF(C237&lt;&gt;0,SUM(($C$11:C237&lt;&gt;0)*1),"")</f>
        <v>3</v>
      </c>
      <c r="B237" s="318">
        <v>42277</v>
      </c>
      <c r="C237" s="318" t="s">
        <v>150</v>
      </c>
      <c r="D237" s="318">
        <f t="shared" si="182"/>
        <v>42277</v>
      </c>
      <c r="E237" s="319" t="s">
        <v>152</v>
      </c>
      <c r="F237" s="85">
        <f ca="1">AR243</f>
        <v>24508900</v>
      </c>
      <c r="G237" s="320" t="s">
        <v>144</v>
      </c>
      <c r="H237" s="320" t="s">
        <v>136</v>
      </c>
      <c r="I237" s="63">
        <f t="shared" ca="1" si="183"/>
        <v>3</v>
      </c>
      <c r="J237" s="317">
        <f t="shared" si="138"/>
        <v>0</v>
      </c>
      <c r="K237" s="317">
        <f t="shared" si="139"/>
        <v>0</v>
      </c>
      <c r="L237" s="317">
        <f t="shared" si="140"/>
        <v>0</v>
      </c>
      <c r="M237" s="317">
        <f t="shared" si="141"/>
        <v>0</v>
      </c>
      <c r="N237" s="317">
        <f t="shared" si="176"/>
        <v>0</v>
      </c>
      <c r="O237" s="317">
        <f t="shared" si="177"/>
        <v>0</v>
      </c>
      <c r="P237" s="317">
        <f t="shared" si="142"/>
        <v>0</v>
      </c>
      <c r="Q237" s="317">
        <f t="shared" si="143"/>
        <v>0</v>
      </c>
      <c r="R237" s="317">
        <f t="shared" si="144"/>
        <v>0</v>
      </c>
      <c r="S237" s="317">
        <f t="shared" si="145"/>
        <v>0</v>
      </c>
      <c r="T237" s="317">
        <f t="shared" si="178"/>
        <v>0</v>
      </c>
      <c r="U237" s="317">
        <f t="shared" si="179"/>
        <v>0</v>
      </c>
      <c r="V237" s="317">
        <f t="shared" si="146"/>
        <v>0</v>
      </c>
      <c r="W237" s="317">
        <f t="shared" si="147"/>
        <v>0</v>
      </c>
      <c r="X237" s="317">
        <f t="shared" si="148"/>
        <v>0</v>
      </c>
      <c r="Y237" s="317">
        <f t="shared" si="149"/>
        <v>0</v>
      </c>
      <c r="Z237" s="317">
        <f t="shared" si="150"/>
        <v>0</v>
      </c>
      <c r="AA237" s="317">
        <f t="shared" si="151"/>
        <v>0</v>
      </c>
      <c r="AB237" s="317">
        <f t="shared" si="152"/>
        <v>0</v>
      </c>
      <c r="AC237" s="317">
        <f t="shared" si="153"/>
        <v>0</v>
      </c>
      <c r="AD237" s="317">
        <f t="shared" si="154"/>
        <v>0</v>
      </c>
      <c r="AE237" s="317">
        <f t="shared" si="155"/>
        <v>0</v>
      </c>
      <c r="AF237" s="317">
        <f t="shared" si="180"/>
        <v>0</v>
      </c>
      <c r="AG237" s="317">
        <f t="shared" si="181"/>
        <v>0</v>
      </c>
      <c r="AH237" s="317">
        <f t="shared" si="156"/>
        <v>0</v>
      </c>
      <c r="AI237" s="317">
        <f t="shared" si="157"/>
        <v>0</v>
      </c>
      <c r="AJ237" s="317">
        <f t="shared" si="158"/>
        <v>0</v>
      </c>
      <c r="AK237" s="317">
        <f t="shared" si="159"/>
        <v>0</v>
      </c>
      <c r="AL237" s="317">
        <f t="shared" si="160"/>
        <v>0</v>
      </c>
      <c r="AM237" s="317">
        <f t="shared" si="161"/>
        <v>0</v>
      </c>
      <c r="AN237" s="317">
        <f t="shared" si="162"/>
        <v>0</v>
      </c>
      <c r="AO237" s="317">
        <f t="shared" si="163"/>
        <v>0</v>
      </c>
      <c r="AP237" s="317">
        <f t="shared" si="164"/>
        <v>0</v>
      </c>
      <c r="AQ237" s="317">
        <f t="shared" si="165"/>
        <v>0</v>
      </c>
      <c r="AR237" s="317">
        <f t="shared" si="166"/>
        <v>0</v>
      </c>
      <c r="AS237" s="317">
        <f t="shared" ca="1" si="167"/>
        <v>24508900</v>
      </c>
      <c r="AT237" s="317">
        <f t="shared" si="168"/>
        <v>0</v>
      </c>
      <c r="AU237" s="317">
        <f t="shared" si="169"/>
        <v>0</v>
      </c>
      <c r="AV237" s="317">
        <f t="shared" si="170"/>
        <v>0</v>
      </c>
      <c r="AW237" s="317">
        <f t="shared" si="171"/>
        <v>0</v>
      </c>
      <c r="AX237" s="317">
        <f t="shared" si="172"/>
        <v>0</v>
      </c>
      <c r="AY237" s="317">
        <f t="shared" si="173"/>
        <v>0</v>
      </c>
      <c r="AZ237" s="317">
        <f t="shared" ca="1" si="174"/>
        <v>24508900</v>
      </c>
      <c r="BA237" s="317">
        <f t="shared" si="175"/>
        <v>0</v>
      </c>
    </row>
    <row r="238" spans="1:53" s="314" customFormat="1" ht="15.75" customHeight="1">
      <c r="A238" s="63">
        <f t="array" aca="1" ref="A238" ca="1">IF(C238&lt;&gt;0,SUM(($C$11:C238&lt;&gt;0)*1),"")</f>
        <v>4</v>
      </c>
      <c r="B238" s="318">
        <v>42277</v>
      </c>
      <c r="C238" s="318" t="s">
        <v>150</v>
      </c>
      <c r="D238" s="318">
        <f t="shared" si="182"/>
        <v>42277</v>
      </c>
      <c r="E238" s="319" t="s">
        <v>306</v>
      </c>
      <c r="F238" s="85">
        <v>10580244</v>
      </c>
      <c r="G238" s="320" t="s">
        <v>129</v>
      </c>
      <c r="H238" s="320" t="s">
        <v>144</v>
      </c>
      <c r="I238" s="63">
        <f t="shared" ca="1" si="183"/>
        <v>4</v>
      </c>
      <c r="J238" s="317">
        <f t="shared" si="138"/>
        <v>0</v>
      </c>
      <c r="K238" s="317">
        <f t="shared" si="139"/>
        <v>0</v>
      </c>
      <c r="L238" s="317">
        <f t="shared" si="140"/>
        <v>0</v>
      </c>
      <c r="M238" s="317">
        <f t="shared" si="141"/>
        <v>0</v>
      </c>
      <c r="N238" s="317">
        <f t="shared" si="176"/>
        <v>0</v>
      </c>
      <c r="O238" s="317">
        <f t="shared" si="177"/>
        <v>0</v>
      </c>
      <c r="P238" s="317">
        <f t="shared" si="142"/>
        <v>0</v>
      </c>
      <c r="Q238" s="317">
        <f t="shared" si="143"/>
        <v>0</v>
      </c>
      <c r="R238" s="317">
        <f t="shared" si="144"/>
        <v>0</v>
      </c>
      <c r="S238" s="317">
        <f t="shared" si="145"/>
        <v>0</v>
      </c>
      <c r="T238" s="317">
        <f t="shared" si="178"/>
        <v>0</v>
      </c>
      <c r="U238" s="317">
        <f t="shared" si="179"/>
        <v>0</v>
      </c>
      <c r="V238" s="317">
        <f t="shared" si="146"/>
        <v>0</v>
      </c>
      <c r="W238" s="317">
        <f t="shared" si="147"/>
        <v>0</v>
      </c>
      <c r="X238" s="317">
        <f t="shared" si="148"/>
        <v>0</v>
      </c>
      <c r="Y238" s="317">
        <f t="shared" si="149"/>
        <v>0</v>
      </c>
      <c r="Z238" s="317">
        <f t="shared" si="150"/>
        <v>0</v>
      </c>
      <c r="AA238" s="317">
        <f t="shared" si="151"/>
        <v>0</v>
      </c>
      <c r="AB238" s="317">
        <f t="shared" si="152"/>
        <v>0</v>
      </c>
      <c r="AC238" s="317">
        <f t="shared" si="153"/>
        <v>0</v>
      </c>
      <c r="AD238" s="317">
        <f t="shared" si="154"/>
        <v>0</v>
      </c>
      <c r="AE238" s="317">
        <f t="shared" si="155"/>
        <v>0</v>
      </c>
      <c r="AF238" s="317">
        <f t="shared" si="180"/>
        <v>0</v>
      </c>
      <c r="AG238" s="317">
        <f t="shared" si="181"/>
        <v>0</v>
      </c>
      <c r="AH238" s="317">
        <f t="shared" si="156"/>
        <v>0</v>
      </c>
      <c r="AI238" s="317">
        <f t="shared" si="157"/>
        <v>0</v>
      </c>
      <c r="AJ238" s="317">
        <f t="shared" si="158"/>
        <v>0</v>
      </c>
      <c r="AK238" s="317">
        <f t="shared" si="159"/>
        <v>0</v>
      </c>
      <c r="AL238" s="317">
        <f t="shared" si="160"/>
        <v>10580244</v>
      </c>
      <c r="AM238" s="317">
        <f t="shared" si="161"/>
        <v>0</v>
      </c>
      <c r="AN238" s="317">
        <f t="shared" si="162"/>
        <v>0</v>
      </c>
      <c r="AO238" s="317">
        <f t="shared" si="163"/>
        <v>0</v>
      </c>
      <c r="AP238" s="317">
        <f t="shared" si="164"/>
        <v>0</v>
      </c>
      <c r="AQ238" s="317">
        <f t="shared" si="165"/>
        <v>0</v>
      </c>
      <c r="AR238" s="317">
        <f t="shared" si="166"/>
        <v>0</v>
      </c>
      <c r="AS238" s="317">
        <f t="shared" si="167"/>
        <v>0</v>
      </c>
      <c r="AT238" s="317">
        <f t="shared" si="168"/>
        <v>0</v>
      </c>
      <c r="AU238" s="317">
        <f t="shared" si="169"/>
        <v>0</v>
      </c>
      <c r="AV238" s="317">
        <f t="shared" si="170"/>
        <v>0</v>
      </c>
      <c r="AW238" s="317">
        <f t="shared" si="171"/>
        <v>0</v>
      </c>
      <c r="AX238" s="317">
        <f t="shared" si="172"/>
        <v>0</v>
      </c>
      <c r="AY238" s="317">
        <f t="shared" si="173"/>
        <v>0</v>
      </c>
      <c r="AZ238" s="317">
        <f t="shared" si="174"/>
        <v>0</v>
      </c>
      <c r="BA238" s="317">
        <f t="shared" si="175"/>
        <v>10580244</v>
      </c>
    </row>
    <row r="239" spans="1:53" s="314" customFormat="1" ht="15.75" customHeight="1">
      <c r="A239" s="63">
        <f t="array" aca="1" ref="A239" ca="1">IF(C239&lt;&gt;0,SUM(($C$11:C239&lt;&gt;0)*1),"")</f>
        <v>5</v>
      </c>
      <c r="B239" s="318">
        <v>42277</v>
      </c>
      <c r="C239" s="318" t="s">
        <v>150</v>
      </c>
      <c r="D239" s="318">
        <f t="shared" si="182"/>
        <v>42277</v>
      </c>
      <c r="E239" s="319" t="s">
        <v>154</v>
      </c>
      <c r="F239" s="85">
        <f ca="1">AO243</f>
        <v>0</v>
      </c>
      <c r="G239" s="320" t="s">
        <v>59</v>
      </c>
      <c r="H239" s="320" t="s">
        <v>144</v>
      </c>
      <c r="I239" s="63">
        <f t="shared" ca="1" si="183"/>
        <v>5</v>
      </c>
      <c r="J239" s="317">
        <f t="shared" si="138"/>
        <v>0</v>
      </c>
      <c r="K239" s="317">
        <f t="shared" si="139"/>
        <v>0</v>
      </c>
      <c r="L239" s="317">
        <f t="shared" si="140"/>
        <v>0</v>
      </c>
      <c r="M239" s="317">
        <f t="shared" si="141"/>
        <v>0</v>
      </c>
      <c r="N239" s="317">
        <f t="shared" si="176"/>
        <v>0</v>
      </c>
      <c r="O239" s="317">
        <f t="shared" si="177"/>
        <v>0</v>
      </c>
      <c r="P239" s="317">
        <f t="shared" si="142"/>
        <v>0</v>
      </c>
      <c r="Q239" s="317">
        <f t="shared" si="143"/>
        <v>0</v>
      </c>
      <c r="R239" s="317">
        <f t="shared" si="144"/>
        <v>0</v>
      </c>
      <c r="S239" s="317">
        <f t="shared" si="145"/>
        <v>0</v>
      </c>
      <c r="T239" s="317">
        <f t="shared" si="178"/>
        <v>0</v>
      </c>
      <c r="U239" s="317">
        <f t="shared" si="179"/>
        <v>0</v>
      </c>
      <c r="V239" s="317">
        <f t="shared" si="146"/>
        <v>0</v>
      </c>
      <c r="W239" s="317">
        <f t="shared" si="147"/>
        <v>0</v>
      </c>
      <c r="X239" s="317">
        <f t="shared" si="148"/>
        <v>0</v>
      </c>
      <c r="Y239" s="317">
        <f t="shared" si="149"/>
        <v>0</v>
      </c>
      <c r="Z239" s="317">
        <f t="shared" si="150"/>
        <v>0</v>
      </c>
      <c r="AA239" s="317">
        <f t="shared" si="151"/>
        <v>0</v>
      </c>
      <c r="AB239" s="317">
        <f t="shared" si="152"/>
        <v>0</v>
      </c>
      <c r="AC239" s="317">
        <f t="shared" si="153"/>
        <v>0</v>
      </c>
      <c r="AD239" s="317">
        <f t="shared" si="154"/>
        <v>0</v>
      </c>
      <c r="AE239" s="317">
        <f t="shared" si="155"/>
        <v>0</v>
      </c>
      <c r="AF239" s="317">
        <f t="shared" si="180"/>
        <v>0</v>
      </c>
      <c r="AG239" s="317">
        <f t="shared" si="181"/>
        <v>0</v>
      </c>
      <c r="AH239" s="317">
        <f t="shared" si="156"/>
        <v>0</v>
      </c>
      <c r="AI239" s="317">
        <f t="shared" si="157"/>
        <v>0</v>
      </c>
      <c r="AJ239" s="317">
        <f t="shared" si="158"/>
        <v>0</v>
      </c>
      <c r="AK239" s="317">
        <f t="shared" si="159"/>
        <v>0</v>
      </c>
      <c r="AL239" s="317">
        <f t="shared" si="160"/>
        <v>0</v>
      </c>
      <c r="AM239" s="317">
        <f t="shared" si="161"/>
        <v>0</v>
      </c>
      <c r="AN239" s="317">
        <f t="shared" ca="1" si="162"/>
        <v>0</v>
      </c>
      <c r="AO239" s="317">
        <f t="shared" si="163"/>
        <v>0</v>
      </c>
      <c r="AP239" s="317">
        <f t="shared" si="164"/>
        <v>0</v>
      </c>
      <c r="AQ239" s="317">
        <f t="shared" si="165"/>
        <v>0</v>
      </c>
      <c r="AR239" s="317">
        <f t="shared" si="166"/>
        <v>0</v>
      </c>
      <c r="AS239" s="317">
        <f t="shared" si="167"/>
        <v>0</v>
      </c>
      <c r="AT239" s="317">
        <f t="shared" si="168"/>
        <v>0</v>
      </c>
      <c r="AU239" s="317">
        <f t="shared" si="169"/>
        <v>0</v>
      </c>
      <c r="AV239" s="317">
        <f t="shared" si="170"/>
        <v>0</v>
      </c>
      <c r="AW239" s="317">
        <f t="shared" si="171"/>
        <v>0</v>
      </c>
      <c r="AX239" s="317">
        <f t="shared" si="172"/>
        <v>0</v>
      </c>
      <c r="AY239" s="317">
        <f t="shared" si="173"/>
        <v>0</v>
      </c>
      <c r="AZ239" s="317">
        <f t="shared" si="174"/>
        <v>0</v>
      </c>
      <c r="BA239" s="317">
        <f t="shared" ca="1" si="175"/>
        <v>0</v>
      </c>
    </row>
    <row r="240" spans="1:53" s="314" customFormat="1" ht="15.75" customHeight="1">
      <c r="A240" s="63">
        <f t="array" aca="1" ref="A240" ca="1">IF(C240&lt;&gt;0,SUM(($C$11:C240&lt;&gt;0)*1),"")</f>
        <v>6</v>
      </c>
      <c r="B240" s="318">
        <v>42277</v>
      </c>
      <c r="C240" s="318" t="s">
        <v>150</v>
      </c>
      <c r="D240" s="318">
        <f t="shared" si="182"/>
        <v>42277</v>
      </c>
      <c r="E240" s="319" t="s">
        <v>155</v>
      </c>
      <c r="F240" s="85">
        <f ca="1">AU243</f>
        <v>0</v>
      </c>
      <c r="G240" s="320" t="s">
        <v>138</v>
      </c>
      <c r="H240" s="320" t="s">
        <v>144</v>
      </c>
      <c r="I240" s="63">
        <f t="shared" ca="1" si="183"/>
        <v>6</v>
      </c>
      <c r="J240" s="317">
        <f t="shared" si="138"/>
        <v>0</v>
      </c>
      <c r="K240" s="317">
        <f t="shared" si="139"/>
        <v>0</v>
      </c>
      <c r="L240" s="317">
        <f t="shared" si="140"/>
        <v>0</v>
      </c>
      <c r="M240" s="317">
        <f t="shared" si="141"/>
        <v>0</v>
      </c>
      <c r="N240" s="317">
        <f t="shared" si="176"/>
        <v>0</v>
      </c>
      <c r="O240" s="317">
        <f t="shared" si="177"/>
        <v>0</v>
      </c>
      <c r="P240" s="317">
        <f t="shared" si="142"/>
        <v>0</v>
      </c>
      <c r="Q240" s="317">
        <f t="shared" si="143"/>
        <v>0</v>
      </c>
      <c r="R240" s="317">
        <f t="shared" si="144"/>
        <v>0</v>
      </c>
      <c r="S240" s="317">
        <f t="shared" si="145"/>
        <v>0</v>
      </c>
      <c r="T240" s="317">
        <f t="shared" si="178"/>
        <v>0</v>
      </c>
      <c r="U240" s="317">
        <f t="shared" si="179"/>
        <v>0</v>
      </c>
      <c r="V240" s="317">
        <f t="shared" si="146"/>
        <v>0</v>
      </c>
      <c r="W240" s="317">
        <f t="shared" si="147"/>
        <v>0</v>
      </c>
      <c r="X240" s="317">
        <f t="shared" si="148"/>
        <v>0</v>
      </c>
      <c r="Y240" s="317">
        <f t="shared" si="149"/>
        <v>0</v>
      </c>
      <c r="Z240" s="317">
        <f t="shared" si="150"/>
        <v>0</v>
      </c>
      <c r="AA240" s="317">
        <f t="shared" si="151"/>
        <v>0</v>
      </c>
      <c r="AB240" s="317">
        <f t="shared" si="152"/>
        <v>0</v>
      </c>
      <c r="AC240" s="317">
        <f t="shared" si="153"/>
        <v>0</v>
      </c>
      <c r="AD240" s="317">
        <f t="shared" si="154"/>
        <v>0</v>
      </c>
      <c r="AE240" s="317">
        <f t="shared" si="155"/>
        <v>0</v>
      </c>
      <c r="AF240" s="317">
        <f t="shared" si="180"/>
        <v>0</v>
      </c>
      <c r="AG240" s="317">
        <f t="shared" si="181"/>
        <v>0</v>
      </c>
      <c r="AH240" s="317">
        <f t="shared" si="156"/>
        <v>0</v>
      </c>
      <c r="AI240" s="317">
        <f t="shared" si="157"/>
        <v>0</v>
      </c>
      <c r="AJ240" s="317">
        <f t="shared" si="158"/>
        <v>0</v>
      </c>
      <c r="AK240" s="317">
        <f t="shared" si="159"/>
        <v>0</v>
      </c>
      <c r="AL240" s="317">
        <f t="shared" si="160"/>
        <v>0</v>
      </c>
      <c r="AM240" s="317">
        <f t="shared" si="161"/>
        <v>0</v>
      </c>
      <c r="AN240" s="317">
        <f t="shared" si="162"/>
        <v>0</v>
      </c>
      <c r="AO240" s="317">
        <f t="shared" si="163"/>
        <v>0</v>
      </c>
      <c r="AP240" s="317">
        <f t="shared" si="164"/>
        <v>0</v>
      </c>
      <c r="AQ240" s="317">
        <f t="shared" si="165"/>
        <v>0</v>
      </c>
      <c r="AR240" s="317">
        <f t="shared" si="166"/>
        <v>0</v>
      </c>
      <c r="AS240" s="317">
        <f t="shared" si="167"/>
        <v>0</v>
      </c>
      <c r="AT240" s="317">
        <f t="shared" ca="1" si="168"/>
        <v>0</v>
      </c>
      <c r="AU240" s="317">
        <f t="shared" si="169"/>
        <v>0</v>
      </c>
      <c r="AV240" s="317">
        <f t="shared" si="170"/>
        <v>0</v>
      </c>
      <c r="AW240" s="317">
        <f t="shared" si="171"/>
        <v>0</v>
      </c>
      <c r="AX240" s="317">
        <f t="shared" si="172"/>
        <v>0</v>
      </c>
      <c r="AY240" s="317">
        <f t="shared" si="173"/>
        <v>0</v>
      </c>
      <c r="AZ240" s="317">
        <f t="shared" si="174"/>
        <v>0</v>
      </c>
      <c r="BA240" s="317">
        <f t="shared" ca="1" si="175"/>
        <v>0</v>
      </c>
    </row>
    <row r="241" spans="1:53" s="314" customFormat="1" ht="15.75" customHeight="1">
      <c r="A241" s="63">
        <f t="array" aca="1" ref="A241" ca="1">IF(C241&lt;&gt;0,SUM(($C$11:C241&lt;&gt;0)*1),"")</f>
        <v>7</v>
      </c>
      <c r="B241" s="318">
        <v>42277</v>
      </c>
      <c r="C241" s="318" t="s">
        <v>150</v>
      </c>
      <c r="D241" s="318">
        <f t="shared" si="182"/>
        <v>42277</v>
      </c>
      <c r="E241" s="319" t="s">
        <v>156</v>
      </c>
      <c r="F241" s="85">
        <f ca="1">AV243</f>
        <v>0</v>
      </c>
      <c r="G241" s="320" t="s">
        <v>144</v>
      </c>
      <c r="H241" s="320" t="s">
        <v>140</v>
      </c>
      <c r="I241" s="63">
        <f t="shared" ca="1" si="183"/>
        <v>7</v>
      </c>
      <c r="J241" s="317">
        <f t="shared" si="138"/>
        <v>0</v>
      </c>
      <c r="K241" s="317">
        <f t="shared" si="139"/>
        <v>0</v>
      </c>
      <c r="L241" s="317">
        <f t="shared" si="140"/>
        <v>0</v>
      </c>
      <c r="M241" s="317">
        <f t="shared" si="141"/>
        <v>0</v>
      </c>
      <c r="N241" s="317">
        <f t="shared" si="176"/>
        <v>0</v>
      </c>
      <c r="O241" s="317">
        <f t="shared" si="177"/>
        <v>0</v>
      </c>
      <c r="P241" s="317">
        <f t="shared" si="142"/>
        <v>0</v>
      </c>
      <c r="Q241" s="317">
        <f t="shared" si="143"/>
        <v>0</v>
      </c>
      <c r="R241" s="317">
        <f t="shared" si="144"/>
        <v>0</v>
      </c>
      <c r="S241" s="317">
        <f t="shared" si="145"/>
        <v>0</v>
      </c>
      <c r="T241" s="317">
        <f t="shared" si="178"/>
        <v>0</v>
      </c>
      <c r="U241" s="317">
        <f t="shared" si="179"/>
        <v>0</v>
      </c>
      <c r="V241" s="317">
        <f t="shared" si="146"/>
        <v>0</v>
      </c>
      <c r="W241" s="317">
        <f t="shared" si="147"/>
        <v>0</v>
      </c>
      <c r="X241" s="317">
        <f t="shared" si="148"/>
        <v>0</v>
      </c>
      <c r="Y241" s="317">
        <f t="shared" si="149"/>
        <v>0</v>
      </c>
      <c r="Z241" s="317">
        <f t="shared" si="150"/>
        <v>0</v>
      </c>
      <c r="AA241" s="317">
        <f t="shared" si="151"/>
        <v>0</v>
      </c>
      <c r="AB241" s="317">
        <f t="shared" si="152"/>
        <v>0</v>
      </c>
      <c r="AC241" s="317">
        <f t="shared" si="153"/>
        <v>0</v>
      </c>
      <c r="AD241" s="317">
        <f t="shared" si="154"/>
        <v>0</v>
      </c>
      <c r="AE241" s="317">
        <f t="shared" si="155"/>
        <v>0</v>
      </c>
      <c r="AF241" s="317">
        <f t="shared" si="180"/>
        <v>0</v>
      </c>
      <c r="AG241" s="317">
        <f t="shared" si="181"/>
        <v>0</v>
      </c>
      <c r="AH241" s="317">
        <f t="shared" si="156"/>
        <v>0</v>
      </c>
      <c r="AI241" s="317">
        <f t="shared" si="157"/>
        <v>0</v>
      </c>
      <c r="AJ241" s="317">
        <f t="shared" si="158"/>
        <v>0</v>
      </c>
      <c r="AK241" s="317">
        <f t="shared" si="159"/>
        <v>0</v>
      </c>
      <c r="AL241" s="317">
        <f t="shared" si="160"/>
        <v>0</v>
      </c>
      <c r="AM241" s="317">
        <f t="shared" si="161"/>
        <v>0</v>
      </c>
      <c r="AN241" s="317">
        <f t="shared" si="162"/>
        <v>0</v>
      </c>
      <c r="AO241" s="317">
        <f t="shared" si="163"/>
        <v>0</v>
      </c>
      <c r="AP241" s="317">
        <f t="shared" si="164"/>
        <v>0</v>
      </c>
      <c r="AQ241" s="317">
        <f t="shared" si="165"/>
        <v>0</v>
      </c>
      <c r="AR241" s="317">
        <f t="shared" si="166"/>
        <v>0</v>
      </c>
      <c r="AS241" s="317">
        <f t="shared" si="167"/>
        <v>0</v>
      </c>
      <c r="AT241" s="317">
        <f t="shared" si="168"/>
        <v>0</v>
      </c>
      <c r="AU241" s="317">
        <f t="shared" si="169"/>
        <v>0</v>
      </c>
      <c r="AV241" s="317">
        <f t="shared" si="170"/>
        <v>0</v>
      </c>
      <c r="AW241" s="317">
        <f t="shared" ca="1" si="171"/>
        <v>0</v>
      </c>
      <c r="AX241" s="317">
        <f t="shared" si="172"/>
        <v>0</v>
      </c>
      <c r="AY241" s="317">
        <f t="shared" si="173"/>
        <v>0</v>
      </c>
      <c r="AZ241" s="317">
        <f t="shared" ca="1" si="174"/>
        <v>0</v>
      </c>
      <c r="BA241" s="317">
        <f t="shared" si="175"/>
        <v>0</v>
      </c>
    </row>
    <row r="242" spans="1:53" s="314" customFormat="1" ht="15.75" customHeight="1">
      <c r="A242" s="63" t="str">
        <f t="array" ref="A242">IF(C242&lt;&gt;0,SUM(($C$11:C242&lt;&gt;0)*1),"")</f>
        <v/>
      </c>
      <c r="B242" s="278"/>
      <c r="C242" s="321"/>
      <c r="D242" s="278"/>
      <c r="E242" s="316"/>
      <c r="F242" s="65"/>
      <c r="G242" s="322"/>
      <c r="H242" s="322"/>
      <c r="I242" s="63" t="str">
        <f t="shared" si="183"/>
        <v/>
      </c>
      <c r="J242" s="317">
        <f t="shared" si="138"/>
        <v>0</v>
      </c>
      <c r="K242" s="317">
        <f t="shared" si="139"/>
        <v>0</v>
      </c>
      <c r="L242" s="317">
        <f t="shared" si="140"/>
        <v>0</v>
      </c>
      <c r="M242" s="317">
        <f t="shared" si="141"/>
        <v>0</v>
      </c>
      <c r="N242" s="317">
        <f t="shared" si="176"/>
        <v>0</v>
      </c>
      <c r="O242" s="317">
        <f t="shared" si="177"/>
        <v>0</v>
      </c>
      <c r="P242" s="317">
        <f t="shared" si="142"/>
        <v>0</v>
      </c>
      <c r="Q242" s="317">
        <f t="shared" si="143"/>
        <v>0</v>
      </c>
      <c r="R242" s="317">
        <f t="shared" si="144"/>
        <v>0</v>
      </c>
      <c r="S242" s="317">
        <f t="shared" si="145"/>
        <v>0</v>
      </c>
      <c r="T242" s="317">
        <f t="shared" si="178"/>
        <v>0</v>
      </c>
      <c r="U242" s="317">
        <f t="shared" si="179"/>
        <v>0</v>
      </c>
      <c r="V242" s="317">
        <f t="shared" si="146"/>
        <v>0</v>
      </c>
      <c r="W242" s="317">
        <f t="shared" si="147"/>
        <v>0</v>
      </c>
      <c r="X242" s="317">
        <f t="shared" si="148"/>
        <v>0</v>
      </c>
      <c r="Y242" s="317">
        <f t="shared" si="149"/>
        <v>0</v>
      </c>
      <c r="Z242" s="317">
        <f t="shared" si="150"/>
        <v>0</v>
      </c>
      <c r="AA242" s="317">
        <f t="shared" si="151"/>
        <v>0</v>
      </c>
      <c r="AB242" s="317">
        <f t="shared" si="152"/>
        <v>0</v>
      </c>
      <c r="AC242" s="317">
        <f t="shared" si="153"/>
        <v>0</v>
      </c>
      <c r="AD242" s="317">
        <f t="shared" si="154"/>
        <v>0</v>
      </c>
      <c r="AE242" s="317">
        <f t="shared" si="155"/>
        <v>0</v>
      </c>
      <c r="AF242" s="317">
        <f t="shared" si="180"/>
        <v>0</v>
      </c>
      <c r="AG242" s="317">
        <f t="shared" si="181"/>
        <v>0</v>
      </c>
      <c r="AH242" s="317">
        <f t="shared" si="156"/>
        <v>0</v>
      </c>
      <c r="AI242" s="317">
        <f t="shared" si="157"/>
        <v>0</v>
      </c>
      <c r="AJ242" s="317">
        <f t="shared" si="158"/>
        <v>0</v>
      </c>
      <c r="AK242" s="317">
        <f t="shared" si="159"/>
        <v>0</v>
      </c>
      <c r="AL242" s="317">
        <f t="shared" si="160"/>
        <v>0</v>
      </c>
      <c r="AM242" s="317">
        <f t="shared" si="161"/>
        <v>0</v>
      </c>
      <c r="AN242" s="317">
        <f t="shared" si="162"/>
        <v>0</v>
      </c>
      <c r="AO242" s="317">
        <f t="shared" si="163"/>
        <v>0</v>
      </c>
      <c r="AP242" s="317">
        <f t="shared" si="164"/>
        <v>0</v>
      </c>
      <c r="AQ242" s="317">
        <f t="shared" si="165"/>
        <v>0</v>
      </c>
      <c r="AR242" s="317">
        <f t="shared" si="166"/>
        <v>0</v>
      </c>
      <c r="AS242" s="317">
        <f t="shared" si="167"/>
        <v>0</v>
      </c>
      <c r="AT242" s="317">
        <f t="shared" si="168"/>
        <v>0</v>
      </c>
      <c r="AU242" s="317">
        <f t="shared" si="169"/>
        <v>0</v>
      </c>
      <c r="AV242" s="317">
        <f t="shared" si="170"/>
        <v>0</v>
      </c>
      <c r="AW242" s="317">
        <f t="shared" si="171"/>
        <v>0</v>
      </c>
      <c r="AX242" s="317">
        <f t="shared" si="172"/>
        <v>0</v>
      </c>
      <c r="AY242" s="317">
        <f t="shared" si="173"/>
        <v>0</v>
      </c>
      <c r="AZ242" s="317">
        <f t="shared" si="174"/>
        <v>0</v>
      </c>
      <c r="BA242" s="317">
        <f t="shared" si="175"/>
        <v>0</v>
      </c>
    </row>
    <row r="243" spans="1:53" s="314" customFormat="1" ht="15.75" customHeight="1">
      <c r="A243" s="323"/>
      <c r="B243" s="323"/>
      <c r="C243" s="350"/>
      <c r="D243" s="323"/>
      <c r="E243" s="316" t="s">
        <v>264</v>
      </c>
      <c r="F243" s="323"/>
      <c r="G243" s="322"/>
      <c r="H243" s="322"/>
      <c r="I243" s="323"/>
      <c r="J243" s="323">
        <f t="shared" ref="J243:BA243" ca="1" si="184">SUM(J11:J242)</f>
        <v>0</v>
      </c>
      <c r="K243" s="323">
        <f t="shared" ca="1" si="184"/>
        <v>0</v>
      </c>
      <c r="L243" s="323">
        <f t="shared" ca="1" si="184"/>
        <v>0</v>
      </c>
      <c r="M243" s="323">
        <f t="shared" ca="1" si="184"/>
        <v>0</v>
      </c>
      <c r="N243" s="323">
        <f ca="1">SUM(N11:N242)</f>
        <v>0</v>
      </c>
      <c r="O243" s="323">
        <f ca="1">SUM(O11:O242)</f>
        <v>0</v>
      </c>
      <c r="P243" s="323">
        <f ca="1">SUM(P11:P242)</f>
        <v>0</v>
      </c>
      <c r="Q243" s="323">
        <f ca="1">SUM(Q11:Q242)</f>
        <v>0</v>
      </c>
      <c r="R243" s="323">
        <f t="shared" ca="1" si="184"/>
        <v>0</v>
      </c>
      <c r="S243" s="323">
        <f t="shared" ca="1" si="184"/>
        <v>0</v>
      </c>
      <c r="T243" s="323">
        <f t="shared" ca="1" si="184"/>
        <v>0</v>
      </c>
      <c r="U243" s="323">
        <f t="shared" ca="1" si="184"/>
        <v>0</v>
      </c>
      <c r="V243" s="323">
        <f t="shared" ca="1" si="184"/>
        <v>0</v>
      </c>
      <c r="W243" s="323">
        <f t="shared" ca="1" si="184"/>
        <v>24508900</v>
      </c>
      <c r="X243" s="323">
        <f t="shared" ca="1" si="184"/>
        <v>0</v>
      </c>
      <c r="Y243" s="323">
        <f t="shared" ca="1" si="184"/>
        <v>0</v>
      </c>
      <c r="Z243" s="323">
        <f t="shared" ca="1" si="184"/>
        <v>0</v>
      </c>
      <c r="AA243" s="323">
        <f t="shared" ca="1" si="184"/>
        <v>0</v>
      </c>
      <c r="AB243" s="323">
        <f t="shared" ca="1" si="184"/>
        <v>0</v>
      </c>
      <c r="AC243" s="323">
        <f t="shared" ca="1" si="184"/>
        <v>0</v>
      </c>
      <c r="AD243" s="323">
        <f t="shared" ca="1" si="184"/>
        <v>0</v>
      </c>
      <c r="AE243" s="323">
        <f t="shared" ca="1" si="184"/>
        <v>0</v>
      </c>
      <c r="AF243" s="323">
        <f ca="1">SUM(AF11:AF242)</f>
        <v>0</v>
      </c>
      <c r="AG243" s="323">
        <f ca="1">SUM(AG11:AG242)</f>
        <v>0</v>
      </c>
      <c r="AH243" s="323">
        <f t="shared" ca="1" si="184"/>
        <v>0</v>
      </c>
      <c r="AI243" s="323">
        <f t="shared" ca="1" si="184"/>
        <v>0</v>
      </c>
      <c r="AJ243" s="323">
        <f t="shared" ca="1" si="184"/>
        <v>0</v>
      </c>
      <c r="AK243" s="323">
        <f t="shared" ca="1" si="184"/>
        <v>0</v>
      </c>
      <c r="AL243" s="323">
        <f t="shared" ca="1" si="184"/>
        <v>10580244</v>
      </c>
      <c r="AM243" s="323">
        <f t="shared" ca="1" si="184"/>
        <v>0</v>
      </c>
      <c r="AN243" s="323">
        <f t="shared" ca="1" si="184"/>
        <v>0</v>
      </c>
      <c r="AO243" s="323">
        <f t="shared" ca="1" si="184"/>
        <v>0</v>
      </c>
      <c r="AP243" s="323">
        <f t="shared" ca="1" si="184"/>
        <v>0</v>
      </c>
      <c r="AQ243" s="323">
        <f t="shared" ca="1" si="184"/>
        <v>0</v>
      </c>
      <c r="AR243" s="323">
        <f t="shared" ca="1" si="184"/>
        <v>24508900</v>
      </c>
      <c r="AS243" s="323">
        <f t="shared" ca="1" si="184"/>
        <v>24508900</v>
      </c>
      <c r="AT243" s="323">
        <f t="shared" ca="1" si="184"/>
        <v>0</v>
      </c>
      <c r="AU243" s="323">
        <f t="shared" ca="1" si="184"/>
        <v>0</v>
      </c>
      <c r="AV243" s="323">
        <f t="shared" ca="1" si="184"/>
        <v>0</v>
      </c>
      <c r="AW243" s="323">
        <f t="shared" ca="1" si="184"/>
        <v>0</v>
      </c>
      <c r="AX243" s="323">
        <f t="shared" ca="1" si="184"/>
        <v>0</v>
      </c>
      <c r="AY243" s="323">
        <f t="shared" ca="1" si="184"/>
        <v>0</v>
      </c>
      <c r="AZ243" s="323">
        <f t="shared" ca="1" si="184"/>
        <v>24508900</v>
      </c>
      <c r="BA243" s="323">
        <f t="shared" ca="1" si="184"/>
        <v>10580244</v>
      </c>
    </row>
    <row r="244" spans="1:53" s="314" customFormat="1" ht="15.75" customHeight="1">
      <c r="A244" s="324"/>
      <c r="B244" s="324"/>
      <c r="C244" s="324"/>
      <c r="D244" s="324"/>
      <c r="E244" s="325" t="s">
        <v>307</v>
      </c>
      <c r="F244" s="324"/>
      <c r="G244" s="326"/>
      <c r="H244" s="326"/>
      <c r="I244" s="324"/>
      <c r="J244" s="346">
        <f ca="1">MAX(J10+J243-K10-K243,0)</f>
        <v>1332078410</v>
      </c>
      <c r="K244" s="346">
        <f ca="1">MAX(K10+K243-J10-J243,0)</f>
        <v>0</v>
      </c>
      <c r="L244" s="346">
        <f ca="1">MAX(L10+L243-M10-M243,0)</f>
        <v>1694774692</v>
      </c>
      <c r="M244" s="346">
        <f ca="1">MAX(M10+M243-L10-L243,0)</f>
        <v>0</v>
      </c>
      <c r="N244" s="346">
        <f ca="1">MAX(N10+N243-O10-O243,0)</f>
        <v>0</v>
      </c>
      <c r="O244" s="346">
        <f ca="1">MAX(O10+O243-N10-N243,0)</f>
        <v>0</v>
      </c>
      <c r="P244" s="346">
        <f ca="1">MAX(P10+P243-Q10-Q243,0)</f>
        <v>0</v>
      </c>
      <c r="Q244" s="346">
        <f ca="1">MAX(Q10+Q243-P10-P243,0)</f>
        <v>0</v>
      </c>
      <c r="R244" s="346">
        <f ca="1">MAX(R10+R243-S10-S243,0)</f>
        <v>0</v>
      </c>
      <c r="S244" s="346">
        <f ca="1">MAX(S10+S243-R10-R243,0)</f>
        <v>0</v>
      </c>
      <c r="T244" s="346">
        <f ca="1">MAX(T10+T243-U10-U243,0)</f>
        <v>22610074302</v>
      </c>
      <c r="U244" s="346">
        <f ca="1">MAX(U10+U243-T10-T243,0)</f>
        <v>0</v>
      </c>
      <c r="V244" s="346">
        <f ca="1">MAX(V10+V243-W10-W243,0)</f>
        <v>4275031984</v>
      </c>
      <c r="W244" s="346">
        <f ca="1">MAX(W10+W243-V10-V243,0)</f>
        <v>0</v>
      </c>
      <c r="X244" s="346">
        <f ca="1">MAX(X10+X243-Y10-Y243,0)</f>
        <v>0</v>
      </c>
      <c r="Y244" s="346">
        <f ca="1">MAX(Y10+Y243-X10-X243,0)</f>
        <v>0</v>
      </c>
      <c r="Z244" s="346">
        <f ca="1">MAX(Z10+Z243-AA10-AA243,0)</f>
        <v>0</v>
      </c>
      <c r="AA244" s="346">
        <f ca="1">MAX(AA10+AA243-Z10-Z243,0)</f>
        <v>0</v>
      </c>
      <c r="AB244" s="346">
        <f ca="1">MAX(AB10+AB243-AC10-AC243,0)</f>
        <v>0</v>
      </c>
      <c r="AC244" s="346">
        <f ca="1">MAX(AC10+AC243-AB10-AB243,0)</f>
        <v>5000000000</v>
      </c>
      <c r="AD244" s="346">
        <f ca="1">MAX(AD10+AD243-AE10-AE243,0)</f>
        <v>0</v>
      </c>
      <c r="AE244" s="346">
        <f ca="1">MAX(AE10+AE243-AD10-AD243,0)</f>
        <v>20000000000</v>
      </c>
      <c r="AF244" s="346">
        <f ca="1">MAX(AF10+AF243-AG10-AG243,0)</f>
        <v>0</v>
      </c>
      <c r="AG244" s="346">
        <f ca="1">MAX(AG10+AG243-AF10-AF243,0)</f>
        <v>1982640000</v>
      </c>
      <c r="AH244" s="346">
        <f ca="1">MAX(AH10+AH243-AI10-AI243,0)</f>
        <v>0</v>
      </c>
      <c r="AI244" s="346">
        <f ca="1">MAX(AI10+AI243-AH10-AH243,0)</f>
        <v>4000000000</v>
      </c>
      <c r="AJ244" s="346">
        <f ca="1">MAX(AJ10+AJ243-AK10-AK243,0)</f>
        <v>583066238</v>
      </c>
      <c r="AK244" s="346">
        <f ca="1">MAX(AK10+AK243-AJ10-AJ243,0)</f>
        <v>0</v>
      </c>
      <c r="AL244" s="346">
        <f ca="1">MAX(AL10+AL243-AM10-AM243,0)</f>
        <v>54726467</v>
      </c>
      <c r="AM244" s="346">
        <f ca="1">MAX(AM10+AM243-AL10-AL243,0)</f>
        <v>0</v>
      </c>
      <c r="AN244" s="346">
        <f ca="1">MAX(AN10+AN243-AO10-AO243,0)</f>
        <v>0</v>
      </c>
      <c r="AO244" s="346">
        <f ca="1">MAX(AO10+AO243-AN10-AN243,0)</f>
        <v>0</v>
      </c>
      <c r="AP244" s="346">
        <f ca="1">MAX(AP10+AP243-AQ10-AQ243,0)</f>
        <v>0</v>
      </c>
      <c r="AQ244" s="346">
        <f ca="1">MAX(AQ10+AQ243-AP10-AP243,0)</f>
        <v>0</v>
      </c>
      <c r="AR244" s="346">
        <f ca="1">MAX(AR10+AR243-AS10-AS243,0)</f>
        <v>0</v>
      </c>
      <c r="AS244" s="346">
        <f ca="1">MAX(AS10+AS243-AR10-AR243,0)</f>
        <v>0</v>
      </c>
      <c r="AT244" s="346">
        <f ca="1">MAX(AT10+AT243-AU10-AU243,0)</f>
        <v>0</v>
      </c>
      <c r="AU244" s="346">
        <f ca="1">MAX(AU10+AU243-AT10-AT243,0)</f>
        <v>0</v>
      </c>
      <c r="AV244" s="346">
        <f ca="1">MAX(AV10+AV243-AW10-AW243,0)</f>
        <v>0</v>
      </c>
      <c r="AW244" s="346">
        <f ca="1">MAX(AW10+AW243-AV10-AV243,0)</f>
        <v>0</v>
      </c>
      <c r="AX244" s="346">
        <f ca="1">MAX(AX10+AX243-AY10-AY243,0)</f>
        <v>0</v>
      </c>
      <c r="AY244" s="346">
        <f ca="1">MAX(AY10+AY243-AX10-AX243,0)</f>
        <v>0</v>
      </c>
      <c r="AZ244" s="346">
        <f ca="1">MAX(AZ10+AZ243-BA10-BA243,0)</f>
        <v>0</v>
      </c>
      <c r="BA244" s="346">
        <f ca="1">MAX(BA10+BA243-AZ10-AZ243,0)</f>
        <v>19726687</v>
      </c>
    </row>
    <row r="245" spans="1:53" s="314" customFormat="1" ht="15.75" customHeight="1">
      <c r="A245" s="328"/>
      <c r="B245" s="328"/>
      <c r="C245" s="329"/>
      <c r="D245" s="328"/>
      <c r="E245" s="330" t="s">
        <v>308</v>
      </c>
      <c r="F245" s="328"/>
      <c r="G245" s="331"/>
      <c r="H245" s="331"/>
      <c r="I245" s="328"/>
      <c r="J245" s="328">
        <f ca="1">J243+'SC-II'!J157</f>
        <v>0</v>
      </c>
      <c r="K245" s="328">
        <f ca="1">K243+'SC-II'!K157</f>
        <v>10087000</v>
      </c>
      <c r="L245" s="328">
        <f ca="1">L243+'SC-II'!L157</f>
        <v>0</v>
      </c>
      <c r="M245" s="328">
        <f ca="1">M243+'SC-II'!M157</f>
        <v>0</v>
      </c>
      <c r="N245" s="328">
        <f ca="1">N243+'SC-II'!N157</f>
        <v>0</v>
      </c>
      <c r="O245" s="328">
        <f ca="1">O243+'SC-II'!O157</f>
        <v>0</v>
      </c>
      <c r="P245" s="328">
        <f ca="1">P243+'SC-II'!P157</f>
        <v>0</v>
      </c>
      <c r="Q245" s="328">
        <f ca="1">Q243+'SC-II'!Q157</f>
        <v>0</v>
      </c>
      <c r="R245" s="328">
        <f ca="1">R243+'SC-II'!R157</f>
        <v>0</v>
      </c>
      <c r="S245" s="328">
        <f ca="1">S243+'SC-II'!S157</f>
        <v>0</v>
      </c>
      <c r="T245" s="328">
        <f ca="1">T243+'SC-II'!T157</f>
        <v>10087000</v>
      </c>
      <c r="U245" s="328">
        <f ca="1">U243+'SC-II'!U157</f>
        <v>0</v>
      </c>
      <c r="V245" s="328">
        <f ca="1">V243+'SC-II'!V157</f>
        <v>0</v>
      </c>
      <c r="W245" s="328">
        <f ca="1">W243+'SC-II'!W157</f>
        <v>34999780</v>
      </c>
      <c r="X245" s="328">
        <f ca="1">X243+'SC-II'!X157</f>
        <v>0</v>
      </c>
      <c r="Y245" s="328">
        <f ca="1">Y243+'SC-II'!Y157</f>
        <v>0</v>
      </c>
      <c r="Z245" s="328">
        <f ca="1">Z243+'SC-II'!Z157</f>
        <v>0</v>
      </c>
      <c r="AA245" s="328">
        <f ca="1">AA243+'SC-II'!AA157</f>
        <v>0</v>
      </c>
      <c r="AB245" s="328">
        <f ca="1">AB243+'SC-II'!AB157</f>
        <v>0</v>
      </c>
      <c r="AC245" s="328">
        <f ca="1">AC243+'SC-II'!AC157</f>
        <v>0</v>
      </c>
      <c r="AD245" s="328">
        <f ca="1">AD243+'SC-II'!AD157</f>
        <v>0</v>
      </c>
      <c r="AE245" s="328">
        <f ca="1">AE243+'SC-II'!AE157</f>
        <v>0</v>
      </c>
      <c r="AF245" s="328">
        <f ca="1">AF243+'SC-II'!AF157</f>
        <v>0</v>
      </c>
      <c r="AG245" s="328">
        <f ca="1">AG243+'SC-II'!AG157</f>
        <v>0</v>
      </c>
      <c r="AH245" s="328">
        <f ca="1">AH243+'SC-II'!AH157</f>
        <v>0</v>
      </c>
      <c r="AI245" s="328">
        <f ca="1">AI243+'SC-II'!AI157</f>
        <v>0</v>
      </c>
      <c r="AJ245" s="328">
        <f ca="1">AJ243+'SC-II'!AJ157</f>
        <v>359476733</v>
      </c>
      <c r="AK245" s="328">
        <f ca="1">AK243+'SC-II'!AK157</f>
        <v>0</v>
      </c>
      <c r="AL245" s="328">
        <f ca="1">AL243+'SC-II'!AL157</f>
        <v>54726467</v>
      </c>
      <c r="AM245" s="328">
        <f ca="1">AM243+'SC-II'!AM157</f>
        <v>359476733</v>
      </c>
      <c r="AN245" s="328">
        <f ca="1">AN243+'SC-II'!AN157</f>
        <v>0</v>
      </c>
      <c r="AO245" s="328">
        <f ca="1">AO243+'SC-II'!AO157</f>
        <v>0</v>
      </c>
      <c r="AP245" s="328">
        <f ca="1">AP243+'SC-II'!AP157</f>
        <v>0</v>
      </c>
      <c r="AQ245" s="328">
        <f ca="1">AQ243+'SC-II'!AQ157</f>
        <v>0</v>
      </c>
      <c r="AR245" s="328">
        <f ca="1">AR243+'SC-II'!AR157</f>
        <v>34999780</v>
      </c>
      <c r="AS245" s="328">
        <f ca="1">AS243+'SC-II'!AS157</f>
        <v>34999780</v>
      </c>
      <c r="AT245" s="328">
        <f ca="1">AT243+'SC-II'!AT157</f>
        <v>0</v>
      </c>
      <c r="AU245" s="328">
        <f ca="1">AU243+'SC-II'!AU157</f>
        <v>0</v>
      </c>
      <c r="AV245" s="328">
        <f ca="1">AV243+'SC-II'!AV157</f>
        <v>0</v>
      </c>
      <c r="AW245" s="328">
        <f ca="1">AW243+'SC-II'!AW157</f>
        <v>0</v>
      </c>
      <c r="AX245" s="328">
        <f ca="1">AX243+'SC-II'!AX157</f>
        <v>0</v>
      </c>
      <c r="AY245" s="328">
        <f ca="1">AY243+'SC-II'!AY157</f>
        <v>0</v>
      </c>
      <c r="AZ245" s="328">
        <f ca="1">AZ243+'SC-II'!AZ157</f>
        <v>34999780</v>
      </c>
      <c r="BA245" s="328">
        <f ca="1">BA243+'SC-II'!BA157</f>
        <v>54726467</v>
      </c>
    </row>
    <row r="246" spans="1:53" ht="12" customHeight="1">
      <c r="B246" s="333"/>
      <c r="C246" s="334"/>
      <c r="D246" s="334"/>
      <c r="E246" s="334"/>
      <c r="F246" s="334"/>
      <c r="G246" s="335"/>
      <c r="H246" s="335"/>
      <c r="I246" s="334"/>
      <c r="J246" s="334"/>
      <c r="K246" s="334"/>
      <c r="AR246" s="333"/>
      <c r="AS246" s="333"/>
      <c r="AT246" s="334"/>
      <c r="AU246" s="334"/>
      <c r="AV246" s="334"/>
      <c r="AW246" s="335"/>
      <c r="AX246" s="335"/>
      <c r="AY246" s="335"/>
      <c r="AZ246" s="335"/>
      <c r="BA246" s="351"/>
    </row>
    <row r="247" spans="1:53">
      <c r="F247" s="292"/>
      <c r="M247" s="336"/>
      <c r="O247" s="336"/>
      <c r="Q247" s="336"/>
      <c r="R247" s="336"/>
      <c r="S247" s="336"/>
      <c r="T247" s="336"/>
      <c r="U247" s="336"/>
      <c r="V247" s="336"/>
      <c r="AL247" s="337" t="s">
        <v>339</v>
      </c>
      <c r="AM247" s="338"/>
      <c r="AN247" s="338"/>
      <c r="AO247" s="338"/>
      <c r="AP247" s="338"/>
      <c r="AQ247" s="338"/>
      <c r="AR247" s="339"/>
      <c r="AS247" s="339"/>
      <c r="AT247" s="338"/>
    </row>
    <row r="248" spans="1:53">
      <c r="F248" s="292"/>
      <c r="M248" s="336"/>
      <c r="O248" s="336"/>
      <c r="Q248" s="336"/>
      <c r="R248" s="336"/>
      <c r="S248" s="336"/>
      <c r="T248" s="336"/>
      <c r="U248" s="336"/>
      <c r="V248" s="336"/>
      <c r="AL248" s="340" t="s">
        <v>314</v>
      </c>
      <c r="AM248" s="338"/>
      <c r="AN248" s="338"/>
      <c r="AO248" s="338"/>
      <c r="AP248" s="338"/>
      <c r="AQ248" s="338"/>
      <c r="AR248" s="339"/>
      <c r="AS248" s="339"/>
      <c r="AT248" s="338"/>
    </row>
    <row r="249" spans="1:53">
      <c r="F249" s="292"/>
      <c r="M249" s="336"/>
      <c r="O249" s="336"/>
      <c r="Q249" s="336"/>
      <c r="R249" s="336"/>
      <c r="S249" s="336"/>
      <c r="T249" s="336"/>
      <c r="U249" s="336"/>
      <c r="V249" s="336"/>
      <c r="AL249" s="338"/>
      <c r="AM249" s="338"/>
      <c r="AN249" s="338"/>
      <c r="AO249" s="338"/>
      <c r="AP249" s="338"/>
      <c r="AQ249" s="338"/>
      <c r="AR249" s="338"/>
      <c r="AS249" s="338"/>
      <c r="AT249" s="339"/>
    </row>
    <row r="250" spans="1:53">
      <c r="F250" s="292"/>
      <c r="M250" s="336"/>
      <c r="O250" s="336"/>
      <c r="Q250" s="336"/>
      <c r="R250" s="336"/>
      <c r="S250" s="336"/>
      <c r="T250" s="336"/>
      <c r="U250" s="336"/>
      <c r="V250" s="336"/>
      <c r="AL250" s="338"/>
      <c r="AM250" s="338"/>
      <c r="AN250" s="338"/>
      <c r="AO250" s="338"/>
      <c r="AP250" s="338"/>
      <c r="AQ250" s="338"/>
      <c r="AR250" s="338"/>
      <c r="AS250" s="338"/>
      <c r="AT250" s="339"/>
      <c r="AZ250" s="341" t="str">
        <f>"Ngày 30 tháng 09 năm 2015 "</f>
        <v xml:space="preserve">Ngày 30 tháng 09 năm 2015 </v>
      </c>
    </row>
    <row r="251" spans="1:53">
      <c r="F251" s="292"/>
      <c r="M251" s="336"/>
      <c r="O251" s="336"/>
      <c r="Q251" s="336"/>
      <c r="R251" s="336"/>
      <c r="S251" s="336"/>
      <c r="T251" s="336"/>
      <c r="U251" s="336"/>
      <c r="V251" s="336"/>
      <c r="AL251" s="338"/>
      <c r="AM251" s="342" t="s">
        <v>14</v>
      </c>
      <c r="AN251" s="338"/>
      <c r="AO251" s="338"/>
      <c r="AP251" s="338"/>
      <c r="AQ251" s="338"/>
      <c r="AR251" s="338"/>
      <c r="AS251" s="343" t="s">
        <v>15</v>
      </c>
      <c r="AT251" s="339"/>
      <c r="AZ251" s="342" t="s">
        <v>206</v>
      </c>
    </row>
    <row r="252" spans="1:53">
      <c r="F252" s="292"/>
      <c r="M252" s="336"/>
      <c r="O252" s="336"/>
      <c r="Q252" s="336"/>
      <c r="R252" s="336"/>
      <c r="S252" s="336"/>
      <c r="T252" s="336"/>
      <c r="U252" s="336"/>
      <c r="V252" s="336"/>
      <c r="AL252" s="338"/>
      <c r="AM252" s="344" t="s">
        <v>16</v>
      </c>
      <c r="AN252" s="338"/>
      <c r="AO252" s="338"/>
      <c r="AP252" s="338"/>
      <c r="AQ252" s="338"/>
      <c r="AR252" s="338"/>
      <c r="AS252" s="345" t="s">
        <v>16</v>
      </c>
      <c r="AT252" s="339"/>
      <c r="AZ252" s="344" t="s">
        <v>241</v>
      </c>
    </row>
    <row r="253" spans="1:53">
      <c r="F253" s="292"/>
      <c r="M253" s="336"/>
      <c r="O253" s="336"/>
      <c r="Q253" s="336"/>
      <c r="R253" s="336"/>
      <c r="S253" s="336"/>
      <c r="T253" s="336"/>
      <c r="U253" s="336"/>
      <c r="V253" s="336"/>
      <c r="AL253" s="338"/>
      <c r="AM253" s="338"/>
      <c r="AN253" s="338"/>
      <c r="AO253" s="338"/>
      <c r="AP253" s="338"/>
      <c r="AQ253" s="338"/>
      <c r="AR253" s="338"/>
      <c r="AS253" s="338"/>
      <c r="AT253" s="339"/>
      <c r="AZ253" s="338"/>
    </row>
    <row r="254" spans="1:53">
      <c r="F254" s="292"/>
      <c r="M254" s="336"/>
      <c r="O254" s="336"/>
      <c r="Q254" s="336"/>
      <c r="R254" s="336"/>
      <c r="S254" s="336"/>
      <c r="T254" s="336"/>
      <c r="U254" s="336"/>
      <c r="V254" s="336"/>
      <c r="AZ254" s="338"/>
    </row>
    <row r="255" spans="1:53">
      <c r="F255" s="292"/>
      <c r="M255" s="336"/>
      <c r="O255" s="336"/>
      <c r="Q255" s="336"/>
      <c r="R255" s="336"/>
      <c r="S255" s="336"/>
      <c r="T255" s="336"/>
      <c r="U255" s="336"/>
      <c r="V255" s="336"/>
    </row>
    <row r="256" spans="1:53">
      <c r="F256" s="292"/>
      <c r="M256" s="336"/>
      <c r="O256" s="336"/>
      <c r="Q256" s="336"/>
      <c r="R256" s="336"/>
      <c r="S256" s="336"/>
      <c r="T256" s="336"/>
      <c r="U256" s="336"/>
      <c r="V256" s="336"/>
    </row>
    <row r="257" spans="6:22">
      <c r="F257" s="292"/>
      <c r="M257" s="336"/>
      <c r="O257" s="336"/>
      <c r="Q257" s="336"/>
      <c r="R257" s="336"/>
      <c r="S257" s="336"/>
      <c r="T257" s="336"/>
      <c r="U257" s="336"/>
      <c r="V257" s="336"/>
    </row>
    <row r="258" spans="6:22">
      <c r="F258" s="292"/>
      <c r="M258" s="336"/>
      <c r="O258" s="336"/>
      <c r="Q258" s="336"/>
      <c r="R258" s="336"/>
      <c r="S258" s="336"/>
      <c r="T258" s="336"/>
      <c r="U258" s="336"/>
      <c r="V258" s="336"/>
    </row>
    <row r="259" spans="6:22">
      <c r="F259" s="292"/>
      <c r="M259" s="336"/>
      <c r="O259" s="336"/>
      <c r="Q259" s="336"/>
      <c r="R259" s="336"/>
      <c r="S259" s="336"/>
      <c r="T259" s="336"/>
      <c r="U259" s="336"/>
      <c r="V259" s="336"/>
    </row>
    <row r="260" spans="6:22">
      <c r="F260" s="292"/>
      <c r="M260" s="336"/>
      <c r="O260" s="336"/>
      <c r="Q260" s="336"/>
      <c r="R260" s="336"/>
      <c r="S260" s="336"/>
      <c r="T260" s="336"/>
      <c r="U260" s="336"/>
      <c r="V260" s="336"/>
    </row>
    <row r="269" spans="6:22">
      <c r="R269" s="336"/>
    </row>
    <row r="270" spans="6:22">
      <c r="R270" s="336"/>
    </row>
    <row r="271" spans="6:22">
      <c r="M271" s="336"/>
      <c r="O271" s="336"/>
      <c r="P271" s="336"/>
      <c r="Q271" s="336"/>
      <c r="R271" s="336"/>
    </row>
    <row r="272" spans="6:22">
      <c r="M272" s="336"/>
      <c r="O272" s="336"/>
      <c r="P272" s="336"/>
      <c r="Q272" s="336"/>
      <c r="R272" s="336"/>
    </row>
    <row r="273" spans="13:18">
      <c r="M273" s="336"/>
      <c r="O273" s="336"/>
      <c r="P273" s="336"/>
      <c r="Q273" s="336"/>
    </row>
    <row r="274" spans="13:18">
      <c r="M274" s="336"/>
      <c r="O274" s="336"/>
      <c r="P274" s="336"/>
      <c r="Q274" s="336"/>
    </row>
    <row r="276" spans="13:18">
      <c r="M276" s="336"/>
      <c r="O276" s="336"/>
      <c r="P276" s="336"/>
      <c r="Q276" s="336"/>
      <c r="R276" s="336"/>
    </row>
    <row r="277" spans="13:18">
      <c r="M277" s="336"/>
      <c r="O277" s="336"/>
      <c r="P277" s="336"/>
      <c r="Q277" s="336"/>
      <c r="R277" s="336"/>
    </row>
    <row r="284" spans="13:18">
      <c r="M284" s="336"/>
      <c r="O284" s="336"/>
      <c r="P284" s="336"/>
      <c r="Q284" s="336"/>
      <c r="R284" s="336"/>
    </row>
    <row r="285" spans="13:18">
      <c r="M285" s="336"/>
      <c r="O285" s="336"/>
      <c r="P285" s="336"/>
      <c r="Q285" s="336"/>
      <c r="R285" s="336"/>
    </row>
    <row r="286" spans="13:18">
      <c r="M286" s="336"/>
      <c r="O286" s="336"/>
      <c r="P286" s="336"/>
      <c r="Q286" s="336"/>
      <c r="R286" s="336"/>
    </row>
    <row r="290" spans="13:18">
      <c r="M290" s="336"/>
      <c r="O290" s="336"/>
      <c r="P290" s="336"/>
      <c r="Q290" s="336"/>
      <c r="R290" s="336"/>
    </row>
    <row r="291" spans="13:18">
      <c r="M291" s="336"/>
      <c r="O291" s="336"/>
      <c r="P291" s="336"/>
      <c r="Q291" s="336"/>
      <c r="R291" s="336"/>
    </row>
    <row r="292" spans="13:18">
      <c r="M292" s="336"/>
      <c r="O292" s="336"/>
      <c r="P292" s="336"/>
      <c r="Q292" s="336"/>
      <c r="R292" s="336"/>
    </row>
    <row r="293" spans="13:18">
      <c r="M293" s="336"/>
      <c r="O293" s="336"/>
      <c r="P293" s="336"/>
      <c r="Q293" s="336"/>
      <c r="R293" s="336"/>
    </row>
    <row r="294" spans="13:18">
      <c r="M294" s="336"/>
      <c r="O294" s="336"/>
      <c r="P294" s="336"/>
      <c r="Q294" s="336"/>
      <c r="R294" s="336"/>
    </row>
    <row r="295" spans="13:18">
      <c r="M295" s="336"/>
      <c r="O295" s="336"/>
      <c r="P295" s="336"/>
      <c r="Q295" s="336"/>
      <c r="R295" s="336"/>
    </row>
    <row r="296" spans="13:18">
      <c r="M296" s="336"/>
      <c r="O296" s="336"/>
      <c r="P296" s="336"/>
      <c r="Q296" s="336"/>
      <c r="R296" s="336"/>
    </row>
    <row r="297" spans="13:18">
      <c r="M297" s="336"/>
      <c r="O297" s="336"/>
      <c r="P297" s="336"/>
      <c r="Q297" s="336"/>
      <c r="R297" s="336"/>
    </row>
    <row r="298" spans="13:18">
      <c r="M298" s="336"/>
      <c r="O298" s="336"/>
      <c r="P298" s="336"/>
      <c r="Q298" s="336"/>
      <c r="R298" s="336"/>
    </row>
    <row r="299" spans="13:18">
      <c r="M299" s="336"/>
      <c r="O299" s="336"/>
      <c r="P299" s="336"/>
      <c r="Q299" s="336"/>
      <c r="R299" s="336"/>
    </row>
    <row r="300" spans="13:18">
      <c r="M300" s="336"/>
      <c r="O300" s="336"/>
      <c r="P300" s="336"/>
      <c r="Q300" s="336"/>
      <c r="R300" s="336"/>
    </row>
    <row r="301" spans="13:18">
      <c r="M301" s="336"/>
      <c r="O301" s="336"/>
      <c r="P301" s="336"/>
      <c r="Q301" s="336"/>
      <c r="R301" s="336"/>
    </row>
    <row r="302" spans="13:18">
      <c r="M302" s="336"/>
      <c r="O302" s="336"/>
      <c r="P302" s="336"/>
      <c r="Q302" s="336"/>
      <c r="R302" s="336"/>
    </row>
    <row r="303" spans="13:18">
      <c r="M303" s="336"/>
      <c r="O303" s="336"/>
      <c r="P303" s="336"/>
      <c r="Q303" s="336"/>
      <c r="R303" s="336"/>
    </row>
    <row r="304" spans="13:18">
      <c r="M304" s="336"/>
      <c r="O304" s="336"/>
      <c r="P304" s="336"/>
      <c r="Q304" s="336"/>
      <c r="R304" s="336"/>
    </row>
    <row r="305" spans="13:18">
      <c r="M305" s="336"/>
      <c r="O305" s="336"/>
      <c r="P305" s="336"/>
      <c r="Q305" s="336"/>
      <c r="R305" s="336"/>
    </row>
    <row r="306" spans="13:18">
      <c r="M306" s="336"/>
      <c r="O306" s="336"/>
      <c r="P306" s="336"/>
      <c r="Q306" s="336"/>
      <c r="R306" s="336"/>
    </row>
    <row r="307" spans="13:18">
      <c r="M307" s="336"/>
      <c r="O307" s="336"/>
      <c r="P307" s="336"/>
      <c r="Q307" s="336"/>
      <c r="R307" s="336"/>
    </row>
    <row r="308" spans="13:18">
      <c r="M308" s="336"/>
      <c r="O308" s="336"/>
      <c r="P308" s="336"/>
      <c r="Q308" s="336"/>
      <c r="R308" s="336"/>
    </row>
    <row r="309" spans="13:18">
      <c r="M309" s="336"/>
      <c r="O309" s="336"/>
      <c r="P309" s="336"/>
      <c r="Q309" s="336"/>
      <c r="R309" s="336"/>
    </row>
    <row r="310" spans="13:18">
      <c r="M310" s="336"/>
      <c r="O310" s="336"/>
      <c r="P310" s="336"/>
      <c r="Q310" s="336"/>
      <c r="R310" s="336"/>
    </row>
    <row r="311" spans="13:18">
      <c r="M311" s="336"/>
      <c r="O311" s="336"/>
      <c r="P311" s="336"/>
      <c r="Q311" s="336"/>
      <c r="R311" s="336"/>
    </row>
    <row r="312" spans="13:18">
      <c r="M312" s="336"/>
      <c r="O312" s="336"/>
      <c r="P312" s="336"/>
      <c r="Q312" s="336"/>
      <c r="R312" s="336"/>
    </row>
    <row r="313" spans="13:18">
      <c r="M313" s="336"/>
      <c r="O313" s="336"/>
      <c r="P313" s="336"/>
      <c r="Q313" s="336"/>
      <c r="R313" s="336"/>
    </row>
    <row r="314" spans="13:18">
      <c r="M314" s="336"/>
      <c r="O314" s="336"/>
      <c r="P314" s="336"/>
      <c r="Q314" s="336"/>
      <c r="R314" s="336"/>
    </row>
    <row r="315" spans="13:18">
      <c r="M315" s="336"/>
      <c r="O315" s="336"/>
      <c r="P315" s="336"/>
      <c r="Q315" s="336"/>
      <c r="R315" s="336"/>
    </row>
    <row r="316" spans="13:18">
      <c r="M316" s="336"/>
      <c r="O316" s="336"/>
      <c r="P316" s="336"/>
      <c r="Q316" s="336"/>
      <c r="R316" s="336"/>
    </row>
    <row r="317" spans="13:18">
      <c r="M317" s="336"/>
      <c r="O317" s="336"/>
      <c r="P317" s="336"/>
      <c r="Q317" s="336"/>
      <c r="R317" s="336"/>
    </row>
    <row r="318" spans="13:18">
      <c r="M318" s="336"/>
      <c r="O318" s="336"/>
      <c r="P318" s="336"/>
      <c r="Q318" s="336"/>
      <c r="R318" s="336"/>
    </row>
    <row r="319" spans="13:18">
      <c r="M319" s="336"/>
      <c r="O319" s="336"/>
      <c r="P319" s="336"/>
      <c r="Q319" s="336"/>
      <c r="R319" s="336"/>
    </row>
    <row r="320" spans="13:18">
      <c r="M320" s="336"/>
      <c r="O320" s="336"/>
      <c r="P320" s="336"/>
      <c r="Q320" s="336"/>
      <c r="R320" s="336"/>
    </row>
    <row r="321" spans="13:18">
      <c r="M321" s="336"/>
      <c r="O321" s="336"/>
      <c r="P321" s="336"/>
      <c r="Q321" s="336"/>
      <c r="R321" s="336"/>
    </row>
    <row r="322" spans="13:18">
      <c r="M322" s="336"/>
      <c r="O322" s="336"/>
      <c r="P322" s="336"/>
      <c r="Q322" s="336"/>
      <c r="R322" s="336"/>
    </row>
    <row r="323" spans="13:18">
      <c r="M323" s="336"/>
      <c r="O323" s="336"/>
      <c r="P323" s="336"/>
      <c r="Q323" s="336"/>
      <c r="R323" s="336"/>
    </row>
    <row r="324" spans="13:18">
      <c r="M324" s="336"/>
      <c r="O324" s="336"/>
      <c r="P324" s="336"/>
      <c r="Q324" s="336"/>
      <c r="R324" s="336"/>
    </row>
    <row r="325" spans="13:18">
      <c r="M325" s="336"/>
      <c r="O325" s="336"/>
      <c r="P325" s="336"/>
      <c r="Q325" s="336"/>
      <c r="R325" s="336"/>
    </row>
    <row r="326" spans="13:18">
      <c r="M326" s="336"/>
      <c r="O326" s="336"/>
      <c r="P326" s="336"/>
      <c r="Q326" s="336"/>
      <c r="R326" s="336"/>
    </row>
    <row r="327" spans="13:18">
      <c r="M327" s="336"/>
      <c r="O327" s="336"/>
      <c r="P327" s="336"/>
      <c r="Q327" s="336"/>
      <c r="R327" s="336"/>
    </row>
    <row r="328" spans="13:18">
      <c r="M328" s="336"/>
      <c r="O328" s="336"/>
      <c r="P328" s="336"/>
      <c r="Q328" s="336"/>
      <c r="R328" s="336"/>
    </row>
    <row r="329" spans="13:18">
      <c r="M329" s="336"/>
      <c r="O329" s="336"/>
      <c r="P329" s="336"/>
      <c r="Q329" s="336"/>
      <c r="R329" s="336"/>
    </row>
    <row r="330" spans="13:18">
      <c r="M330" s="336"/>
      <c r="O330" s="336"/>
      <c r="P330" s="336"/>
      <c r="Q330" s="336"/>
      <c r="R330" s="336"/>
    </row>
    <row r="331" spans="13:18">
      <c r="M331" s="336"/>
      <c r="O331" s="336"/>
      <c r="P331" s="336"/>
      <c r="Q331" s="336"/>
      <c r="R331" s="336"/>
    </row>
    <row r="332" spans="13:18">
      <c r="M332" s="336"/>
      <c r="O332" s="336"/>
      <c r="P332" s="336"/>
      <c r="Q332" s="336"/>
      <c r="R332" s="336"/>
    </row>
    <row r="333" spans="13:18">
      <c r="M333" s="336"/>
      <c r="O333" s="336"/>
      <c r="P333" s="336"/>
      <c r="Q333" s="336"/>
      <c r="R333" s="336"/>
    </row>
    <row r="334" spans="13:18">
      <c r="M334" s="336"/>
      <c r="O334" s="336"/>
      <c r="P334" s="336"/>
      <c r="Q334" s="336"/>
      <c r="R334" s="336"/>
    </row>
    <row r="335" spans="13:18">
      <c r="M335" s="336"/>
      <c r="O335" s="336"/>
      <c r="P335" s="336"/>
      <c r="Q335" s="336"/>
      <c r="R335" s="336"/>
    </row>
    <row r="336" spans="13:18">
      <c r="M336" s="336"/>
      <c r="O336" s="336"/>
      <c r="P336" s="336"/>
      <c r="Q336" s="336"/>
      <c r="R336" s="336"/>
    </row>
    <row r="337" spans="13:18">
      <c r="M337" s="336"/>
      <c r="O337" s="336"/>
      <c r="P337" s="336"/>
      <c r="Q337" s="336"/>
      <c r="R337" s="336"/>
    </row>
    <row r="338" spans="13:18">
      <c r="M338" s="336"/>
      <c r="O338" s="336"/>
      <c r="P338" s="336"/>
      <c r="Q338" s="336"/>
      <c r="R338" s="336"/>
    </row>
    <row r="339" spans="13:18">
      <c r="M339" s="336"/>
      <c r="O339" s="336"/>
      <c r="P339" s="336"/>
      <c r="Q339" s="336"/>
      <c r="R339" s="336"/>
    </row>
    <row r="340" spans="13:18">
      <c r="M340" s="336"/>
      <c r="O340" s="336"/>
      <c r="P340" s="336"/>
      <c r="Q340" s="336"/>
      <c r="R340" s="336"/>
    </row>
    <row r="341" spans="13:18">
      <c r="M341" s="336"/>
      <c r="O341" s="336"/>
      <c r="P341" s="336"/>
      <c r="Q341" s="336"/>
      <c r="R341" s="336"/>
    </row>
    <row r="342" spans="13:18">
      <c r="M342" s="336"/>
      <c r="O342" s="336"/>
      <c r="P342" s="336"/>
      <c r="Q342" s="336"/>
      <c r="R342" s="336"/>
    </row>
    <row r="343" spans="13:18">
      <c r="M343" s="336"/>
      <c r="O343" s="336"/>
      <c r="P343" s="336"/>
      <c r="Q343" s="336"/>
      <c r="R343" s="336"/>
    </row>
    <row r="344" spans="13:18">
      <c r="M344" s="336"/>
      <c r="O344" s="336"/>
      <c r="P344" s="336"/>
      <c r="Q344" s="336"/>
      <c r="R344" s="336"/>
    </row>
    <row r="345" spans="13:18">
      <c r="M345" s="336"/>
      <c r="O345" s="336"/>
      <c r="P345" s="336"/>
      <c r="Q345" s="336"/>
      <c r="R345" s="336"/>
    </row>
    <row r="346" spans="13:18">
      <c r="M346" s="336"/>
      <c r="O346" s="336"/>
      <c r="P346" s="336"/>
      <c r="Q346" s="336"/>
      <c r="R346" s="336"/>
    </row>
    <row r="347" spans="13:18">
      <c r="M347" s="336"/>
      <c r="O347" s="336"/>
      <c r="P347" s="336"/>
      <c r="Q347" s="336"/>
      <c r="R347" s="336"/>
    </row>
    <row r="348" spans="13:18">
      <c r="M348" s="336"/>
      <c r="O348" s="336"/>
      <c r="P348" s="336"/>
      <c r="Q348" s="336"/>
      <c r="R348" s="336"/>
    </row>
    <row r="349" spans="13:18">
      <c r="M349" s="336"/>
      <c r="O349" s="336"/>
      <c r="P349" s="336"/>
      <c r="Q349" s="336"/>
      <c r="R349" s="336"/>
    </row>
    <row r="350" spans="13:18">
      <c r="M350" s="336"/>
      <c r="O350" s="336"/>
      <c r="P350" s="336"/>
      <c r="Q350" s="336"/>
      <c r="R350" s="336"/>
    </row>
    <row r="351" spans="13:18">
      <c r="M351" s="336"/>
      <c r="O351" s="336"/>
      <c r="P351" s="336"/>
      <c r="Q351" s="336"/>
      <c r="R351" s="336"/>
    </row>
    <row r="352" spans="13:18">
      <c r="M352" s="336"/>
      <c r="O352" s="336"/>
      <c r="P352" s="336"/>
      <c r="Q352" s="336"/>
      <c r="R352" s="336"/>
    </row>
    <row r="353" spans="13:18">
      <c r="M353" s="336"/>
      <c r="O353" s="336"/>
      <c r="P353" s="336"/>
      <c r="Q353" s="336"/>
      <c r="R353" s="336"/>
    </row>
    <row r="354" spans="13:18">
      <c r="M354" s="336"/>
      <c r="O354" s="336"/>
      <c r="P354" s="336"/>
      <c r="Q354" s="336"/>
      <c r="R354" s="336"/>
    </row>
    <row r="355" spans="13:18">
      <c r="M355" s="336"/>
      <c r="O355" s="336"/>
      <c r="P355" s="336"/>
      <c r="Q355" s="336"/>
      <c r="R355" s="336"/>
    </row>
    <row r="356" spans="13:18">
      <c r="M356" s="336"/>
      <c r="O356" s="336"/>
      <c r="P356" s="336"/>
      <c r="Q356" s="336"/>
      <c r="R356" s="336"/>
    </row>
    <row r="357" spans="13:18">
      <c r="M357" s="336"/>
      <c r="O357" s="336"/>
      <c r="P357" s="336"/>
      <c r="Q357" s="336"/>
      <c r="R357" s="336"/>
    </row>
    <row r="358" spans="13:18">
      <c r="M358" s="336"/>
      <c r="O358" s="336"/>
      <c r="P358" s="336"/>
      <c r="Q358" s="336"/>
      <c r="R358" s="336"/>
    </row>
    <row r="359" spans="13:18">
      <c r="M359" s="336"/>
      <c r="O359" s="336"/>
      <c r="P359" s="336"/>
      <c r="Q359" s="336"/>
      <c r="R359" s="336"/>
    </row>
    <row r="360" spans="13:18">
      <c r="M360" s="336"/>
      <c r="O360" s="336"/>
      <c r="P360" s="336"/>
      <c r="Q360" s="336"/>
      <c r="R360" s="336"/>
    </row>
    <row r="361" spans="13:18">
      <c r="M361" s="336"/>
      <c r="O361" s="336"/>
      <c r="P361" s="336"/>
      <c r="Q361" s="336"/>
      <c r="R361" s="336"/>
    </row>
    <row r="362" spans="13:18">
      <c r="M362" s="336"/>
      <c r="O362" s="336"/>
      <c r="P362" s="336"/>
      <c r="Q362" s="336"/>
      <c r="R362" s="336"/>
    </row>
    <row r="363" spans="13:18">
      <c r="M363" s="336"/>
      <c r="O363" s="336"/>
      <c r="P363" s="336"/>
      <c r="Q363" s="336"/>
      <c r="R363" s="336"/>
    </row>
    <row r="364" spans="13:18">
      <c r="M364" s="336"/>
      <c r="O364" s="336"/>
      <c r="P364" s="336"/>
      <c r="Q364" s="336"/>
      <c r="R364" s="336"/>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2" customWidth="1"/>
    <col min="2" max="2" width="8.42578125" style="292" customWidth="1"/>
    <col min="3" max="3" width="7.85546875" style="292" customWidth="1"/>
    <col min="4" max="4" width="8.7109375" style="292" customWidth="1"/>
    <col min="5" max="5" width="44" style="292" customWidth="1"/>
    <col min="6" max="6" width="13.5703125" style="292" customWidth="1"/>
    <col min="7" max="8" width="5.85546875" style="293" customWidth="1"/>
    <col min="9" max="9" width="4.85546875" style="292" customWidth="1"/>
    <col min="10" max="10" width="13.140625" style="292" customWidth="1"/>
    <col min="11" max="11" width="13.28515625" style="292" customWidth="1"/>
    <col min="12" max="12" width="13.7109375" style="292" customWidth="1"/>
    <col min="13" max="13" width="14" style="292" customWidth="1"/>
    <col min="14" max="14" width="13.7109375" style="292" customWidth="1"/>
    <col min="15" max="15" width="14" style="292" customWidth="1"/>
    <col min="16" max="16" width="12.7109375" style="292" customWidth="1"/>
    <col min="17" max="17" width="14.5703125" style="292" customWidth="1"/>
    <col min="18" max="18" width="13.28515625" style="292" customWidth="1"/>
    <col min="19" max="19" width="13" style="292" customWidth="1"/>
    <col min="20" max="20" width="14" style="292" customWidth="1"/>
    <col min="21" max="21" width="5" style="292" customWidth="1"/>
    <col min="22" max="22" width="13.7109375" style="292" customWidth="1"/>
    <col min="23" max="23" width="13.42578125" style="292" customWidth="1"/>
    <col min="24" max="24" width="6.140625" style="292" customWidth="1"/>
    <col min="25" max="25" width="7.140625" style="292" customWidth="1"/>
    <col min="26" max="27" width="9.42578125" style="292" customWidth="1"/>
    <col min="28" max="28" width="11.140625" style="292" customWidth="1"/>
    <col min="29" max="29" width="13" style="292" customWidth="1"/>
    <col min="30" max="30" width="4.5703125" style="292" customWidth="1"/>
    <col min="31" max="31" width="13.5703125" style="292" customWidth="1"/>
    <col min="32" max="32" width="4.5703125" style="292" customWidth="1"/>
    <col min="33" max="33" width="13.5703125" style="292" customWidth="1"/>
    <col min="34" max="34" width="4.42578125" style="292" customWidth="1"/>
    <col min="35" max="35" width="12.7109375" style="292" customWidth="1"/>
    <col min="36" max="36" width="11.140625" style="292" customWidth="1"/>
    <col min="37" max="37" width="4.7109375" style="292" customWidth="1"/>
    <col min="38" max="38" width="12.28515625" style="292" customWidth="1"/>
    <col min="39" max="39" width="11.42578125" style="292" customWidth="1"/>
    <col min="40" max="40" width="11.28515625" style="292" customWidth="1"/>
    <col min="41" max="41" width="11.140625" style="292" customWidth="1"/>
    <col min="42" max="43" width="12.5703125" style="292" customWidth="1"/>
    <col min="44" max="44" width="13.42578125" style="292" customWidth="1"/>
    <col min="45" max="45" width="12.7109375" style="292" customWidth="1"/>
    <col min="46" max="46" width="11.85546875" style="292" customWidth="1"/>
    <col min="47" max="47" width="11.5703125" style="292" customWidth="1"/>
    <col min="48" max="48" width="7.5703125" style="292" customWidth="1"/>
    <col min="49" max="49" width="8.140625" style="292" customWidth="1"/>
    <col min="50" max="50" width="7.5703125" style="292" customWidth="1"/>
    <col min="51" max="51" width="7.42578125" style="292" customWidth="1"/>
    <col min="52" max="53" width="13.140625" style="292" customWidth="1"/>
    <col min="54" max="16384" width="9.140625" style="292"/>
  </cols>
  <sheetData>
    <row r="1" spans="1:53" ht="12.75" customHeight="1">
      <c r="A1" s="288"/>
      <c r="B1" s="289" t="s">
        <v>157</v>
      </c>
      <c r="C1" s="290"/>
      <c r="D1" s="290"/>
      <c r="E1" s="291"/>
      <c r="I1" s="290"/>
      <c r="L1" s="1085" t="s">
        <v>282</v>
      </c>
      <c r="M1" s="1085"/>
      <c r="N1" s="1085"/>
      <c r="O1" s="1085"/>
      <c r="P1" s="1085"/>
      <c r="Q1" s="1085"/>
      <c r="R1" s="418"/>
      <c r="T1" s="290"/>
      <c r="U1" s="290"/>
      <c r="V1" s="290"/>
      <c r="W1" s="290"/>
      <c r="X1" s="290"/>
      <c r="Y1" s="290"/>
      <c r="Z1" s="290"/>
      <c r="AA1" s="290"/>
      <c r="AB1" s="290"/>
      <c r="AC1" s="290"/>
      <c r="AD1" s="290"/>
      <c r="AE1" s="290"/>
      <c r="AF1" s="498"/>
      <c r="AG1" s="498"/>
      <c r="AH1" s="290"/>
      <c r="AI1" s="290"/>
      <c r="AJ1" s="290"/>
      <c r="AK1" s="290"/>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L2" s="1086" t="s">
        <v>224</v>
      </c>
      <c r="M2" s="1086"/>
      <c r="N2" s="1086"/>
      <c r="O2" s="1086"/>
      <c r="P2" s="1086"/>
      <c r="Q2" s="1086"/>
      <c r="R2" s="419"/>
      <c r="T2" s="294"/>
      <c r="U2" s="294"/>
      <c r="V2" s="294"/>
      <c r="W2" s="294"/>
      <c r="X2" s="294"/>
      <c r="Y2" s="294"/>
      <c r="Z2" s="294"/>
      <c r="AA2" s="294"/>
      <c r="AB2" s="294"/>
      <c r="AC2" s="294"/>
      <c r="AD2" s="294"/>
      <c r="AE2" s="294"/>
      <c r="AF2" s="499"/>
      <c r="AG2" s="499"/>
      <c r="AH2" s="294"/>
      <c r="AI2" s="294"/>
      <c r="AJ2" s="294"/>
      <c r="AK2" s="294"/>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L3" s="1086"/>
      <c r="M3" s="1086"/>
      <c r="N3" s="1086"/>
      <c r="O3" s="1086"/>
      <c r="P3" s="1086"/>
      <c r="Q3" s="1086"/>
      <c r="R3" s="419"/>
      <c r="T3" s="294"/>
      <c r="U3" s="294"/>
      <c r="V3" s="294"/>
      <c r="W3" s="294"/>
      <c r="X3" s="294"/>
      <c r="Y3" s="294"/>
      <c r="Z3" s="294"/>
      <c r="AA3" s="294"/>
      <c r="AB3" s="294"/>
      <c r="AC3" s="294"/>
      <c r="AD3" s="294"/>
      <c r="AE3" s="294"/>
      <c r="AF3" s="499"/>
      <c r="AG3" s="499"/>
      <c r="AH3" s="294"/>
      <c r="AI3" s="294"/>
      <c r="AJ3" s="294"/>
      <c r="AK3" s="294"/>
      <c r="AL3" s="294"/>
      <c r="AM3" s="294"/>
      <c r="AN3" s="294"/>
      <c r="AO3" s="294"/>
      <c r="AP3" s="294"/>
      <c r="AQ3" s="294"/>
      <c r="AR3" s="294"/>
      <c r="AS3" s="294"/>
      <c r="AT3" s="294"/>
      <c r="AU3" s="294"/>
      <c r="AV3" s="294"/>
      <c r="AW3" s="294"/>
      <c r="AX3" s="294"/>
      <c r="AY3" s="294"/>
      <c r="AZ3" s="294"/>
      <c r="BA3" s="294"/>
    </row>
    <row r="4" spans="1:53" ht="19.5" customHeight="1">
      <c r="B4" s="1087" t="s">
        <v>147</v>
      </c>
      <c r="C4" s="1087"/>
      <c r="D4" s="1087"/>
      <c r="E4" s="1087"/>
      <c r="F4" s="1087"/>
      <c r="G4" s="1087"/>
      <c r="H4" s="1087"/>
      <c r="I4" s="1087"/>
      <c r="J4" s="1087"/>
      <c r="K4" s="1087"/>
      <c r="L4" s="1087"/>
      <c r="M4" s="1087"/>
      <c r="N4" s="1087"/>
      <c r="O4" s="1087"/>
      <c r="P4" s="1087"/>
      <c r="Q4" s="1087"/>
      <c r="R4" s="1087"/>
      <c r="S4" s="297"/>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row>
    <row r="5" spans="1:53" ht="15">
      <c r="B5" s="1088" t="s">
        <v>315</v>
      </c>
      <c r="C5" s="1088"/>
      <c r="D5" s="1088"/>
      <c r="E5" s="1088"/>
      <c r="F5" s="1088"/>
      <c r="G5" s="1088"/>
      <c r="H5" s="1088"/>
      <c r="I5" s="1088"/>
      <c r="J5" s="1088"/>
      <c r="K5" s="1088"/>
      <c r="L5" s="1088"/>
      <c r="M5" s="1088"/>
      <c r="N5" s="1088"/>
      <c r="O5" s="1088"/>
      <c r="P5" s="1088"/>
      <c r="Q5" s="1088"/>
      <c r="R5" s="1088"/>
      <c r="S5" s="300"/>
    </row>
    <row r="7" spans="1:53" ht="13.5" customHeight="1">
      <c r="A7" s="1089" t="s">
        <v>46</v>
      </c>
      <c r="B7" s="1083" t="s">
        <v>27</v>
      </c>
      <c r="C7" s="1091" t="s">
        <v>1</v>
      </c>
      <c r="D7" s="1092"/>
      <c r="E7" s="1083" t="s">
        <v>0</v>
      </c>
      <c r="F7" s="1083" t="s">
        <v>148</v>
      </c>
      <c r="G7" s="1093" t="s">
        <v>149</v>
      </c>
      <c r="H7" s="1093"/>
      <c r="I7" s="1084" t="s">
        <v>46</v>
      </c>
      <c r="J7" s="1083" t="s">
        <v>284</v>
      </c>
      <c r="K7" s="1083"/>
      <c r="L7" s="1083" t="s">
        <v>285</v>
      </c>
      <c r="M7" s="1083"/>
      <c r="N7" s="1083" t="s">
        <v>464</v>
      </c>
      <c r="O7" s="1083"/>
      <c r="P7" s="1083" t="s">
        <v>286</v>
      </c>
      <c r="Q7" s="1083"/>
      <c r="R7" s="1083" t="s">
        <v>287</v>
      </c>
      <c r="S7" s="1083"/>
      <c r="T7" s="1083" t="s">
        <v>288</v>
      </c>
      <c r="U7" s="1083"/>
      <c r="V7" s="1083" t="s">
        <v>289</v>
      </c>
      <c r="W7" s="1083"/>
      <c r="X7" s="1083" t="s">
        <v>290</v>
      </c>
      <c r="Y7" s="1083"/>
      <c r="Z7" s="1083" t="s">
        <v>291</v>
      </c>
      <c r="AA7" s="1083"/>
      <c r="AB7" s="1083" t="s">
        <v>292</v>
      </c>
      <c r="AC7" s="1083"/>
      <c r="AD7" s="1083" t="s">
        <v>293</v>
      </c>
      <c r="AE7" s="1083"/>
      <c r="AF7" s="1083" t="s">
        <v>454</v>
      </c>
      <c r="AG7" s="1083"/>
      <c r="AH7" s="1083" t="s">
        <v>294</v>
      </c>
      <c r="AI7" s="1083"/>
      <c r="AJ7" s="1083" t="s">
        <v>295</v>
      </c>
      <c r="AK7" s="1083"/>
      <c r="AL7" s="1083" t="s">
        <v>296</v>
      </c>
      <c r="AM7" s="1083"/>
      <c r="AN7" s="1083" t="s">
        <v>297</v>
      </c>
      <c r="AO7" s="1083"/>
      <c r="AP7" s="1083" t="s">
        <v>298</v>
      </c>
      <c r="AQ7" s="1083"/>
      <c r="AR7" s="1083" t="s">
        <v>299</v>
      </c>
      <c r="AS7" s="1083"/>
      <c r="AT7" s="1083" t="s">
        <v>300</v>
      </c>
      <c r="AU7" s="1083"/>
      <c r="AV7" s="1083" t="s">
        <v>301</v>
      </c>
      <c r="AW7" s="1083"/>
      <c r="AX7" s="1083" t="s">
        <v>302</v>
      </c>
      <c r="AY7" s="1083"/>
      <c r="AZ7" s="1083" t="s">
        <v>303</v>
      </c>
      <c r="BA7" s="1083"/>
    </row>
    <row r="8" spans="1:53" ht="22.5" customHeight="1">
      <c r="A8" s="1090"/>
      <c r="B8" s="1083"/>
      <c r="C8" s="420" t="s">
        <v>20</v>
      </c>
      <c r="D8" s="417" t="s">
        <v>39</v>
      </c>
      <c r="E8" s="1083"/>
      <c r="F8" s="1083"/>
      <c r="G8" s="421" t="s">
        <v>29</v>
      </c>
      <c r="H8" s="421" t="s">
        <v>30</v>
      </c>
      <c r="I8" s="1084"/>
      <c r="J8" s="417" t="s">
        <v>29</v>
      </c>
      <c r="K8" s="417" t="s">
        <v>30</v>
      </c>
      <c r="L8" s="417" t="s">
        <v>29</v>
      </c>
      <c r="M8" s="417" t="s">
        <v>30</v>
      </c>
      <c r="N8" s="502" t="s">
        <v>29</v>
      </c>
      <c r="O8" s="502" t="s">
        <v>30</v>
      </c>
      <c r="P8" s="417" t="s">
        <v>29</v>
      </c>
      <c r="Q8" s="417" t="s">
        <v>30</v>
      </c>
      <c r="R8" s="417" t="s">
        <v>29</v>
      </c>
      <c r="S8" s="417" t="s">
        <v>30</v>
      </c>
      <c r="T8" s="417" t="s">
        <v>29</v>
      </c>
      <c r="U8" s="417" t="s">
        <v>30</v>
      </c>
      <c r="V8" s="417" t="s">
        <v>29</v>
      </c>
      <c r="W8" s="417" t="s">
        <v>30</v>
      </c>
      <c r="X8" s="417" t="s">
        <v>29</v>
      </c>
      <c r="Y8" s="417" t="s">
        <v>30</v>
      </c>
      <c r="Z8" s="417" t="s">
        <v>29</v>
      </c>
      <c r="AA8" s="417" t="s">
        <v>30</v>
      </c>
      <c r="AB8" s="417" t="s">
        <v>29</v>
      </c>
      <c r="AC8" s="417" t="s">
        <v>30</v>
      </c>
      <c r="AD8" s="417" t="s">
        <v>29</v>
      </c>
      <c r="AE8" s="417" t="s">
        <v>30</v>
      </c>
      <c r="AF8" s="497" t="s">
        <v>29</v>
      </c>
      <c r="AG8" s="497" t="s">
        <v>30</v>
      </c>
      <c r="AH8" s="417" t="s">
        <v>29</v>
      </c>
      <c r="AI8" s="417" t="s">
        <v>30</v>
      </c>
      <c r="AJ8" s="417" t="s">
        <v>29</v>
      </c>
      <c r="AK8" s="417" t="s">
        <v>30</v>
      </c>
      <c r="AL8" s="417" t="s">
        <v>29</v>
      </c>
      <c r="AM8" s="417" t="s">
        <v>30</v>
      </c>
      <c r="AN8" s="417" t="s">
        <v>29</v>
      </c>
      <c r="AO8" s="417" t="s">
        <v>30</v>
      </c>
      <c r="AP8" s="417" t="s">
        <v>29</v>
      </c>
      <c r="AQ8" s="417" t="s">
        <v>30</v>
      </c>
      <c r="AR8" s="417" t="s">
        <v>29</v>
      </c>
      <c r="AS8" s="417" t="s">
        <v>30</v>
      </c>
      <c r="AT8" s="417" t="s">
        <v>29</v>
      </c>
      <c r="AU8" s="417" t="s">
        <v>30</v>
      </c>
      <c r="AV8" s="417" t="s">
        <v>29</v>
      </c>
      <c r="AW8" s="417" t="s">
        <v>30</v>
      </c>
      <c r="AX8" s="417" t="s">
        <v>29</v>
      </c>
      <c r="AY8" s="417" t="s">
        <v>30</v>
      </c>
      <c r="AZ8" s="417" t="s">
        <v>29</v>
      </c>
      <c r="BA8" s="417"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6.5" customHeight="1">
      <c r="A10" s="63" t="str">
        <f t="array" ref="A10">IF(C10&lt;&gt;0,SUM(($C10:C$15&lt;&gt;0)*1),"")</f>
        <v/>
      </c>
      <c r="B10" s="307"/>
      <c r="C10" s="308"/>
      <c r="D10" s="307"/>
      <c r="E10" s="309" t="s">
        <v>262</v>
      </c>
      <c r="F10" s="310"/>
      <c r="G10" s="311"/>
      <c r="H10" s="311"/>
      <c r="I10" s="312"/>
      <c r="J10" s="313">
        <f ca="1">'SC-III'!J244</f>
        <v>1332078410</v>
      </c>
      <c r="K10" s="313">
        <f ca="1">'SC-III'!K244</f>
        <v>0</v>
      </c>
      <c r="L10" s="313">
        <f ca="1">'SC-III'!L244</f>
        <v>1694774692</v>
      </c>
      <c r="M10" s="313">
        <f ca="1">'SC-III'!M244</f>
        <v>0</v>
      </c>
      <c r="N10" s="313">
        <f ca="1">'SC-III'!N244</f>
        <v>0</v>
      </c>
      <c r="O10" s="313">
        <f ca="1">'SC-III'!O244</f>
        <v>0</v>
      </c>
      <c r="P10" s="313">
        <f ca="1">'SC-III'!P244</f>
        <v>0</v>
      </c>
      <c r="Q10" s="313">
        <f ca="1">'SC-III'!Q244</f>
        <v>0</v>
      </c>
      <c r="R10" s="313">
        <f ca="1">'SC-III'!R244</f>
        <v>0</v>
      </c>
      <c r="S10" s="313">
        <f ca="1">'SC-III'!S244</f>
        <v>0</v>
      </c>
      <c r="T10" s="313">
        <f ca="1">'SC-III'!T244</f>
        <v>22610074302</v>
      </c>
      <c r="U10" s="313">
        <f ca="1">'SC-III'!U244</f>
        <v>0</v>
      </c>
      <c r="V10" s="313">
        <f ca="1">'SC-III'!V244</f>
        <v>4275031984</v>
      </c>
      <c r="W10" s="313">
        <f ca="1">'SC-III'!W244</f>
        <v>0</v>
      </c>
      <c r="X10" s="313">
        <f ca="1">'SC-III'!X244</f>
        <v>0</v>
      </c>
      <c r="Y10" s="313">
        <f ca="1">'SC-III'!Y244</f>
        <v>0</v>
      </c>
      <c r="Z10" s="313">
        <f ca="1">'SC-III'!Z244</f>
        <v>0</v>
      </c>
      <c r="AA10" s="313">
        <f ca="1">'SC-III'!AA244</f>
        <v>0</v>
      </c>
      <c r="AB10" s="313">
        <f ca="1">'SC-III'!AB244</f>
        <v>0</v>
      </c>
      <c r="AC10" s="313">
        <f ca="1">'SC-III'!AC244</f>
        <v>5000000000</v>
      </c>
      <c r="AD10" s="313">
        <f ca="1">'SC-III'!AD244</f>
        <v>0</v>
      </c>
      <c r="AE10" s="313">
        <f ca="1">'SC-III'!AE244</f>
        <v>20000000000</v>
      </c>
      <c r="AF10" s="313">
        <f ca="1">'SC-III'!AF244</f>
        <v>0</v>
      </c>
      <c r="AG10" s="313">
        <f ca="1">'SC-III'!AG244</f>
        <v>1982640000</v>
      </c>
      <c r="AH10" s="313">
        <f ca="1">'SC-III'!AH244</f>
        <v>0</v>
      </c>
      <c r="AI10" s="313">
        <f ca="1">'SC-III'!AI244</f>
        <v>4000000000</v>
      </c>
      <c r="AJ10" s="313">
        <f ca="1">'SC-III'!AJ244</f>
        <v>583066238</v>
      </c>
      <c r="AK10" s="313">
        <f ca="1">'SC-III'!AK244</f>
        <v>0</v>
      </c>
      <c r="AL10" s="313">
        <f ca="1">'SC-III'!AL244</f>
        <v>54726467</v>
      </c>
      <c r="AM10" s="313">
        <f ca="1">'SC-III'!AM244</f>
        <v>0</v>
      </c>
      <c r="AN10" s="313">
        <f ca="1">'SC-III'!AN244</f>
        <v>0</v>
      </c>
      <c r="AO10" s="313">
        <f ca="1">'SC-III'!AO244</f>
        <v>0</v>
      </c>
      <c r="AP10" s="313">
        <f ca="1">'SC-III'!AP244</f>
        <v>0</v>
      </c>
      <c r="AQ10" s="313">
        <f ca="1">'SC-III'!AQ244</f>
        <v>0</v>
      </c>
      <c r="AR10" s="313">
        <f ca="1">'SC-III'!AR244</f>
        <v>0</v>
      </c>
      <c r="AS10" s="313">
        <f ca="1">'SC-III'!AS244</f>
        <v>0</v>
      </c>
      <c r="AT10" s="313">
        <f ca="1">'SC-III'!AT244</f>
        <v>0</v>
      </c>
      <c r="AU10" s="313">
        <f ca="1">'SC-III'!AU244</f>
        <v>0</v>
      </c>
      <c r="AV10" s="313">
        <f ca="1">'SC-III'!AV244</f>
        <v>0</v>
      </c>
      <c r="AW10" s="313">
        <f ca="1">'SC-III'!AW244</f>
        <v>0</v>
      </c>
      <c r="AX10" s="313">
        <f ca="1">'SC-III'!AX244</f>
        <v>0</v>
      </c>
      <c r="AY10" s="313">
        <f ca="1">'SC-III'!AY244</f>
        <v>0</v>
      </c>
      <c r="AZ10" s="313">
        <f ca="1">'SC-III'!AZ244</f>
        <v>0</v>
      </c>
      <c r="BA10" s="313">
        <f ca="1">'SC-III'!BA244</f>
        <v>19726687</v>
      </c>
    </row>
    <row r="11" spans="1:53" s="314" customFormat="1" ht="16.5" customHeight="1">
      <c r="A11" s="63">
        <f t="array" aca="1" ref="A11" ca="1">IF(C11&lt;&gt;0,SUM(($C$11:C11&lt;&gt;0)*1),"")</f>
        <v>1</v>
      </c>
      <c r="B11" s="315" t="str">
        <f ca="1">IF(ROWS($1:1)&gt;COUNT(Dong9),"",OFFSET(TH!C$1,SMALL(Dong9,ROWS($1:1)),))</f>
        <v/>
      </c>
      <c r="C11" s="315" t="str">
        <f ca="1">IF(ROWS($1:1)&gt;COUNT(Dong9),"",OFFSET(TH!D$1,SMALL(Dong9,ROWS($1:1)),))</f>
        <v/>
      </c>
      <c r="D11" s="315" t="str">
        <f ca="1">IF(ROWS($1:1)&gt;COUNT(Dong9),"",OFFSET(TH!E$1,SMALL(Dong9,ROWS($1:1)),))</f>
        <v/>
      </c>
      <c r="E11" s="432" t="str">
        <f ca="1">IF(ROWS($1:1)&gt;COUNT(Dong9),"",OFFSET(TH!F$1,SMALL(Dong9,ROWS($1:1)),))</f>
        <v/>
      </c>
      <c r="F11" s="371" t="str">
        <f ca="1">IF(ROWS($1:1)&gt;COUNT(Dong9),"",OFFSET(TH!M$1,SMALL(Dong9,ROWS($1:1)),))</f>
        <v/>
      </c>
      <c r="G11" s="373" t="str">
        <f ca="1">IF(ROWS($1:1)&gt;COUNT(Dong9),"",OFFSET(TH!N$1,SMALL(Dong9,ROWS($1:1)),))</f>
        <v/>
      </c>
      <c r="H11" s="373" t="str">
        <f ca="1">IF(ROWS($1:1)&gt;COUNT(Dong9),"",OFFSET(TH!O$1,SMALL(Dong9,ROWS($1:1)),))</f>
        <v/>
      </c>
      <c r="I11" s="63">
        <f t="shared" ref="I11:I89"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6.5" customHeight="1">
      <c r="A12" s="63" t="str">
        <f t="array" ref="A12">IF(C12&lt;&gt;0,SUM(($C$11:C12&lt;&gt;0)*1),"")</f>
        <v/>
      </c>
      <c r="B12" s="315"/>
      <c r="C12" s="315"/>
      <c r="D12" s="315"/>
      <c r="E12" s="432"/>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6.5" customHeight="1">
      <c r="A13" s="63" t="str">
        <f t="array" ref="A13">IF(C13&lt;&gt;0,SUM(($C$11:C13&lt;&gt;0)*1),"")</f>
        <v/>
      </c>
      <c r="B13" s="315"/>
      <c r="C13" s="315"/>
      <c r="D13" s="315"/>
      <c r="E13" s="432"/>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6.5" customHeight="1">
      <c r="A14" s="63" t="str">
        <f t="array" ref="A14">IF(C14&lt;&gt;0,SUM(($C$11:C14&lt;&gt;0)*1),"")</f>
        <v/>
      </c>
      <c r="B14" s="315"/>
      <c r="C14" s="315"/>
      <c r="D14" s="315"/>
      <c r="E14" s="432"/>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6.5" customHeight="1">
      <c r="A15" s="63" t="str">
        <f t="array" ref="A15">IF(C15&lt;&gt;0,SUM(($C$11:C15&lt;&gt;0)*1),"")</f>
        <v/>
      </c>
      <c r="B15" s="315"/>
      <c r="C15" s="315"/>
      <c r="D15" s="315"/>
      <c r="E15" s="432"/>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6.5" customHeight="1">
      <c r="A16" s="63" t="str">
        <f t="array" ref="A16">IF(C16&lt;&gt;0,SUM(($C$11:C16&lt;&gt;0)*1),"")</f>
        <v/>
      </c>
      <c r="B16" s="315"/>
      <c r="C16" s="315"/>
      <c r="D16" s="315"/>
      <c r="E16" s="432"/>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6.5" customHeight="1">
      <c r="A17" s="63" t="str">
        <f t="array" ref="A17">IF(C17&lt;&gt;0,SUM(($C$11:C17&lt;&gt;0)*1),"")</f>
        <v/>
      </c>
      <c r="B17" s="315"/>
      <c r="C17" s="315"/>
      <c r="D17" s="315"/>
      <c r="E17" s="432"/>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6.5" customHeight="1">
      <c r="A18" s="63" t="str">
        <f t="array" ref="A18">IF(C18&lt;&gt;0,SUM(($C$11:C18&lt;&gt;0)*1),"")</f>
        <v/>
      </c>
      <c r="B18" s="315"/>
      <c r="C18" s="315"/>
      <c r="D18" s="315"/>
      <c r="E18" s="432"/>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6.5" customHeight="1">
      <c r="A19" s="63" t="str">
        <f t="array" ref="A19">IF(C19&lt;&gt;0,SUM(($C$11:C19&lt;&gt;0)*1),"")</f>
        <v/>
      </c>
      <c r="B19" s="315"/>
      <c r="C19" s="315"/>
      <c r="D19" s="315"/>
      <c r="E19" s="432"/>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6.5" customHeight="1">
      <c r="A20" s="63" t="str">
        <f t="array" ref="A20">IF(C20&lt;&gt;0,SUM(($C$11:C20&lt;&gt;0)*1),"")</f>
        <v/>
      </c>
      <c r="B20" s="315"/>
      <c r="C20" s="315"/>
      <c r="D20" s="315"/>
      <c r="E20" s="432"/>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6.5" customHeight="1">
      <c r="A21" s="63" t="str">
        <f t="array" ref="A21">IF(C21&lt;&gt;0,SUM(($C$11:C21&lt;&gt;0)*1),"")</f>
        <v/>
      </c>
      <c r="B21" s="315"/>
      <c r="C21" s="315"/>
      <c r="D21" s="315"/>
      <c r="E21" s="432"/>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6.5" customHeight="1">
      <c r="A22" s="63" t="str">
        <f t="array" ref="A22">IF(C22&lt;&gt;0,SUM(($C$11:C22&lt;&gt;0)*1),"")</f>
        <v/>
      </c>
      <c r="B22" s="315"/>
      <c r="C22" s="315"/>
      <c r="D22" s="315"/>
      <c r="E22" s="432"/>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6.5" customHeight="1">
      <c r="A23" s="63" t="str">
        <f t="array" ref="A23">IF(C23&lt;&gt;0,SUM(($C$11:C23&lt;&gt;0)*1),"")</f>
        <v/>
      </c>
      <c r="B23" s="315"/>
      <c r="C23" s="315"/>
      <c r="D23" s="315"/>
      <c r="E23" s="432"/>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6.5" customHeight="1">
      <c r="A24" s="63" t="str">
        <f t="array" ref="A24">IF(C24&lt;&gt;0,SUM(($C$11:C24&lt;&gt;0)*1),"")</f>
        <v/>
      </c>
      <c r="B24" s="315"/>
      <c r="C24" s="315"/>
      <c r="D24" s="315"/>
      <c r="E24" s="432"/>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6.5" customHeight="1">
      <c r="A25" s="63" t="str">
        <f t="array" ref="A25">IF(C25&lt;&gt;0,SUM(($C$11:C25&lt;&gt;0)*1),"")</f>
        <v/>
      </c>
      <c r="B25" s="315"/>
      <c r="C25" s="315"/>
      <c r="D25" s="315"/>
      <c r="E25" s="432"/>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6.5" customHeight="1">
      <c r="A26" s="63" t="str">
        <f t="array" ref="A26">IF(C26&lt;&gt;0,SUM(($C$11:C26&lt;&gt;0)*1),"")</f>
        <v/>
      </c>
      <c r="B26" s="315"/>
      <c r="C26" s="315"/>
      <c r="D26" s="315"/>
      <c r="E26" s="432"/>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6.5" customHeight="1">
      <c r="A27" s="63" t="str">
        <f t="array" ref="A27">IF(C27&lt;&gt;0,SUM(($C$11:C27&lt;&gt;0)*1),"")</f>
        <v/>
      </c>
      <c r="B27" s="315"/>
      <c r="C27" s="315"/>
      <c r="D27" s="315"/>
      <c r="E27" s="432"/>
      <c r="F27" s="371"/>
      <c r="G27" s="373"/>
      <c r="H27" s="373"/>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6.5" customHeight="1">
      <c r="A28" s="63" t="str">
        <f t="array" ref="A28">IF(C28&lt;&gt;0,SUM(($C$11:C28&lt;&gt;0)*1),"")</f>
        <v/>
      </c>
      <c r="B28" s="315"/>
      <c r="C28" s="315"/>
      <c r="D28" s="315"/>
      <c r="E28" s="432"/>
      <c r="F28" s="371"/>
      <c r="G28" s="373"/>
      <c r="H28" s="373"/>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6.5" customHeight="1">
      <c r="A29" s="63" t="str">
        <f t="array" ref="A29">IF(C29&lt;&gt;0,SUM(($C$11:C29&lt;&gt;0)*1),"")</f>
        <v/>
      </c>
      <c r="B29" s="315"/>
      <c r="C29" s="315"/>
      <c r="D29" s="315"/>
      <c r="E29" s="432"/>
      <c r="F29" s="371"/>
      <c r="G29" s="373"/>
      <c r="H29" s="373"/>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6.5" customHeight="1">
      <c r="A30" s="63" t="str">
        <f t="array" ref="A30">IF(C30&lt;&gt;0,SUM(($C$11:C30&lt;&gt;0)*1),"")</f>
        <v/>
      </c>
      <c r="B30" s="315"/>
      <c r="C30" s="315"/>
      <c r="D30" s="315"/>
      <c r="E30" s="432"/>
      <c r="F30" s="371"/>
      <c r="G30" s="373"/>
      <c r="H30" s="373"/>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6.5" customHeight="1">
      <c r="A31" s="63" t="str">
        <f t="array" ref="A31">IF(C31&lt;&gt;0,SUM(($C$11:C31&lt;&gt;0)*1),"")</f>
        <v/>
      </c>
      <c r="B31" s="315"/>
      <c r="C31" s="315"/>
      <c r="D31" s="315"/>
      <c r="E31" s="432"/>
      <c r="F31" s="371"/>
      <c r="G31" s="373"/>
      <c r="H31" s="373"/>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6.5" customHeight="1">
      <c r="A32" s="63" t="str">
        <f t="array" ref="A32">IF(C32&lt;&gt;0,SUM(($C$11:C32&lt;&gt;0)*1),"")</f>
        <v/>
      </c>
      <c r="B32" s="315"/>
      <c r="C32" s="315"/>
      <c r="D32" s="315"/>
      <c r="E32" s="432"/>
      <c r="F32" s="371"/>
      <c r="G32" s="373"/>
      <c r="H32" s="373"/>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6.5" customHeight="1">
      <c r="A33" s="63" t="str">
        <f t="array" ref="A33">IF(C33&lt;&gt;0,SUM(($C$11:C33&lt;&gt;0)*1),"")</f>
        <v/>
      </c>
      <c r="B33" s="315"/>
      <c r="C33" s="315"/>
      <c r="D33" s="315"/>
      <c r="E33" s="432"/>
      <c r="F33" s="371"/>
      <c r="G33" s="373"/>
      <c r="H33" s="373"/>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6.5" customHeight="1">
      <c r="A34" s="63" t="str">
        <f t="array" ref="A34">IF(C34&lt;&gt;0,SUM(($C$11:C34&lt;&gt;0)*1),"")</f>
        <v/>
      </c>
      <c r="B34" s="315"/>
      <c r="C34" s="315"/>
      <c r="D34" s="315"/>
      <c r="E34" s="432"/>
      <c r="F34" s="371"/>
      <c r="G34" s="373"/>
      <c r="H34" s="373"/>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6.5" customHeight="1">
      <c r="A35" s="63" t="str">
        <f t="array" ref="A35">IF(C35&lt;&gt;0,SUM(($C$11:C35&lt;&gt;0)*1),"")</f>
        <v/>
      </c>
      <c r="B35" s="315"/>
      <c r="C35" s="315"/>
      <c r="D35" s="315"/>
      <c r="E35" s="432"/>
      <c r="F35" s="371"/>
      <c r="G35" s="373"/>
      <c r="H35" s="373"/>
      <c r="I35" s="63" t="str">
        <f t="shared" si="0"/>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6.5" customHeight="1">
      <c r="A36" s="63" t="str">
        <f t="array" ref="A36">IF(C36&lt;&gt;0,SUM(($C$11:C36&lt;&gt;0)*1),"")</f>
        <v/>
      </c>
      <c r="B36" s="315"/>
      <c r="C36" s="315"/>
      <c r="D36" s="315"/>
      <c r="E36" s="432"/>
      <c r="F36" s="371"/>
      <c r="G36" s="373"/>
      <c r="H36" s="373"/>
      <c r="I36" s="63" t="str">
        <f t="shared" si="0"/>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6.5" customHeight="1">
      <c r="A37" s="63" t="str">
        <f t="array" ref="A37">IF(C37&lt;&gt;0,SUM(($C$11:C37&lt;&gt;0)*1),"")</f>
        <v/>
      </c>
      <c r="B37" s="315"/>
      <c r="C37" s="315"/>
      <c r="D37" s="315"/>
      <c r="E37" s="432"/>
      <c r="F37" s="371"/>
      <c r="G37" s="373"/>
      <c r="H37" s="373"/>
      <c r="I37" s="63" t="str">
        <f t="shared" si="0"/>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6.5" customHeight="1">
      <c r="A38" s="63" t="str">
        <f t="array" ref="A38">IF(C38&lt;&gt;0,SUM(($C$11:C38&lt;&gt;0)*1),"")</f>
        <v/>
      </c>
      <c r="B38" s="315"/>
      <c r="C38" s="315"/>
      <c r="D38" s="315"/>
      <c r="E38" s="432"/>
      <c r="F38" s="371"/>
      <c r="G38" s="373"/>
      <c r="H38" s="373"/>
      <c r="I38" s="63" t="str">
        <f t="shared" si="0"/>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6.5" customHeight="1">
      <c r="A39" s="63" t="str">
        <f t="array" ref="A39">IF(C39&lt;&gt;0,SUM(($C$11:C39&lt;&gt;0)*1),"")</f>
        <v/>
      </c>
      <c r="B39" s="315"/>
      <c r="C39" s="315"/>
      <c r="D39" s="315"/>
      <c r="E39" s="432"/>
      <c r="F39" s="371"/>
      <c r="G39" s="373"/>
      <c r="H39" s="373"/>
      <c r="I39" s="63" t="str">
        <f t="shared" si="0"/>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6.5" customHeight="1">
      <c r="A40" s="63" t="str">
        <f t="array" ref="A40">IF(C40&lt;&gt;0,SUM(($C$11:C40&lt;&gt;0)*1),"")</f>
        <v/>
      </c>
      <c r="B40" s="315"/>
      <c r="C40" s="315"/>
      <c r="D40" s="315"/>
      <c r="E40" s="432"/>
      <c r="F40" s="371"/>
      <c r="G40" s="373"/>
      <c r="H40" s="373"/>
      <c r="I40" s="63" t="str">
        <f t="shared" si="0"/>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6.5" customHeight="1">
      <c r="A41" s="63" t="str">
        <f t="array" ref="A41">IF(C41&lt;&gt;0,SUM(($C$11:C41&lt;&gt;0)*1),"")</f>
        <v/>
      </c>
      <c r="B41" s="315"/>
      <c r="C41" s="315"/>
      <c r="D41" s="315"/>
      <c r="E41" s="432"/>
      <c r="F41" s="371"/>
      <c r="G41" s="373"/>
      <c r="H41" s="373"/>
      <c r="I41" s="63" t="str">
        <f t="shared" si="0"/>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6.5" customHeight="1">
      <c r="A42" s="63" t="str">
        <f t="array" ref="A42">IF(C42&lt;&gt;0,SUM(($C$11:C42&lt;&gt;0)*1),"")</f>
        <v/>
      </c>
      <c r="B42" s="315"/>
      <c r="C42" s="315"/>
      <c r="D42" s="315"/>
      <c r="E42" s="432"/>
      <c r="F42" s="371"/>
      <c r="G42" s="373"/>
      <c r="H42" s="373"/>
      <c r="I42" s="63" t="str">
        <f t="shared" si="0"/>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6.5" customHeight="1">
      <c r="A43" s="63" t="str">
        <f t="array" ref="A43">IF(C43&lt;&gt;0,SUM(($C$11:C43&lt;&gt;0)*1),"")</f>
        <v/>
      </c>
      <c r="B43" s="315"/>
      <c r="C43" s="315"/>
      <c r="D43" s="315"/>
      <c r="E43" s="432"/>
      <c r="F43" s="371"/>
      <c r="G43" s="373"/>
      <c r="H43" s="373"/>
      <c r="I43" s="63" t="str">
        <f t="shared" si="0"/>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6.5" customHeight="1">
      <c r="A44" s="63" t="str">
        <f t="array" ref="A44">IF(C44&lt;&gt;0,SUM(($C$11:C44&lt;&gt;0)*1),"")</f>
        <v/>
      </c>
      <c r="B44" s="315"/>
      <c r="C44" s="315"/>
      <c r="D44" s="315"/>
      <c r="E44" s="432"/>
      <c r="F44" s="371"/>
      <c r="G44" s="373"/>
      <c r="H44" s="373"/>
      <c r="I44" s="63" t="str">
        <f t="shared" si="0"/>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6.5" customHeight="1">
      <c r="A45" s="63" t="str">
        <f t="array" ref="A45">IF(C45&lt;&gt;0,SUM(($C$11:C45&lt;&gt;0)*1),"")</f>
        <v/>
      </c>
      <c r="B45" s="315"/>
      <c r="C45" s="315"/>
      <c r="D45" s="315"/>
      <c r="E45" s="432"/>
      <c r="F45" s="371"/>
      <c r="G45" s="373"/>
      <c r="H45" s="373"/>
      <c r="I45" s="63" t="str">
        <f t="shared" si="0"/>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6.5" customHeight="1">
      <c r="A46" s="63" t="str">
        <f t="array" ref="A46">IF(C46&lt;&gt;0,SUM(($C$11:C46&lt;&gt;0)*1),"")</f>
        <v/>
      </c>
      <c r="B46" s="315"/>
      <c r="C46" s="315"/>
      <c r="D46" s="315"/>
      <c r="E46" s="432"/>
      <c r="F46" s="371"/>
      <c r="G46" s="373"/>
      <c r="H46" s="373"/>
      <c r="I46" s="63" t="str">
        <f t="shared" si="0"/>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6.5" customHeight="1">
      <c r="A47" s="63" t="str">
        <f t="array" ref="A47">IF(C47&lt;&gt;0,SUM(($C$11:C47&lt;&gt;0)*1),"")</f>
        <v/>
      </c>
      <c r="B47" s="315"/>
      <c r="C47" s="315"/>
      <c r="D47" s="315"/>
      <c r="E47" s="432"/>
      <c r="F47" s="371"/>
      <c r="G47" s="373"/>
      <c r="H47" s="373"/>
      <c r="I47" s="63" t="str">
        <f t="shared" si="0"/>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6.5" customHeight="1">
      <c r="A48" s="63" t="str">
        <f t="array" ref="A48">IF(C48&lt;&gt;0,SUM(($C$11:C48&lt;&gt;0)*1),"")</f>
        <v/>
      </c>
      <c r="B48" s="315"/>
      <c r="C48" s="315"/>
      <c r="D48" s="315"/>
      <c r="E48" s="432"/>
      <c r="F48" s="371"/>
      <c r="G48" s="373"/>
      <c r="H48" s="373"/>
      <c r="I48" s="63" t="str">
        <f t="shared" si="0"/>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6.5" customHeight="1">
      <c r="A49" s="63" t="str">
        <f t="array" ref="A49">IF(C49&lt;&gt;0,SUM(($C$11:C49&lt;&gt;0)*1),"")</f>
        <v/>
      </c>
      <c r="B49" s="315"/>
      <c r="C49" s="315"/>
      <c r="D49" s="315"/>
      <c r="E49" s="432"/>
      <c r="F49" s="371"/>
      <c r="G49" s="373"/>
      <c r="H49" s="373"/>
      <c r="I49" s="63" t="str">
        <f t="shared" si="0"/>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6.5" customHeight="1">
      <c r="A50" s="63" t="str">
        <f t="array" ref="A50">IF(C50&lt;&gt;0,SUM(($C$11:C50&lt;&gt;0)*1),"")</f>
        <v/>
      </c>
      <c r="B50" s="315"/>
      <c r="C50" s="315"/>
      <c r="D50" s="315"/>
      <c r="E50" s="432"/>
      <c r="F50" s="371"/>
      <c r="G50" s="373"/>
      <c r="H50" s="373"/>
      <c r="I50" s="63" t="str">
        <f t="shared" si="0"/>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6.5" customHeight="1">
      <c r="A51" s="63" t="str">
        <f t="array" ref="A51">IF(C51&lt;&gt;0,SUM(($C$11:C51&lt;&gt;0)*1),"")</f>
        <v/>
      </c>
      <c r="B51" s="315"/>
      <c r="C51" s="315"/>
      <c r="D51" s="315"/>
      <c r="E51" s="432"/>
      <c r="F51" s="371"/>
      <c r="G51" s="373"/>
      <c r="H51" s="373"/>
      <c r="I51" s="63" t="str">
        <f t="shared" si="0"/>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6.5" customHeight="1">
      <c r="A52" s="63" t="str">
        <f t="array" ref="A52">IF(C52&lt;&gt;0,SUM(($C$11:C52&lt;&gt;0)*1),"")</f>
        <v/>
      </c>
      <c r="B52" s="315"/>
      <c r="C52" s="315"/>
      <c r="D52" s="315"/>
      <c r="E52" s="432"/>
      <c r="F52" s="371"/>
      <c r="G52" s="373"/>
      <c r="H52" s="373"/>
      <c r="I52" s="63" t="str">
        <f t="shared" si="0"/>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6.5" customHeight="1">
      <c r="A53" s="63" t="str">
        <f t="array" ref="A53">IF(C53&lt;&gt;0,SUM(($C$11:C53&lt;&gt;0)*1),"")</f>
        <v/>
      </c>
      <c r="B53" s="315"/>
      <c r="C53" s="315"/>
      <c r="D53" s="315"/>
      <c r="E53" s="432"/>
      <c r="F53" s="371"/>
      <c r="G53" s="373"/>
      <c r="H53" s="373"/>
      <c r="I53" s="63" t="str">
        <f t="shared" si="0"/>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6.5" customHeight="1">
      <c r="A54" s="63" t="str">
        <f t="array" ref="A54">IF(C54&lt;&gt;0,SUM(($C$11:C54&lt;&gt;0)*1),"")</f>
        <v/>
      </c>
      <c r="B54" s="315"/>
      <c r="C54" s="315"/>
      <c r="D54" s="315"/>
      <c r="E54" s="432"/>
      <c r="F54" s="371"/>
      <c r="G54" s="373"/>
      <c r="H54" s="373"/>
      <c r="I54" s="63" t="str">
        <f t="shared" si="0"/>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6.5" customHeight="1">
      <c r="A55" s="63" t="str">
        <f t="array" ref="A55">IF(C55&lt;&gt;0,SUM(($C$11:C55&lt;&gt;0)*1),"")</f>
        <v/>
      </c>
      <c r="B55" s="315"/>
      <c r="C55" s="315"/>
      <c r="D55" s="315"/>
      <c r="E55" s="432"/>
      <c r="F55" s="371"/>
      <c r="G55" s="373"/>
      <c r="H55" s="373"/>
      <c r="I55" s="63" t="str">
        <f t="shared" si="0"/>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6.5" customHeight="1">
      <c r="A56" s="63" t="str">
        <f t="array" ref="A56">IF(C56&lt;&gt;0,SUM(($C$11:C56&lt;&gt;0)*1),"")</f>
        <v/>
      </c>
      <c r="B56" s="315"/>
      <c r="C56" s="315"/>
      <c r="D56" s="315"/>
      <c r="E56" s="432"/>
      <c r="F56" s="371"/>
      <c r="G56" s="373"/>
      <c r="H56" s="373"/>
      <c r="I56" s="63" t="str">
        <f t="shared" si="0"/>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6.5" customHeight="1">
      <c r="A57" s="63" t="str">
        <f t="array" ref="A57">IF(C57&lt;&gt;0,SUM(($C$11:C57&lt;&gt;0)*1),"")</f>
        <v/>
      </c>
      <c r="B57" s="315"/>
      <c r="C57" s="315"/>
      <c r="D57" s="315"/>
      <c r="E57" s="432"/>
      <c r="F57" s="371"/>
      <c r="G57" s="373"/>
      <c r="H57" s="373"/>
      <c r="I57" s="63" t="str">
        <f t="shared" si="0"/>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6.5" customHeight="1">
      <c r="A58" s="63" t="str">
        <f t="array" ref="A58">IF(C58&lt;&gt;0,SUM(($C$11:C58&lt;&gt;0)*1),"")</f>
        <v/>
      </c>
      <c r="B58" s="315"/>
      <c r="C58" s="315"/>
      <c r="D58" s="315"/>
      <c r="E58" s="432"/>
      <c r="F58" s="371"/>
      <c r="G58" s="373"/>
      <c r="H58" s="373"/>
      <c r="I58" s="63" t="str">
        <f t="shared" si="0"/>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6.5" customHeight="1">
      <c r="A59" s="63" t="str">
        <f t="array" ref="A59">IF(C59&lt;&gt;0,SUM(($C$11:C59&lt;&gt;0)*1),"")</f>
        <v/>
      </c>
      <c r="B59" s="315"/>
      <c r="C59" s="315"/>
      <c r="D59" s="315"/>
      <c r="E59" s="432"/>
      <c r="F59" s="371"/>
      <c r="G59" s="373"/>
      <c r="H59" s="373"/>
      <c r="I59" s="63" t="str">
        <f t="shared" si="0"/>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6.5" customHeight="1">
      <c r="A60" s="63" t="str">
        <f t="array" ref="A60">IF(C60&lt;&gt;0,SUM(($C$11:C60&lt;&gt;0)*1),"")</f>
        <v/>
      </c>
      <c r="B60" s="315"/>
      <c r="C60" s="315"/>
      <c r="D60" s="315"/>
      <c r="E60" s="432"/>
      <c r="F60" s="371"/>
      <c r="G60" s="373"/>
      <c r="H60" s="373"/>
      <c r="I60" s="63" t="str">
        <f t="shared" si="0"/>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6.5" customHeight="1">
      <c r="A61" s="63" t="str">
        <f t="array" ref="A61">IF(C61&lt;&gt;0,SUM(($C$11:C61&lt;&gt;0)*1),"")</f>
        <v/>
      </c>
      <c r="B61" s="315"/>
      <c r="C61" s="315"/>
      <c r="D61" s="315"/>
      <c r="E61" s="432"/>
      <c r="F61" s="371"/>
      <c r="G61" s="373"/>
      <c r="H61" s="373"/>
      <c r="I61" s="63" t="str">
        <f t="shared" si="0"/>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6.5" customHeight="1">
      <c r="A62" s="63" t="str">
        <f t="array" ref="A62">IF(C62&lt;&gt;0,SUM(($C$11:C62&lt;&gt;0)*1),"")</f>
        <v/>
      </c>
      <c r="B62" s="315"/>
      <c r="C62" s="315"/>
      <c r="D62" s="315"/>
      <c r="E62" s="432"/>
      <c r="F62" s="371"/>
      <c r="G62" s="373"/>
      <c r="H62" s="373"/>
      <c r="I62" s="63" t="str">
        <f t="shared" si="0"/>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6.5" customHeight="1">
      <c r="A63" s="63" t="str">
        <f t="array" ref="A63">IF(C63&lt;&gt;0,SUM(($C$11:C63&lt;&gt;0)*1),"")</f>
        <v/>
      </c>
      <c r="B63" s="315"/>
      <c r="C63" s="315"/>
      <c r="D63" s="315"/>
      <c r="E63" s="432"/>
      <c r="F63" s="371"/>
      <c r="G63" s="373"/>
      <c r="H63" s="373"/>
      <c r="I63" s="63" t="str">
        <f t="shared" si="0"/>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6.5" customHeight="1">
      <c r="A64" s="63" t="str">
        <f t="array" ref="A64">IF(C64&lt;&gt;0,SUM(($C$11:C64&lt;&gt;0)*1),"")</f>
        <v/>
      </c>
      <c r="B64" s="315"/>
      <c r="C64" s="315"/>
      <c r="D64" s="315"/>
      <c r="E64" s="432"/>
      <c r="F64" s="371"/>
      <c r="G64" s="373"/>
      <c r="H64" s="373"/>
      <c r="I64" s="63" t="str">
        <f t="shared" si="0"/>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6.5" customHeight="1">
      <c r="A65" s="63" t="str">
        <f t="array" ref="A65">IF(C65&lt;&gt;0,SUM(($C$11:C65&lt;&gt;0)*1),"")</f>
        <v/>
      </c>
      <c r="B65" s="315"/>
      <c r="C65" s="315"/>
      <c r="D65" s="315"/>
      <c r="E65" s="432"/>
      <c r="F65" s="371"/>
      <c r="G65" s="373"/>
      <c r="H65" s="373"/>
      <c r="I65" s="63" t="str">
        <f t="shared" si="0"/>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6.5" customHeight="1">
      <c r="A66" s="63" t="str">
        <f t="array" ref="A66">IF(C66&lt;&gt;0,SUM(($C$11:C66&lt;&gt;0)*1),"")</f>
        <v/>
      </c>
      <c r="B66" s="315"/>
      <c r="C66" s="315"/>
      <c r="D66" s="315"/>
      <c r="E66" s="432"/>
      <c r="F66" s="371"/>
      <c r="G66" s="373"/>
      <c r="H66" s="373"/>
      <c r="I66" s="63" t="str">
        <f t="shared" si="0"/>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6.5" customHeight="1">
      <c r="A67" s="63" t="str">
        <f t="array" ref="A67">IF(C67&lt;&gt;0,SUM(($C$11:C67&lt;&gt;0)*1),"")</f>
        <v/>
      </c>
      <c r="B67" s="315"/>
      <c r="C67" s="315"/>
      <c r="D67" s="315"/>
      <c r="E67" s="432"/>
      <c r="F67" s="371"/>
      <c r="G67" s="373"/>
      <c r="H67" s="373"/>
      <c r="I67" s="63" t="str">
        <f t="shared" si="0"/>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6.5" customHeight="1">
      <c r="A68" s="63" t="str">
        <f t="array" ref="A68">IF(C68&lt;&gt;0,SUM(($C$11:C68&lt;&gt;0)*1),"")</f>
        <v/>
      </c>
      <c r="B68" s="315"/>
      <c r="C68" s="315"/>
      <c r="D68" s="315"/>
      <c r="E68" s="432"/>
      <c r="F68" s="371"/>
      <c r="G68" s="373"/>
      <c r="H68" s="373"/>
      <c r="I68" s="63" t="str">
        <f t="shared" si="0"/>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6.5" customHeight="1">
      <c r="A69" s="63" t="str">
        <f t="array" ref="A69">IF(C69&lt;&gt;0,SUM(($C$11:C69&lt;&gt;0)*1),"")</f>
        <v/>
      </c>
      <c r="B69" s="315"/>
      <c r="C69" s="315"/>
      <c r="D69" s="315"/>
      <c r="E69" s="432"/>
      <c r="F69" s="371"/>
      <c r="G69" s="373"/>
      <c r="H69" s="373"/>
      <c r="I69" s="63" t="str">
        <f t="shared" si="0"/>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6.5" customHeight="1">
      <c r="A70" s="63" t="str">
        <f t="array" ref="A70">IF(C70&lt;&gt;0,SUM(($C$11:C70&lt;&gt;0)*1),"")</f>
        <v/>
      </c>
      <c r="B70" s="315"/>
      <c r="C70" s="315"/>
      <c r="D70" s="315"/>
      <c r="E70" s="432"/>
      <c r="F70" s="371"/>
      <c r="G70" s="373"/>
      <c r="H70" s="373"/>
      <c r="I70" s="63" t="str">
        <f t="shared" si="0"/>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6.5" customHeight="1">
      <c r="A71" s="63" t="str">
        <f t="array" ref="A71">IF(C71&lt;&gt;0,SUM(($C$11:C71&lt;&gt;0)*1),"")</f>
        <v/>
      </c>
      <c r="B71" s="315"/>
      <c r="C71" s="315"/>
      <c r="D71" s="315"/>
      <c r="E71" s="432"/>
      <c r="F71" s="371"/>
      <c r="G71" s="373"/>
      <c r="H71" s="373"/>
      <c r="I71" s="63" t="str">
        <f t="shared" si="0"/>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6.5" customHeight="1">
      <c r="A72" s="63" t="str">
        <f t="array" ref="A72">IF(C72&lt;&gt;0,SUM(($C$11:C72&lt;&gt;0)*1),"")</f>
        <v/>
      </c>
      <c r="B72" s="315"/>
      <c r="C72" s="315"/>
      <c r="D72" s="315"/>
      <c r="E72" s="432"/>
      <c r="F72" s="371"/>
      <c r="G72" s="373"/>
      <c r="H72" s="373"/>
      <c r="I72" s="63" t="str">
        <f t="shared" si="0"/>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6.5" customHeight="1">
      <c r="A73" s="63" t="str">
        <f t="array" ref="A73">IF(C73&lt;&gt;0,SUM(($C$11:C73&lt;&gt;0)*1),"")</f>
        <v/>
      </c>
      <c r="B73" s="315"/>
      <c r="C73" s="315"/>
      <c r="D73" s="315"/>
      <c r="E73" s="432"/>
      <c r="F73" s="371"/>
      <c r="G73" s="373"/>
      <c r="H73" s="373"/>
      <c r="I73" s="63" t="str">
        <f t="shared" si="0"/>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6.5" customHeight="1">
      <c r="A74" s="63" t="str">
        <f t="array" ref="A74">IF(C74&lt;&gt;0,SUM(($C$11:C74&lt;&gt;0)*1),"")</f>
        <v/>
      </c>
      <c r="B74" s="315"/>
      <c r="C74" s="315"/>
      <c r="D74" s="315"/>
      <c r="E74" s="432"/>
      <c r="F74" s="371"/>
      <c r="G74" s="373"/>
      <c r="H74" s="373"/>
      <c r="I74" s="63" t="str">
        <f t="shared" si="0"/>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6.5" customHeight="1">
      <c r="A75" s="63" t="str">
        <f t="array" ref="A75">IF(C75&lt;&gt;0,SUM(($C$11:C75&lt;&gt;0)*1),"")</f>
        <v/>
      </c>
      <c r="B75" s="315"/>
      <c r="C75" s="315"/>
      <c r="D75" s="315"/>
      <c r="E75" s="432"/>
      <c r="F75" s="371"/>
      <c r="G75" s="373"/>
      <c r="H75" s="373"/>
      <c r="I75" s="63" t="str">
        <f t="shared" si="0"/>
        <v/>
      </c>
      <c r="J75" s="317">
        <f t="shared" ref="J75:J113" si="45">IF($G75="1111",$F75,0)</f>
        <v>0</v>
      </c>
      <c r="K75" s="317">
        <f t="shared" ref="K75:K113" si="46">IF($H75="1111",$F75,0)</f>
        <v>0</v>
      </c>
      <c r="L75" s="317">
        <f t="shared" ref="L75:L113" si="47">IF($G75="1121",$F75,0)</f>
        <v>0</v>
      </c>
      <c r="M75" s="317">
        <f t="shared" ref="M75:M113" si="48">IF($H75="1121",$F75,0)</f>
        <v>0</v>
      </c>
      <c r="N75" s="317">
        <f t="shared" si="39"/>
        <v>0</v>
      </c>
      <c r="O75" s="317">
        <f t="shared" si="40"/>
        <v>0</v>
      </c>
      <c r="P75" s="317">
        <f t="shared" ref="P75:P113" si="49">IF($G75="1331",$F75,0)</f>
        <v>0</v>
      </c>
      <c r="Q75" s="317">
        <f t="shared" ref="Q75:Q113" si="50">IF($H75="1331",$F75,0)</f>
        <v>0</v>
      </c>
      <c r="R75" s="317">
        <f t="shared" ref="R75:R113" si="51">IF($G75="1388",$F75,0)</f>
        <v>0</v>
      </c>
      <c r="S75" s="317">
        <f t="shared" ref="S75:S113" si="52">IF($H75="1388",$F75,0)</f>
        <v>0</v>
      </c>
      <c r="T75" s="317">
        <f t="shared" si="41"/>
        <v>0</v>
      </c>
      <c r="U75" s="317">
        <f t="shared" si="42"/>
        <v>0</v>
      </c>
      <c r="V75" s="317">
        <f t="shared" ref="V75:V113" si="53">IF($G75="331",$F75,0)</f>
        <v>0</v>
      </c>
      <c r="W75" s="317">
        <f t="shared" ref="W75:W113" si="54">IF($H75="331",$F75,0)</f>
        <v>0</v>
      </c>
      <c r="X75" s="317">
        <f t="shared" ref="X75:X113" si="55">IF($G75="3334",$F75,0)</f>
        <v>0</v>
      </c>
      <c r="Y75" s="317">
        <f t="shared" ref="Y75:Y113" si="56">IF($H75="3334",$F75,0)</f>
        <v>0</v>
      </c>
      <c r="Z75" s="317">
        <f t="shared" ref="Z75:Z113" si="57">IF($G75="33382",$F75,0)</f>
        <v>0</v>
      </c>
      <c r="AA75" s="317">
        <f t="shared" ref="AA75:AA113" si="58">IF($H75="33382",$F75,0)</f>
        <v>0</v>
      </c>
      <c r="AB75" s="317">
        <f t="shared" ref="AB75:AB113" si="59">IF($G75="3388",$F75,0)</f>
        <v>0</v>
      </c>
      <c r="AC75" s="317">
        <f t="shared" ref="AC75:AC113" si="60">IF($H75="3388",$F75,0)</f>
        <v>0</v>
      </c>
      <c r="AD75" s="317">
        <f t="shared" ref="AD75:AD113" si="61">IF($G75="3411",$F75,0)</f>
        <v>0</v>
      </c>
      <c r="AE75" s="317">
        <f t="shared" ref="AE75:AE113" si="62">IF($H75="3411",$F75,0)</f>
        <v>0</v>
      </c>
      <c r="AF75" s="317">
        <f t="shared" si="43"/>
        <v>0</v>
      </c>
      <c r="AG75" s="317">
        <f t="shared" si="44"/>
        <v>0</v>
      </c>
      <c r="AH75" s="317">
        <f t="shared" ref="AH75:AH113" si="63">IF($G75="4111",$F75,0)</f>
        <v>0</v>
      </c>
      <c r="AI75" s="317">
        <f t="shared" ref="AI75:AI113" si="64">IF($H75="4111",$F75,0)</f>
        <v>0</v>
      </c>
      <c r="AJ75" s="317">
        <f t="shared" ref="AJ75:AJ113" si="65">IF($G75="4211",$F75,0)</f>
        <v>0</v>
      </c>
      <c r="AK75" s="317">
        <f t="shared" ref="AK75:AK113" si="66">IF($H75="4211",$F75,0)</f>
        <v>0</v>
      </c>
      <c r="AL75" s="317">
        <f t="shared" ref="AL75:AL113" si="67">IF($G75="4212",$F75,0)</f>
        <v>0</v>
      </c>
      <c r="AM75" s="317">
        <f t="shared" ref="AM75:AM113" si="68">IF($H75="4212",$F75,0)</f>
        <v>0</v>
      </c>
      <c r="AN75" s="317">
        <f t="shared" ref="AN75:AN113" si="69">IF($G75="515",$F75,0)</f>
        <v>0</v>
      </c>
      <c r="AO75" s="317">
        <f t="shared" ref="AO75:AO113" si="70">IF($H75="515",$F75,0)</f>
        <v>0</v>
      </c>
      <c r="AP75" s="317">
        <f t="shared" ref="AP75:AP113" si="71">IF($G75="635",$F75,0)</f>
        <v>0</v>
      </c>
      <c r="AQ75" s="317">
        <f t="shared" ref="AQ75:AQ113" si="72">IF($H75="635",$F75,0)</f>
        <v>0</v>
      </c>
      <c r="AR75" s="317">
        <f t="shared" ref="AR75:AR113" si="73">IF($G75="642",$F75,0)</f>
        <v>0</v>
      </c>
      <c r="AS75" s="317">
        <f t="shared" ref="AS75:AS113" si="74">IF($H75="642",$F75,0)</f>
        <v>0</v>
      </c>
      <c r="AT75" s="317">
        <f t="shared" ref="AT75:AT113" si="75">IF($G75="711",$F75,0)</f>
        <v>0</v>
      </c>
      <c r="AU75" s="317">
        <f t="shared" ref="AU75:AU113" si="76">IF($H75="711",$F75,0)</f>
        <v>0</v>
      </c>
      <c r="AV75" s="317">
        <f t="shared" ref="AV75:AV113" si="77">IF($G75="811",$F75,0)</f>
        <v>0</v>
      </c>
      <c r="AW75" s="317">
        <f t="shared" ref="AW75:AW113" si="78">IF($H75="811",$F75,0)</f>
        <v>0</v>
      </c>
      <c r="AX75" s="317">
        <f t="shared" ref="AX75:AX113" si="79">IF($G75="821",$F75,0)</f>
        <v>0</v>
      </c>
      <c r="AY75" s="317">
        <f t="shared" ref="AY75:AY113" si="80">IF($H75="821",$F75,0)</f>
        <v>0</v>
      </c>
      <c r="AZ75" s="317">
        <f t="shared" ref="AZ75:AZ113" si="81">IF($G75="911",$F75,0)</f>
        <v>0</v>
      </c>
      <c r="BA75" s="317">
        <f t="shared" ref="BA75:BA113" si="82">IF($H75="911",$F75,0)</f>
        <v>0</v>
      </c>
    </row>
    <row r="76" spans="1:53" s="314" customFormat="1" ht="16.5" customHeight="1">
      <c r="A76" s="63" t="str">
        <f t="array" ref="A76">IF(C76&lt;&gt;0,SUM(($C$11:C76&lt;&gt;0)*1),"")</f>
        <v/>
      </c>
      <c r="B76" s="315"/>
      <c r="C76" s="315"/>
      <c r="D76" s="315"/>
      <c r="E76" s="432"/>
      <c r="F76" s="371"/>
      <c r="G76" s="373"/>
      <c r="H76" s="373"/>
      <c r="I76" s="63" t="str">
        <f t="shared" si="0"/>
        <v/>
      </c>
      <c r="J76" s="317">
        <f t="shared" si="45"/>
        <v>0</v>
      </c>
      <c r="K76" s="317">
        <f t="shared" si="46"/>
        <v>0</v>
      </c>
      <c r="L76" s="317">
        <f t="shared" si="47"/>
        <v>0</v>
      </c>
      <c r="M76" s="317">
        <f t="shared" si="48"/>
        <v>0</v>
      </c>
      <c r="N76" s="317">
        <f t="shared" ref="N76:N139" si="83">IF($G76="1122",$F76,0)</f>
        <v>0</v>
      </c>
      <c r="O76" s="317">
        <f t="shared" ref="O76:O139" si="84">IF($H76="1122",$F76,0)</f>
        <v>0</v>
      </c>
      <c r="P76" s="317">
        <f t="shared" si="49"/>
        <v>0</v>
      </c>
      <c r="Q76" s="317">
        <f t="shared" si="50"/>
        <v>0</v>
      </c>
      <c r="R76" s="317">
        <f t="shared" si="51"/>
        <v>0</v>
      </c>
      <c r="S76" s="317">
        <f t="shared" si="52"/>
        <v>0</v>
      </c>
      <c r="T76" s="317">
        <f t="shared" ref="T76:T139" si="85">IF($G76="2412",$F76,0)</f>
        <v>0</v>
      </c>
      <c r="U76" s="317">
        <f t="shared" ref="U76:U139" si="86">IF($H76="2412",$F76,0)</f>
        <v>0</v>
      </c>
      <c r="V76" s="317">
        <f t="shared" si="53"/>
        <v>0</v>
      </c>
      <c r="W76" s="317">
        <f t="shared" si="54"/>
        <v>0</v>
      </c>
      <c r="X76" s="317">
        <f t="shared" si="55"/>
        <v>0</v>
      </c>
      <c r="Y76" s="317">
        <f t="shared" si="56"/>
        <v>0</v>
      </c>
      <c r="Z76" s="317">
        <f t="shared" si="57"/>
        <v>0</v>
      </c>
      <c r="AA76" s="317">
        <f t="shared" si="58"/>
        <v>0</v>
      </c>
      <c r="AB76" s="317">
        <f t="shared" si="59"/>
        <v>0</v>
      </c>
      <c r="AC76" s="317">
        <f t="shared" si="60"/>
        <v>0</v>
      </c>
      <c r="AD76" s="317">
        <f t="shared" si="61"/>
        <v>0</v>
      </c>
      <c r="AE76" s="317">
        <f t="shared" si="62"/>
        <v>0</v>
      </c>
      <c r="AF76" s="317">
        <f t="shared" ref="AF76:AF139" si="87">IF($G76="3412",$F76,0)</f>
        <v>0</v>
      </c>
      <c r="AG76" s="317">
        <f t="shared" ref="AG76:AG139" si="88">IF($H76="3412",$F76,0)</f>
        <v>0</v>
      </c>
      <c r="AH76" s="317">
        <f t="shared" si="63"/>
        <v>0</v>
      </c>
      <c r="AI76" s="317">
        <f t="shared" si="64"/>
        <v>0</v>
      </c>
      <c r="AJ76" s="317">
        <f t="shared" si="65"/>
        <v>0</v>
      </c>
      <c r="AK76" s="317">
        <f t="shared" si="66"/>
        <v>0</v>
      </c>
      <c r="AL76" s="317">
        <f t="shared" si="67"/>
        <v>0</v>
      </c>
      <c r="AM76" s="317">
        <f t="shared" si="68"/>
        <v>0</v>
      </c>
      <c r="AN76" s="317">
        <f t="shared" si="69"/>
        <v>0</v>
      </c>
      <c r="AO76" s="317">
        <f t="shared" si="70"/>
        <v>0</v>
      </c>
      <c r="AP76" s="317">
        <f t="shared" si="71"/>
        <v>0</v>
      </c>
      <c r="AQ76" s="317">
        <f t="shared" si="72"/>
        <v>0</v>
      </c>
      <c r="AR76" s="317">
        <f t="shared" si="73"/>
        <v>0</v>
      </c>
      <c r="AS76" s="317">
        <f t="shared" si="74"/>
        <v>0</v>
      </c>
      <c r="AT76" s="317">
        <f t="shared" si="75"/>
        <v>0</v>
      </c>
      <c r="AU76" s="317">
        <f t="shared" si="76"/>
        <v>0</v>
      </c>
      <c r="AV76" s="317">
        <f t="shared" si="77"/>
        <v>0</v>
      </c>
      <c r="AW76" s="317">
        <f t="shared" si="78"/>
        <v>0</v>
      </c>
      <c r="AX76" s="317">
        <f t="shared" si="79"/>
        <v>0</v>
      </c>
      <c r="AY76" s="317">
        <f t="shared" si="80"/>
        <v>0</v>
      </c>
      <c r="AZ76" s="317">
        <f t="shared" si="81"/>
        <v>0</v>
      </c>
      <c r="BA76" s="317">
        <f t="shared" si="82"/>
        <v>0</v>
      </c>
    </row>
    <row r="77" spans="1:53" s="314" customFormat="1" ht="16.5" customHeight="1">
      <c r="A77" s="63" t="str">
        <f t="array" ref="A77">IF(C77&lt;&gt;0,SUM(($C$11:C77&lt;&gt;0)*1),"")</f>
        <v/>
      </c>
      <c r="B77" s="315"/>
      <c r="C77" s="315"/>
      <c r="D77" s="315"/>
      <c r="E77" s="432"/>
      <c r="F77" s="371"/>
      <c r="G77" s="373"/>
      <c r="H77" s="373"/>
      <c r="I77" s="63" t="str">
        <f t="shared" si="0"/>
        <v/>
      </c>
      <c r="J77" s="317">
        <f t="shared" si="45"/>
        <v>0</v>
      </c>
      <c r="K77" s="317">
        <f t="shared" si="46"/>
        <v>0</v>
      </c>
      <c r="L77" s="317">
        <f t="shared" si="47"/>
        <v>0</v>
      </c>
      <c r="M77" s="317">
        <f t="shared" si="48"/>
        <v>0</v>
      </c>
      <c r="N77" s="317">
        <f t="shared" si="83"/>
        <v>0</v>
      </c>
      <c r="O77" s="317">
        <f t="shared" si="84"/>
        <v>0</v>
      </c>
      <c r="P77" s="317">
        <f t="shared" si="49"/>
        <v>0</v>
      </c>
      <c r="Q77" s="317">
        <f t="shared" si="50"/>
        <v>0</v>
      </c>
      <c r="R77" s="317">
        <f t="shared" si="51"/>
        <v>0</v>
      </c>
      <c r="S77" s="317">
        <f t="shared" si="52"/>
        <v>0</v>
      </c>
      <c r="T77" s="317">
        <f t="shared" si="85"/>
        <v>0</v>
      </c>
      <c r="U77" s="317">
        <f t="shared" si="86"/>
        <v>0</v>
      </c>
      <c r="V77" s="317">
        <f t="shared" si="53"/>
        <v>0</v>
      </c>
      <c r="W77" s="317">
        <f t="shared" si="54"/>
        <v>0</v>
      </c>
      <c r="X77" s="317">
        <f t="shared" si="55"/>
        <v>0</v>
      </c>
      <c r="Y77" s="317">
        <f t="shared" si="56"/>
        <v>0</v>
      </c>
      <c r="Z77" s="317">
        <f t="shared" si="57"/>
        <v>0</v>
      </c>
      <c r="AA77" s="317">
        <f t="shared" si="58"/>
        <v>0</v>
      </c>
      <c r="AB77" s="317">
        <f t="shared" si="59"/>
        <v>0</v>
      </c>
      <c r="AC77" s="317">
        <f t="shared" si="60"/>
        <v>0</v>
      </c>
      <c r="AD77" s="317">
        <f t="shared" si="61"/>
        <v>0</v>
      </c>
      <c r="AE77" s="317">
        <f t="shared" si="62"/>
        <v>0</v>
      </c>
      <c r="AF77" s="317">
        <f t="shared" si="87"/>
        <v>0</v>
      </c>
      <c r="AG77" s="317">
        <f t="shared" si="88"/>
        <v>0</v>
      </c>
      <c r="AH77" s="317">
        <f t="shared" si="63"/>
        <v>0</v>
      </c>
      <c r="AI77" s="317">
        <f t="shared" si="64"/>
        <v>0</v>
      </c>
      <c r="AJ77" s="317">
        <f t="shared" si="65"/>
        <v>0</v>
      </c>
      <c r="AK77" s="317">
        <f t="shared" si="66"/>
        <v>0</v>
      </c>
      <c r="AL77" s="317">
        <f t="shared" si="67"/>
        <v>0</v>
      </c>
      <c r="AM77" s="317">
        <f t="shared" si="68"/>
        <v>0</v>
      </c>
      <c r="AN77" s="317">
        <f t="shared" si="69"/>
        <v>0</v>
      </c>
      <c r="AO77" s="317">
        <f t="shared" si="70"/>
        <v>0</v>
      </c>
      <c r="AP77" s="317">
        <f t="shared" si="71"/>
        <v>0</v>
      </c>
      <c r="AQ77" s="317">
        <f t="shared" si="72"/>
        <v>0</v>
      </c>
      <c r="AR77" s="317">
        <f t="shared" si="73"/>
        <v>0</v>
      </c>
      <c r="AS77" s="317">
        <f t="shared" si="74"/>
        <v>0</v>
      </c>
      <c r="AT77" s="317">
        <f t="shared" si="75"/>
        <v>0</v>
      </c>
      <c r="AU77" s="317">
        <f t="shared" si="76"/>
        <v>0</v>
      </c>
      <c r="AV77" s="317">
        <f t="shared" si="77"/>
        <v>0</v>
      </c>
      <c r="AW77" s="317">
        <f t="shared" si="78"/>
        <v>0</v>
      </c>
      <c r="AX77" s="317">
        <f t="shared" si="79"/>
        <v>0</v>
      </c>
      <c r="AY77" s="317">
        <f t="shared" si="80"/>
        <v>0</v>
      </c>
      <c r="AZ77" s="317">
        <f t="shared" si="81"/>
        <v>0</v>
      </c>
      <c r="BA77" s="317">
        <f t="shared" si="82"/>
        <v>0</v>
      </c>
    </row>
    <row r="78" spans="1:53" s="314" customFormat="1" ht="16.5" customHeight="1">
      <c r="A78" s="63" t="str">
        <f t="array" ref="A78">IF(C78&lt;&gt;0,SUM(($C$11:C78&lt;&gt;0)*1),"")</f>
        <v/>
      </c>
      <c r="B78" s="315"/>
      <c r="C78" s="315"/>
      <c r="D78" s="315"/>
      <c r="E78" s="432"/>
      <c r="F78" s="371"/>
      <c r="G78" s="373"/>
      <c r="H78" s="373"/>
      <c r="I78" s="63" t="str">
        <f t="shared" si="0"/>
        <v/>
      </c>
      <c r="J78" s="317">
        <f t="shared" si="45"/>
        <v>0</v>
      </c>
      <c r="K78" s="317">
        <f t="shared" si="46"/>
        <v>0</v>
      </c>
      <c r="L78" s="317">
        <f t="shared" si="47"/>
        <v>0</v>
      </c>
      <c r="M78" s="317">
        <f t="shared" si="48"/>
        <v>0</v>
      </c>
      <c r="N78" s="317">
        <f t="shared" si="83"/>
        <v>0</v>
      </c>
      <c r="O78" s="317">
        <f t="shared" si="84"/>
        <v>0</v>
      </c>
      <c r="P78" s="317">
        <f t="shared" si="49"/>
        <v>0</v>
      </c>
      <c r="Q78" s="317">
        <f t="shared" si="50"/>
        <v>0</v>
      </c>
      <c r="R78" s="317">
        <f t="shared" si="51"/>
        <v>0</v>
      </c>
      <c r="S78" s="317">
        <f t="shared" si="52"/>
        <v>0</v>
      </c>
      <c r="T78" s="317">
        <f t="shared" si="85"/>
        <v>0</v>
      </c>
      <c r="U78" s="317">
        <f t="shared" si="86"/>
        <v>0</v>
      </c>
      <c r="V78" s="317">
        <f t="shared" si="53"/>
        <v>0</v>
      </c>
      <c r="W78" s="317">
        <f t="shared" si="54"/>
        <v>0</v>
      </c>
      <c r="X78" s="317">
        <f t="shared" si="55"/>
        <v>0</v>
      </c>
      <c r="Y78" s="317">
        <f t="shared" si="56"/>
        <v>0</v>
      </c>
      <c r="Z78" s="317">
        <f t="shared" si="57"/>
        <v>0</v>
      </c>
      <c r="AA78" s="317">
        <f t="shared" si="58"/>
        <v>0</v>
      </c>
      <c r="AB78" s="317">
        <f t="shared" si="59"/>
        <v>0</v>
      </c>
      <c r="AC78" s="317">
        <f t="shared" si="60"/>
        <v>0</v>
      </c>
      <c r="AD78" s="317">
        <f t="shared" si="61"/>
        <v>0</v>
      </c>
      <c r="AE78" s="317">
        <f t="shared" si="62"/>
        <v>0</v>
      </c>
      <c r="AF78" s="317">
        <f t="shared" si="87"/>
        <v>0</v>
      </c>
      <c r="AG78" s="317">
        <f t="shared" si="88"/>
        <v>0</v>
      </c>
      <c r="AH78" s="317">
        <f t="shared" si="63"/>
        <v>0</v>
      </c>
      <c r="AI78" s="317">
        <f t="shared" si="64"/>
        <v>0</v>
      </c>
      <c r="AJ78" s="317">
        <f t="shared" si="65"/>
        <v>0</v>
      </c>
      <c r="AK78" s="317">
        <f t="shared" si="66"/>
        <v>0</v>
      </c>
      <c r="AL78" s="317">
        <f t="shared" si="67"/>
        <v>0</v>
      </c>
      <c r="AM78" s="317">
        <f t="shared" si="68"/>
        <v>0</v>
      </c>
      <c r="AN78" s="317">
        <f t="shared" si="69"/>
        <v>0</v>
      </c>
      <c r="AO78" s="317">
        <f t="shared" si="70"/>
        <v>0</v>
      </c>
      <c r="AP78" s="317">
        <f t="shared" si="71"/>
        <v>0</v>
      </c>
      <c r="AQ78" s="317">
        <f t="shared" si="72"/>
        <v>0</v>
      </c>
      <c r="AR78" s="317">
        <f t="shared" si="73"/>
        <v>0</v>
      </c>
      <c r="AS78" s="317">
        <f t="shared" si="74"/>
        <v>0</v>
      </c>
      <c r="AT78" s="317">
        <f t="shared" si="75"/>
        <v>0</v>
      </c>
      <c r="AU78" s="317">
        <f t="shared" si="76"/>
        <v>0</v>
      </c>
      <c r="AV78" s="317">
        <f t="shared" si="77"/>
        <v>0</v>
      </c>
      <c r="AW78" s="317">
        <f t="shared" si="78"/>
        <v>0</v>
      </c>
      <c r="AX78" s="317">
        <f t="shared" si="79"/>
        <v>0</v>
      </c>
      <c r="AY78" s="317">
        <f t="shared" si="80"/>
        <v>0</v>
      </c>
      <c r="AZ78" s="317">
        <f t="shared" si="81"/>
        <v>0</v>
      </c>
      <c r="BA78" s="317">
        <f t="shared" si="82"/>
        <v>0</v>
      </c>
    </row>
    <row r="79" spans="1:53" s="314" customFormat="1" ht="16.5" customHeight="1">
      <c r="A79" s="63" t="str">
        <f t="array" ref="A79">IF(C79&lt;&gt;0,SUM(($C$11:C79&lt;&gt;0)*1),"")</f>
        <v/>
      </c>
      <c r="B79" s="315"/>
      <c r="C79" s="315"/>
      <c r="D79" s="315"/>
      <c r="E79" s="432"/>
      <c r="F79" s="371"/>
      <c r="G79" s="373"/>
      <c r="H79" s="373"/>
      <c r="I79" s="63" t="str">
        <f t="shared" si="0"/>
        <v/>
      </c>
      <c r="J79" s="317">
        <f t="shared" si="45"/>
        <v>0</v>
      </c>
      <c r="K79" s="317">
        <f t="shared" si="46"/>
        <v>0</v>
      </c>
      <c r="L79" s="317">
        <f t="shared" si="47"/>
        <v>0</v>
      </c>
      <c r="M79" s="317">
        <f t="shared" si="48"/>
        <v>0</v>
      </c>
      <c r="N79" s="317">
        <f t="shared" si="83"/>
        <v>0</v>
      </c>
      <c r="O79" s="317">
        <f t="shared" si="84"/>
        <v>0</v>
      </c>
      <c r="P79" s="317">
        <f t="shared" si="49"/>
        <v>0</v>
      </c>
      <c r="Q79" s="317">
        <f t="shared" si="50"/>
        <v>0</v>
      </c>
      <c r="R79" s="317">
        <f t="shared" si="51"/>
        <v>0</v>
      </c>
      <c r="S79" s="317">
        <f t="shared" si="52"/>
        <v>0</v>
      </c>
      <c r="T79" s="317">
        <f t="shared" si="85"/>
        <v>0</v>
      </c>
      <c r="U79" s="317">
        <f t="shared" si="86"/>
        <v>0</v>
      </c>
      <c r="V79" s="317">
        <f t="shared" si="53"/>
        <v>0</v>
      </c>
      <c r="W79" s="317">
        <f t="shared" si="54"/>
        <v>0</v>
      </c>
      <c r="X79" s="317">
        <f t="shared" si="55"/>
        <v>0</v>
      </c>
      <c r="Y79" s="317">
        <f t="shared" si="56"/>
        <v>0</v>
      </c>
      <c r="Z79" s="317">
        <f t="shared" si="57"/>
        <v>0</v>
      </c>
      <c r="AA79" s="317">
        <f t="shared" si="58"/>
        <v>0</v>
      </c>
      <c r="AB79" s="317">
        <f t="shared" si="59"/>
        <v>0</v>
      </c>
      <c r="AC79" s="317">
        <f t="shared" si="60"/>
        <v>0</v>
      </c>
      <c r="AD79" s="317">
        <f t="shared" si="61"/>
        <v>0</v>
      </c>
      <c r="AE79" s="317">
        <f t="shared" si="62"/>
        <v>0</v>
      </c>
      <c r="AF79" s="317">
        <f t="shared" si="87"/>
        <v>0</v>
      </c>
      <c r="AG79" s="317">
        <f t="shared" si="88"/>
        <v>0</v>
      </c>
      <c r="AH79" s="317">
        <f t="shared" si="63"/>
        <v>0</v>
      </c>
      <c r="AI79" s="317">
        <f t="shared" si="64"/>
        <v>0</v>
      </c>
      <c r="AJ79" s="317">
        <f t="shared" si="65"/>
        <v>0</v>
      </c>
      <c r="AK79" s="317">
        <f t="shared" si="66"/>
        <v>0</v>
      </c>
      <c r="AL79" s="317">
        <f t="shared" si="67"/>
        <v>0</v>
      </c>
      <c r="AM79" s="317">
        <f t="shared" si="68"/>
        <v>0</v>
      </c>
      <c r="AN79" s="317">
        <f t="shared" si="69"/>
        <v>0</v>
      </c>
      <c r="AO79" s="317">
        <f t="shared" si="70"/>
        <v>0</v>
      </c>
      <c r="AP79" s="317">
        <f t="shared" si="71"/>
        <v>0</v>
      </c>
      <c r="AQ79" s="317">
        <f t="shared" si="72"/>
        <v>0</v>
      </c>
      <c r="AR79" s="317">
        <f t="shared" si="73"/>
        <v>0</v>
      </c>
      <c r="AS79" s="317">
        <f t="shared" si="74"/>
        <v>0</v>
      </c>
      <c r="AT79" s="317">
        <f t="shared" si="75"/>
        <v>0</v>
      </c>
      <c r="AU79" s="317">
        <f t="shared" si="76"/>
        <v>0</v>
      </c>
      <c r="AV79" s="317">
        <f t="shared" si="77"/>
        <v>0</v>
      </c>
      <c r="AW79" s="317">
        <f t="shared" si="78"/>
        <v>0</v>
      </c>
      <c r="AX79" s="317">
        <f t="shared" si="79"/>
        <v>0</v>
      </c>
      <c r="AY79" s="317">
        <f t="shared" si="80"/>
        <v>0</v>
      </c>
      <c r="AZ79" s="317">
        <f t="shared" si="81"/>
        <v>0</v>
      </c>
      <c r="BA79" s="317">
        <f t="shared" si="82"/>
        <v>0</v>
      </c>
    </row>
    <row r="80" spans="1:53" s="314" customFormat="1" ht="16.5" customHeight="1">
      <c r="A80" s="63" t="str">
        <f t="array" ref="A80">IF(C80&lt;&gt;0,SUM(($C$11:C80&lt;&gt;0)*1),"")</f>
        <v/>
      </c>
      <c r="B80" s="315"/>
      <c r="C80" s="315"/>
      <c r="D80" s="315"/>
      <c r="E80" s="432"/>
      <c r="F80" s="371"/>
      <c r="G80" s="373"/>
      <c r="H80" s="373"/>
      <c r="I80" s="63" t="str">
        <f t="shared" si="0"/>
        <v/>
      </c>
      <c r="J80" s="317">
        <f t="shared" si="45"/>
        <v>0</v>
      </c>
      <c r="K80" s="317">
        <f t="shared" si="46"/>
        <v>0</v>
      </c>
      <c r="L80" s="317">
        <f t="shared" si="47"/>
        <v>0</v>
      </c>
      <c r="M80" s="317">
        <f t="shared" si="48"/>
        <v>0</v>
      </c>
      <c r="N80" s="317">
        <f t="shared" si="83"/>
        <v>0</v>
      </c>
      <c r="O80" s="317">
        <f t="shared" si="84"/>
        <v>0</v>
      </c>
      <c r="P80" s="317">
        <f t="shared" si="49"/>
        <v>0</v>
      </c>
      <c r="Q80" s="317">
        <f t="shared" si="50"/>
        <v>0</v>
      </c>
      <c r="R80" s="317">
        <f t="shared" si="51"/>
        <v>0</v>
      </c>
      <c r="S80" s="317">
        <f t="shared" si="52"/>
        <v>0</v>
      </c>
      <c r="T80" s="317">
        <f t="shared" si="85"/>
        <v>0</v>
      </c>
      <c r="U80" s="317">
        <f t="shared" si="86"/>
        <v>0</v>
      </c>
      <c r="V80" s="317">
        <f t="shared" si="53"/>
        <v>0</v>
      </c>
      <c r="W80" s="317">
        <f t="shared" si="54"/>
        <v>0</v>
      </c>
      <c r="X80" s="317">
        <f t="shared" si="55"/>
        <v>0</v>
      </c>
      <c r="Y80" s="317">
        <f t="shared" si="56"/>
        <v>0</v>
      </c>
      <c r="Z80" s="317">
        <f t="shared" si="57"/>
        <v>0</v>
      </c>
      <c r="AA80" s="317">
        <f t="shared" si="58"/>
        <v>0</v>
      </c>
      <c r="AB80" s="317">
        <f t="shared" si="59"/>
        <v>0</v>
      </c>
      <c r="AC80" s="317">
        <f t="shared" si="60"/>
        <v>0</v>
      </c>
      <c r="AD80" s="317">
        <f t="shared" si="61"/>
        <v>0</v>
      </c>
      <c r="AE80" s="317">
        <f t="shared" si="62"/>
        <v>0</v>
      </c>
      <c r="AF80" s="317">
        <f t="shared" si="87"/>
        <v>0</v>
      </c>
      <c r="AG80" s="317">
        <f t="shared" si="88"/>
        <v>0</v>
      </c>
      <c r="AH80" s="317">
        <f t="shared" si="63"/>
        <v>0</v>
      </c>
      <c r="AI80" s="317">
        <f t="shared" si="64"/>
        <v>0</v>
      </c>
      <c r="AJ80" s="317">
        <f t="shared" si="65"/>
        <v>0</v>
      </c>
      <c r="AK80" s="317">
        <f t="shared" si="66"/>
        <v>0</v>
      </c>
      <c r="AL80" s="317">
        <f t="shared" si="67"/>
        <v>0</v>
      </c>
      <c r="AM80" s="317">
        <f t="shared" si="68"/>
        <v>0</v>
      </c>
      <c r="AN80" s="317">
        <f t="shared" si="69"/>
        <v>0</v>
      </c>
      <c r="AO80" s="317">
        <f t="shared" si="70"/>
        <v>0</v>
      </c>
      <c r="AP80" s="317">
        <f t="shared" si="71"/>
        <v>0</v>
      </c>
      <c r="AQ80" s="317">
        <f t="shared" si="72"/>
        <v>0</v>
      </c>
      <c r="AR80" s="317">
        <f t="shared" si="73"/>
        <v>0</v>
      </c>
      <c r="AS80" s="317">
        <f t="shared" si="74"/>
        <v>0</v>
      </c>
      <c r="AT80" s="317">
        <f t="shared" si="75"/>
        <v>0</v>
      </c>
      <c r="AU80" s="317">
        <f t="shared" si="76"/>
        <v>0</v>
      </c>
      <c r="AV80" s="317">
        <f t="shared" si="77"/>
        <v>0</v>
      </c>
      <c r="AW80" s="317">
        <f t="shared" si="78"/>
        <v>0</v>
      </c>
      <c r="AX80" s="317">
        <f t="shared" si="79"/>
        <v>0</v>
      </c>
      <c r="AY80" s="317">
        <f t="shared" si="80"/>
        <v>0</v>
      </c>
      <c r="AZ80" s="317">
        <f t="shared" si="81"/>
        <v>0</v>
      </c>
      <c r="BA80" s="317">
        <f t="shared" si="82"/>
        <v>0</v>
      </c>
    </row>
    <row r="81" spans="1:53" s="314" customFormat="1" ht="16.5" customHeight="1">
      <c r="A81" s="63" t="str">
        <f t="array" ref="A81">IF(C81&lt;&gt;0,SUM(($C$11:C81&lt;&gt;0)*1),"")</f>
        <v/>
      </c>
      <c r="B81" s="315"/>
      <c r="C81" s="315"/>
      <c r="D81" s="315"/>
      <c r="E81" s="432"/>
      <c r="F81" s="371"/>
      <c r="G81" s="373"/>
      <c r="H81" s="373"/>
      <c r="I81" s="63" t="str">
        <f t="shared" si="0"/>
        <v/>
      </c>
      <c r="J81" s="317">
        <f t="shared" si="45"/>
        <v>0</v>
      </c>
      <c r="K81" s="317">
        <f t="shared" si="46"/>
        <v>0</v>
      </c>
      <c r="L81" s="317">
        <f t="shared" si="47"/>
        <v>0</v>
      </c>
      <c r="M81" s="317">
        <f t="shared" si="48"/>
        <v>0</v>
      </c>
      <c r="N81" s="317">
        <f t="shared" si="83"/>
        <v>0</v>
      </c>
      <c r="O81" s="317">
        <f t="shared" si="84"/>
        <v>0</v>
      </c>
      <c r="P81" s="317">
        <f t="shared" si="49"/>
        <v>0</v>
      </c>
      <c r="Q81" s="317">
        <f t="shared" si="50"/>
        <v>0</v>
      </c>
      <c r="R81" s="317">
        <f t="shared" si="51"/>
        <v>0</v>
      </c>
      <c r="S81" s="317">
        <f t="shared" si="52"/>
        <v>0</v>
      </c>
      <c r="T81" s="317">
        <f t="shared" si="85"/>
        <v>0</v>
      </c>
      <c r="U81" s="317">
        <f t="shared" si="86"/>
        <v>0</v>
      </c>
      <c r="V81" s="317">
        <f t="shared" si="53"/>
        <v>0</v>
      </c>
      <c r="W81" s="317">
        <f t="shared" si="54"/>
        <v>0</v>
      </c>
      <c r="X81" s="317">
        <f t="shared" si="55"/>
        <v>0</v>
      </c>
      <c r="Y81" s="317">
        <f t="shared" si="56"/>
        <v>0</v>
      </c>
      <c r="Z81" s="317">
        <f t="shared" si="57"/>
        <v>0</v>
      </c>
      <c r="AA81" s="317">
        <f t="shared" si="58"/>
        <v>0</v>
      </c>
      <c r="AB81" s="317">
        <f t="shared" si="59"/>
        <v>0</v>
      </c>
      <c r="AC81" s="317">
        <f t="shared" si="60"/>
        <v>0</v>
      </c>
      <c r="AD81" s="317">
        <f t="shared" si="61"/>
        <v>0</v>
      </c>
      <c r="AE81" s="317">
        <f t="shared" si="62"/>
        <v>0</v>
      </c>
      <c r="AF81" s="317">
        <f t="shared" si="87"/>
        <v>0</v>
      </c>
      <c r="AG81" s="317">
        <f t="shared" si="88"/>
        <v>0</v>
      </c>
      <c r="AH81" s="317">
        <f t="shared" si="63"/>
        <v>0</v>
      </c>
      <c r="AI81" s="317">
        <f t="shared" si="64"/>
        <v>0</v>
      </c>
      <c r="AJ81" s="317">
        <f t="shared" si="65"/>
        <v>0</v>
      </c>
      <c r="AK81" s="317">
        <f t="shared" si="66"/>
        <v>0</v>
      </c>
      <c r="AL81" s="317">
        <f t="shared" si="67"/>
        <v>0</v>
      </c>
      <c r="AM81" s="317">
        <f t="shared" si="68"/>
        <v>0</v>
      </c>
      <c r="AN81" s="317">
        <f t="shared" si="69"/>
        <v>0</v>
      </c>
      <c r="AO81" s="317">
        <f t="shared" si="70"/>
        <v>0</v>
      </c>
      <c r="AP81" s="317">
        <f t="shared" si="71"/>
        <v>0</v>
      </c>
      <c r="AQ81" s="317">
        <f t="shared" si="72"/>
        <v>0</v>
      </c>
      <c r="AR81" s="317">
        <f t="shared" si="73"/>
        <v>0</v>
      </c>
      <c r="AS81" s="317">
        <f t="shared" si="74"/>
        <v>0</v>
      </c>
      <c r="AT81" s="317">
        <f t="shared" si="75"/>
        <v>0</v>
      </c>
      <c r="AU81" s="317">
        <f t="shared" si="76"/>
        <v>0</v>
      </c>
      <c r="AV81" s="317">
        <f t="shared" si="77"/>
        <v>0</v>
      </c>
      <c r="AW81" s="317">
        <f t="shared" si="78"/>
        <v>0</v>
      </c>
      <c r="AX81" s="317">
        <f t="shared" si="79"/>
        <v>0</v>
      </c>
      <c r="AY81" s="317">
        <f t="shared" si="80"/>
        <v>0</v>
      </c>
      <c r="AZ81" s="317">
        <f t="shared" si="81"/>
        <v>0</v>
      </c>
      <c r="BA81" s="317">
        <f t="shared" si="82"/>
        <v>0</v>
      </c>
    </row>
    <row r="82" spans="1:53" s="314" customFormat="1" ht="16.5" customHeight="1">
      <c r="A82" s="63" t="str">
        <f t="array" ref="A82">IF(C82&lt;&gt;0,SUM(($C$11:C82&lt;&gt;0)*1),"")</f>
        <v/>
      </c>
      <c r="B82" s="315"/>
      <c r="C82" s="315"/>
      <c r="D82" s="315"/>
      <c r="E82" s="432"/>
      <c r="F82" s="371"/>
      <c r="G82" s="373"/>
      <c r="H82" s="373"/>
      <c r="I82" s="63" t="str">
        <f t="shared" si="0"/>
        <v/>
      </c>
      <c r="J82" s="317">
        <f t="shared" si="45"/>
        <v>0</v>
      </c>
      <c r="K82" s="317">
        <f t="shared" si="46"/>
        <v>0</v>
      </c>
      <c r="L82" s="317">
        <f t="shared" si="47"/>
        <v>0</v>
      </c>
      <c r="M82" s="317">
        <f t="shared" si="48"/>
        <v>0</v>
      </c>
      <c r="N82" s="317">
        <f t="shared" si="83"/>
        <v>0</v>
      </c>
      <c r="O82" s="317">
        <f t="shared" si="84"/>
        <v>0</v>
      </c>
      <c r="P82" s="317">
        <f t="shared" si="49"/>
        <v>0</v>
      </c>
      <c r="Q82" s="317">
        <f t="shared" si="50"/>
        <v>0</v>
      </c>
      <c r="R82" s="317">
        <f t="shared" si="51"/>
        <v>0</v>
      </c>
      <c r="S82" s="317">
        <f t="shared" si="52"/>
        <v>0</v>
      </c>
      <c r="T82" s="317">
        <f t="shared" si="85"/>
        <v>0</v>
      </c>
      <c r="U82" s="317">
        <f t="shared" si="86"/>
        <v>0</v>
      </c>
      <c r="V82" s="317">
        <f t="shared" si="53"/>
        <v>0</v>
      </c>
      <c r="W82" s="317">
        <f t="shared" si="54"/>
        <v>0</v>
      </c>
      <c r="X82" s="317">
        <f t="shared" si="55"/>
        <v>0</v>
      </c>
      <c r="Y82" s="317">
        <f t="shared" si="56"/>
        <v>0</v>
      </c>
      <c r="Z82" s="317">
        <f t="shared" si="57"/>
        <v>0</v>
      </c>
      <c r="AA82" s="317">
        <f t="shared" si="58"/>
        <v>0</v>
      </c>
      <c r="AB82" s="317">
        <f t="shared" si="59"/>
        <v>0</v>
      </c>
      <c r="AC82" s="317">
        <f t="shared" si="60"/>
        <v>0</v>
      </c>
      <c r="AD82" s="317">
        <f t="shared" si="61"/>
        <v>0</v>
      </c>
      <c r="AE82" s="317">
        <f t="shared" si="62"/>
        <v>0</v>
      </c>
      <c r="AF82" s="317">
        <f t="shared" si="87"/>
        <v>0</v>
      </c>
      <c r="AG82" s="317">
        <f t="shared" si="88"/>
        <v>0</v>
      </c>
      <c r="AH82" s="317">
        <f t="shared" si="63"/>
        <v>0</v>
      </c>
      <c r="AI82" s="317">
        <f t="shared" si="64"/>
        <v>0</v>
      </c>
      <c r="AJ82" s="317">
        <f t="shared" si="65"/>
        <v>0</v>
      </c>
      <c r="AK82" s="317">
        <f t="shared" si="66"/>
        <v>0</v>
      </c>
      <c r="AL82" s="317">
        <f t="shared" si="67"/>
        <v>0</v>
      </c>
      <c r="AM82" s="317">
        <f t="shared" si="68"/>
        <v>0</v>
      </c>
      <c r="AN82" s="317">
        <f t="shared" si="69"/>
        <v>0</v>
      </c>
      <c r="AO82" s="317">
        <f t="shared" si="70"/>
        <v>0</v>
      </c>
      <c r="AP82" s="317">
        <f t="shared" si="71"/>
        <v>0</v>
      </c>
      <c r="AQ82" s="317">
        <f t="shared" si="72"/>
        <v>0</v>
      </c>
      <c r="AR82" s="317">
        <f t="shared" si="73"/>
        <v>0</v>
      </c>
      <c r="AS82" s="317">
        <f t="shared" si="74"/>
        <v>0</v>
      </c>
      <c r="AT82" s="317">
        <f t="shared" si="75"/>
        <v>0</v>
      </c>
      <c r="AU82" s="317">
        <f t="shared" si="76"/>
        <v>0</v>
      </c>
      <c r="AV82" s="317">
        <f t="shared" si="77"/>
        <v>0</v>
      </c>
      <c r="AW82" s="317">
        <f t="shared" si="78"/>
        <v>0</v>
      </c>
      <c r="AX82" s="317">
        <f t="shared" si="79"/>
        <v>0</v>
      </c>
      <c r="AY82" s="317">
        <f t="shared" si="80"/>
        <v>0</v>
      </c>
      <c r="AZ82" s="317">
        <f t="shared" si="81"/>
        <v>0</v>
      </c>
      <c r="BA82" s="317">
        <f t="shared" si="82"/>
        <v>0</v>
      </c>
    </row>
    <row r="83" spans="1:53" s="314" customFormat="1" ht="16.5" customHeight="1">
      <c r="A83" s="63" t="str">
        <f t="array" ref="A83">IF(C83&lt;&gt;0,SUM(($C$11:C83&lt;&gt;0)*1),"")</f>
        <v/>
      </c>
      <c r="B83" s="315"/>
      <c r="C83" s="315"/>
      <c r="D83" s="315"/>
      <c r="E83" s="432"/>
      <c r="F83" s="371"/>
      <c r="G83" s="373"/>
      <c r="H83" s="373"/>
      <c r="I83" s="63" t="str">
        <f t="shared" si="0"/>
        <v/>
      </c>
      <c r="J83" s="317">
        <f t="shared" si="45"/>
        <v>0</v>
      </c>
      <c r="K83" s="317">
        <f t="shared" si="46"/>
        <v>0</v>
      </c>
      <c r="L83" s="317">
        <f t="shared" si="47"/>
        <v>0</v>
      </c>
      <c r="M83" s="317">
        <f t="shared" si="48"/>
        <v>0</v>
      </c>
      <c r="N83" s="317">
        <f t="shared" si="83"/>
        <v>0</v>
      </c>
      <c r="O83" s="317">
        <f t="shared" si="84"/>
        <v>0</v>
      </c>
      <c r="P83" s="317">
        <f t="shared" si="49"/>
        <v>0</v>
      </c>
      <c r="Q83" s="317">
        <f t="shared" si="50"/>
        <v>0</v>
      </c>
      <c r="R83" s="317">
        <f t="shared" si="51"/>
        <v>0</v>
      </c>
      <c r="S83" s="317">
        <f t="shared" si="52"/>
        <v>0</v>
      </c>
      <c r="T83" s="317">
        <f t="shared" si="85"/>
        <v>0</v>
      </c>
      <c r="U83" s="317">
        <f t="shared" si="86"/>
        <v>0</v>
      </c>
      <c r="V83" s="317">
        <f t="shared" si="53"/>
        <v>0</v>
      </c>
      <c r="W83" s="317">
        <f t="shared" si="54"/>
        <v>0</v>
      </c>
      <c r="X83" s="317">
        <f t="shared" si="55"/>
        <v>0</v>
      </c>
      <c r="Y83" s="317">
        <f t="shared" si="56"/>
        <v>0</v>
      </c>
      <c r="Z83" s="317">
        <f t="shared" si="57"/>
        <v>0</v>
      </c>
      <c r="AA83" s="317">
        <f t="shared" si="58"/>
        <v>0</v>
      </c>
      <c r="AB83" s="317">
        <f t="shared" si="59"/>
        <v>0</v>
      </c>
      <c r="AC83" s="317">
        <f t="shared" si="60"/>
        <v>0</v>
      </c>
      <c r="AD83" s="317">
        <f t="shared" si="61"/>
        <v>0</v>
      </c>
      <c r="AE83" s="317">
        <f t="shared" si="62"/>
        <v>0</v>
      </c>
      <c r="AF83" s="317">
        <f t="shared" si="87"/>
        <v>0</v>
      </c>
      <c r="AG83" s="317">
        <f t="shared" si="88"/>
        <v>0</v>
      </c>
      <c r="AH83" s="317">
        <f t="shared" si="63"/>
        <v>0</v>
      </c>
      <c r="AI83" s="317">
        <f t="shared" si="64"/>
        <v>0</v>
      </c>
      <c r="AJ83" s="317">
        <f t="shared" si="65"/>
        <v>0</v>
      </c>
      <c r="AK83" s="317">
        <f t="shared" si="66"/>
        <v>0</v>
      </c>
      <c r="AL83" s="317">
        <f t="shared" si="67"/>
        <v>0</v>
      </c>
      <c r="AM83" s="317">
        <f t="shared" si="68"/>
        <v>0</v>
      </c>
      <c r="AN83" s="317">
        <f t="shared" si="69"/>
        <v>0</v>
      </c>
      <c r="AO83" s="317">
        <f t="shared" si="70"/>
        <v>0</v>
      </c>
      <c r="AP83" s="317">
        <f t="shared" si="71"/>
        <v>0</v>
      </c>
      <c r="AQ83" s="317">
        <f t="shared" si="72"/>
        <v>0</v>
      </c>
      <c r="AR83" s="317">
        <f t="shared" si="73"/>
        <v>0</v>
      </c>
      <c r="AS83" s="317">
        <f t="shared" si="74"/>
        <v>0</v>
      </c>
      <c r="AT83" s="317">
        <f t="shared" si="75"/>
        <v>0</v>
      </c>
      <c r="AU83" s="317">
        <f t="shared" si="76"/>
        <v>0</v>
      </c>
      <c r="AV83" s="317">
        <f t="shared" si="77"/>
        <v>0</v>
      </c>
      <c r="AW83" s="317">
        <f t="shared" si="78"/>
        <v>0</v>
      </c>
      <c r="AX83" s="317">
        <f t="shared" si="79"/>
        <v>0</v>
      </c>
      <c r="AY83" s="317">
        <f t="shared" si="80"/>
        <v>0</v>
      </c>
      <c r="AZ83" s="317">
        <f t="shared" si="81"/>
        <v>0</v>
      </c>
      <c r="BA83" s="317">
        <f t="shared" si="82"/>
        <v>0</v>
      </c>
    </row>
    <row r="84" spans="1:53" s="314" customFormat="1" ht="16.5" customHeight="1">
      <c r="A84" s="63" t="str">
        <f t="array" ref="A84">IF(C84&lt;&gt;0,SUM(($C$11:C84&lt;&gt;0)*1),"")</f>
        <v/>
      </c>
      <c r="B84" s="315"/>
      <c r="C84" s="315"/>
      <c r="D84" s="315"/>
      <c r="E84" s="432"/>
      <c r="F84" s="371"/>
      <c r="G84" s="373"/>
      <c r="H84" s="373"/>
      <c r="I84" s="63" t="str">
        <f t="shared" si="0"/>
        <v/>
      </c>
      <c r="J84" s="317">
        <f t="shared" si="45"/>
        <v>0</v>
      </c>
      <c r="K84" s="317">
        <f t="shared" si="46"/>
        <v>0</v>
      </c>
      <c r="L84" s="317">
        <f t="shared" si="47"/>
        <v>0</v>
      </c>
      <c r="M84" s="317">
        <f t="shared" si="48"/>
        <v>0</v>
      </c>
      <c r="N84" s="317">
        <f t="shared" si="83"/>
        <v>0</v>
      </c>
      <c r="O84" s="317">
        <f t="shared" si="84"/>
        <v>0</v>
      </c>
      <c r="P84" s="317">
        <f t="shared" si="49"/>
        <v>0</v>
      </c>
      <c r="Q84" s="317">
        <f t="shared" si="50"/>
        <v>0</v>
      </c>
      <c r="R84" s="317">
        <f t="shared" si="51"/>
        <v>0</v>
      </c>
      <c r="S84" s="317">
        <f t="shared" si="52"/>
        <v>0</v>
      </c>
      <c r="T84" s="317">
        <f t="shared" si="85"/>
        <v>0</v>
      </c>
      <c r="U84" s="317">
        <f t="shared" si="86"/>
        <v>0</v>
      </c>
      <c r="V84" s="317">
        <f t="shared" si="53"/>
        <v>0</v>
      </c>
      <c r="W84" s="317">
        <f t="shared" si="54"/>
        <v>0</v>
      </c>
      <c r="X84" s="317">
        <f t="shared" si="55"/>
        <v>0</v>
      </c>
      <c r="Y84" s="317">
        <f t="shared" si="56"/>
        <v>0</v>
      </c>
      <c r="Z84" s="317">
        <f t="shared" si="57"/>
        <v>0</v>
      </c>
      <c r="AA84" s="317">
        <f t="shared" si="58"/>
        <v>0</v>
      </c>
      <c r="AB84" s="317">
        <f t="shared" si="59"/>
        <v>0</v>
      </c>
      <c r="AC84" s="317">
        <f t="shared" si="60"/>
        <v>0</v>
      </c>
      <c r="AD84" s="317">
        <f t="shared" si="61"/>
        <v>0</v>
      </c>
      <c r="AE84" s="317">
        <f t="shared" si="62"/>
        <v>0</v>
      </c>
      <c r="AF84" s="317">
        <f t="shared" si="87"/>
        <v>0</v>
      </c>
      <c r="AG84" s="317">
        <f t="shared" si="88"/>
        <v>0</v>
      </c>
      <c r="AH84" s="317">
        <f t="shared" si="63"/>
        <v>0</v>
      </c>
      <c r="AI84" s="317">
        <f t="shared" si="64"/>
        <v>0</v>
      </c>
      <c r="AJ84" s="317">
        <f t="shared" si="65"/>
        <v>0</v>
      </c>
      <c r="AK84" s="317">
        <f t="shared" si="66"/>
        <v>0</v>
      </c>
      <c r="AL84" s="317">
        <f t="shared" si="67"/>
        <v>0</v>
      </c>
      <c r="AM84" s="317">
        <f t="shared" si="68"/>
        <v>0</v>
      </c>
      <c r="AN84" s="317">
        <f t="shared" si="69"/>
        <v>0</v>
      </c>
      <c r="AO84" s="317">
        <f t="shared" si="70"/>
        <v>0</v>
      </c>
      <c r="AP84" s="317">
        <f t="shared" si="71"/>
        <v>0</v>
      </c>
      <c r="AQ84" s="317">
        <f t="shared" si="72"/>
        <v>0</v>
      </c>
      <c r="AR84" s="317">
        <f t="shared" si="73"/>
        <v>0</v>
      </c>
      <c r="AS84" s="317">
        <f t="shared" si="74"/>
        <v>0</v>
      </c>
      <c r="AT84" s="317">
        <f t="shared" si="75"/>
        <v>0</v>
      </c>
      <c r="AU84" s="317">
        <f t="shared" si="76"/>
        <v>0</v>
      </c>
      <c r="AV84" s="317">
        <f t="shared" si="77"/>
        <v>0</v>
      </c>
      <c r="AW84" s="317">
        <f t="shared" si="78"/>
        <v>0</v>
      </c>
      <c r="AX84" s="317">
        <f t="shared" si="79"/>
        <v>0</v>
      </c>
      <c r="AY84" s="317">
        <f t="shared" si="80"/>
        <v>0</v>
      </c>
      <c r="AZ84" s="317">
        <f t="shared" si="81"/>
        <v>0</v>
      </c>
      <c r="BA84" s="317">
        <f t="shared" si="82"/>
        <v>0</v>
      </c>
    </row>
    <row r="85" spans="1:53" s="314" customFormat="1" ht="16.5" customHeight="1">
      <c r="A85" s="63" t="str">
        <f t="array" ref="A85">IF(C85&lt;&gt;0,SUM(($C$11:C85&lt;&gt;0)*1),"")</f>
        <v/>
      </c>
      <c r="B85" s="315"/>
      <c r="C85" s="315"/>
      <c r="D85" s="315"/>
      <c r="E85" s="432"/>
      <c r="F85" s="371"/>
      <c r="G85" s="373"/>
      <c r="H85" s="373"/>
      <c r="I85" s="63" t="str">
        <f t="shared" si="0"/>
        <v/>
      </c>
      <c r="J85" s="317">
        <f t="shared" si="45"/>
        <v>0</v>
      </c>
      <c r="K85" s="317">
        <f t="shared" si="46"/>
        <v>0</v>
      </c>
      <c r="L85" s="317">
        <f t="shared" si="47"/>
        <v>0</v>
      </c>
      <c r="M85" s="317">
        <f t="shared" si="48"/>
        <v>0</v>
      </c>
      <c r="N85" s="317">
        <f t="shared" si="83"/>
        <v>0</v>
      </c>
      <c r="O85" s="317">
        <f t="shared" si="84"/>
        <v>0</v>
      </c>
      <c r="P85" s="317">
        <f t="shared" si="49"/>
        <v>0</v>
      </c>
      <c r="Q85" s="317">
        <f t="shared" si="50"/>
        <v>0</v>
      </c>
      <c r="R85" s="317">
        <f t="shared" si="51"/>
        <v>0</v>
      </c>
      <c r="S85" s="317">
        <f t="shared" si="52"/>
        <v>0</v>
      </c>
      <c r="T85" s="317">
        <f t="shared" si="85"/>
        <v>0</v>
      </c>
      <c r="U85" s="317">
        <f t="shared" si="86"/>
        <v>0</v>
      </c>
      <c r="V85" s="317">
        <f t="shared" si="53"/>
        <v>0</v>
      </c>
      <c r="W85" s="317">
        <f t="shared" si="54"/>
        <v>0</v>
      </c>
      <c r="X85" s="317">
        <f t="shared" si="55"/>
        <v>0</v>
      </c>
      <c r="Y85" s="317">
        <f t="shared" si="56"/>
        <v>0</v>
      </c>
      <c r="Z85" s="317">
        <f t="shared" si="57"/>
        <v>0</v>
      </c>
      <c r="AA85" s="317">
        <f t="shared" si="58"/>
        <v>0</v>
      </c>
      <c r="AB85" s="317">
        <f t="shared" si="59"/>
        <v>0</v>
      </c>
      <c r="AC85" s="317">
        <f t="shared" si="60"/>
        <v>0</v>
      </c>
      <c r="AD85" s="317">
        <f t="shared" si="61"/>
        <v>0</v>
      </c>
      <c r="AE85" s="317">
        <f t="shared" si="62"/>
        <v>0</v>
      </c>
      <c r="AF85" s="317">
        <f t="shared" si="87"/>
        <v>0</v>
      </c>
      <c r="AG85" s="317">
        <f t="shared" si="88"/>
        <v>0</v>
      </c>
      <c r="AH85" s="317">
        <f t="shared" si="63"/>
        <v>0</v>
      </c>
      <c r="AI85" s="317">
        <f t="shared" si="64"/>
        <v>0</v>
      </c>
      <c r="AJ85" s="317">
        <f t="shared" si="65"/>
        <v>0</v>
      </c>
      <c r="AK85" s="317">
        <f t="shared" si="66"/>
        <v>0</v>
      </c>
      <c r="AL85" s="317">
        <f t="shared" si="67"/>
        <v>0</v>
      </c>
      <c r="AM85" s="317">
        <f t="shared" si="68"/>
        <v>0</v>
      </c>
      <c r="AN85" s="317">
        <f t="shared" si="69"/>
        <v>0</v>
      </c>
      <c r="AO85" s="317">
        <f t="shared" si="70"/>
        <v>0</v>
      </c>
      <c r="AP85" s="317">
        <f t="shared" si="71"/>
        <v>0</v>
      </c>
      <c r="AQ85" s="317">
        <f t="shared" si="72"/>
        <v>0</v>
      </c>
      <c r="AR85" s="317">
        <f t="shared" si="73"/>
        <v>0</v>
      </c>
      <c r="AS85" s="317">
        <f t="shared" si="74"/>
        <v>0</v>
      </c>
      <c r="AT85" s="317">
        <f t="shared" si="75"/>
        <v>0</v>
      </c>
      <c r="AU85" s="317">
        <f t="shared" si="76"/>
        <v>0</v>
      </c>
      <c r="AV85" s="317">
        <f t="shared" si="77"/>
        <v>0</v>
      </c>
      <c r="AW85" s="317">
        <f t="shared" si="78"/>
        <v>0</v>
      </c>
      <c r="AX85" s="317">
        <f t="shared" si="79"/>
        <v>0</v>
      </c>
      <c r="AY85" s="317">
        <f t="shared" si="80"/>
        <v>0</v>
      </c>
      <c r="AZ85" s="317">
        <f t="shared" si="81"/>
        <v>0</v>
      </c>
      <c r="BA85" s="317">
        <f t="shared" si="82"/>
        <v>0</v>
      </c>
    </row>
    <row r="86" spans="1:53" s="314" customFormat="1" ht="16.5" customHeight="1">
      <c r="A86" s="63" t="str">
        <f t="array" ref="A86">IF(C86&lt;&gt;0,SUM(($C$11:C86&lt;&gt;0)*1),"")</f>
        <v/>
      </c>
      <c r="B86" s="315"/>
      <c r="C86" s="315"/>
      <c r="D86" s="315"/>
      <c r="E86" s="432"/>
      <c r="F86" s="371"/>
      <c r="G86" s="373"/>
      <c r="H86" s="373"/>
      <c r="I86" s="63" t="str">
        <f t="shared" si="0"/>
        <v/>
      </c>
      <c r="J86" s="317">
        <f t="shared" si="45"/>
        <v>0</v>
      </c>
      <c r="K86" s="317">
        <f t="shared" si="46"/>
        <v>0</v>
      </c>
      <c r="L86" s="317">
        <f t="shared" si="47"/>
        <v>0</v>
      </c>
      <c r="M86" s="317">
        <f t="shared" si="48"/>
        <v>0</v>
      </c>
      <c r="N86" s="317">
        <f t="shared" si="83"/>
        <v>0</v>
      </c>
      <c r="O86" s="317">
        <f t="shared" si="84"/>
        <v>0</v>
      </c>
      <c r="P86" s="317">
        <f t="shared" si="49"/>
        <v>0</v>
      </c>
      <c r="Q86" s="317">
        <f t="shared" si="50"/>
        <v>0</v>
      </c>
      <c r="R86" s="317">
        <f t="shared" si="51"/>
        <v>0</v>
      </c>
      <c r="S86" s="317">
        <f t="shared" si="52"/>
        <v>0</v>
      </c>
      <c r="T86" s="317">
        <f t="shared" si="85"/>
        <v>0</v>
      </c>
      <c r="U86" s="317">
        <f t="shared" si="86"/>
        <v>0</v>
      </c>
      <c r="V86" s="317">
        <f t="shared" si="53"/>
        <v>0</v>
      </c>
      <c r="W86" s="317">
        <f t="shared" si="54"/>
        <v>0</v>
      </c>
      <c r="X86" s="317">
        <f t="shared" si="55"/>
        <v>0</v>
      </c>
      <c r="Y86" s="317">
        <f t="shared" si="56"/>
        <v>0</v>
      </c>
      <c r="Z86" s="317">
        <f t="shared" si="57"/>
        <v>0</v>
      </c>
      <c r="AA86" s="317">
        <f t="shared" si="58"/>
        <v>0</v>
      </c>
      <c r="AB86" s="317">
        <f t="shared" si="59"/>
        <v>0</v>
      </c>
      <c r="AC86" s="317">
        <f t="shared" si="60"/>
        <v>0</v>
      </c>
      <c r="AD86" s="317">
        <f t="shared" si="61"/>
        <v>0</v>
      </c>
      <c r="AE86" s="317">
        <f t="shared" si="62"/>
        <v>0</v>
      </c>
      <c r="AF86" s="317">
        <f t="shared" si="87"/>
        <v>0</v>
      </c>
      <c r="AG86" s="317">
        <f t="shared" si="88"/>
        <v>0</v>
      </c>
      <c r="AH86" s="317">
        <f t="shared" si="63"/>
        <v>0</v>
      </c>
      <c r="AI86" s="317">
        <f t="shared" si="64"/>
        <v>0</v>
      </c>
      <c r="AJ86" s="317">
        <f t="shared" si="65"/>
        <v>0</v>
      </c>
      <c r="AK86" s="317">
        <f t="shared" si="66"/>
        <v>0</v>
      </c>
      <c r="AL86" s="317">
        <f t="shared" si="67"/>
        <v>0</v>
      </c>
      <c r="AM86" s="317">
        <f t="shared" si="68"/>
        <v>0</v>
      </c>
      <c r="AN86" s="317">
        <f t="shared" si="69"/>
        <v>0</v>
      </c>
      <c r="AO86" s="317">
        <f t="shared" si="70"/>
        <v>0</v>
      </c>
      <c r="AP86" s="317">
        <f t="shared" si="71"/>
        <v>0</v>
      </c>
      <c r="AQ86" s="317">
        <f t="shared" si="72"/>
        <v>0</v>
      </c>
      <c r="AR86" s="317">
        <f t="shared" si="73"/>
        <v>0</v>
      </c>
      <c r="AS86" s="317">
        <f t="shared" si="74"/>
        <v>0</v>
      </c>
      <c r="AT86" s="317">
        <f t="shared" si="75"/>
        <v>0</v>
      </c>
      <c r="AU86" s="317">
        <f t="shared" si="76"/>
        <v>0</v>
      </c>
      <c r="AV86" s="317">
        <f t="shared" si="77"/>
        <v>0</v>
      </c>
      <c r="AW86" s="317">
        <f t="shared" si="78"/>
        <v>0</v>
      </c>
      <c r="AX86" s="317">
        <f t="shared" si="79"/>
        <v>0</v>
      </c>
      <c r="AY86" s="317">
        <f t="shared" si="80"/>
        <v>0</v>
      </c>
      <c r="AZ86" s="317">
        <f t="shared" si="81"/>
        <v>0</v>
      </c>
      <c r="BA86" s="317">
        <f t="shared" si="82"/>
        <v>0</v>
      </c>
    </row>
    <row r="87" spans="1:53" s="314" customFormat="1" ht="16.5" customHeight="1">
      <c r="A87" s="63" t="str">
        <f t="array" ref="A87">IF(C87&lt;&gt;0,SUM(($C$11:C87&lt;&gt;0)*1),"")</f>
        <v/>
      </c>
      <c r="B87" s="315"/>
      <c r="C87" s="315"/>
      <c r="D87" s="315"/>
      <c r="E87" s="432"/>
      <c r="F87" s="371"/>
      <c r="G87" s="373"/>
      <c r="H87" s="373"/>
      <c r="I87" s="63" t="str">
        <f t="shared" si="0"/>
        <v/>
      </c>
      <c r="J87" s="317">
        <f t="shared" si="45"/>
        <v>0</v>
      </c>
      <c r="K87" s="317">
        <f t="shared" si="46"/>
        <v>0</v>
      </c>
      <c r="L87" s="317">
        <f t="shared" si="47"/>
        <v>0</v>
      </c>
      <c r="M87" s="317">
        <f t="shared" si="48"/>
        <v>0</v>
      </c>
      <c r="N87" s="317">
        <f t="shared" si="83"/>
        <v>0</v>
      </c>
      <c r="O87" s="317">
        <f t="shared" si="84"/>
        <v>0</v>
      </c>
      <c r="P87" s="317">
        <f t="shared" si="49"/>
        <v>0</v>
      </c>
      <c r="Q87" s="317">
        <f t="shared" si="50"/>
        <v>0</v>
      </c>
      <c r="R87" s="317">
        <f t="shared" si="51"/>
        <v>0</v>
      </c>
      <c r="S87" s="317">
        <f t="shared" si="52"/>
        <v>0</v>
      </c>
      <c r="T87" s="317">
        <f t="shared" si="85"/>
        <v>0</v>
      </c>
      <c r="U87" s="317">
        <f t="shared" si="86"/>
        <v>0</v>
      </c>
      <c r="V87" s="317">
        <f t="shared" si="53"/>
        <v>0</v>
      </c>
      <c r="W87" s="317">
        <f t="shared" si="54"/>
        <v>0</v>
      </c>
      <c r="X87" s="317">
        <f t="shared" si="55"/>
        <v>0</v>
      </c>
      <c r="Y87" s="317">
        <f t="shared" si="56"/>
        <v>0</v>
      </c>
      <c r="Z87" s="317">
        <f t="shared" si="57"/>
        <v>0</v>
      </c>
      <c r="AA87" s="317">
        <f t="shared" si="58"/>
        <v>0</v>
      </c>
      <c r="AB87" s="317">
        <f t="shared" si="59"/>
        <v>0</v>
      </c>
      <c r="AC87" s="317">
        <f t="shared" si="60"/>
        <v>0</v>
      </c>
      <c r="AD87" s="317">
        <f t="shared" si="61"/>
        <v>0</v>
      </c>
      <c r="AE87" s="317">
        <f t="shared" si="62"/>
        <v>0</v>
      </c>
      <c r="AF87" s="317">
        <f t="shared" si="87"/>
        <v>0</v>
      </c>
      <c r="AG87" s="317">
        <f t="shared" si="88"/>
        <v>0</v>
      </c>
      <c r="AH87" s="317">
        <f t="shared" si="63"/>
        <v>0</v>
      </c>
      <c r="AI87" s="317">
        <f t="shared" si="64"/>
        <v>0</v>
      </c>
      <c r="AJ87" s="317">
        <f t="shared" si="65"/>
        <v>0</v>
      </c>
      <c r="AK87" s="317">
        <f t="shared" si="66"/>
        <v>0</v>
      </c>
      <c r="AL87" s="317">
        <f t="shared" si="67"/>
        <v>0</v>
      </c>
      <c r="AM87" s="317">
        <f t="shared" si="68"/>
        <v>0</v>
      </c>
      <c r="AN87" s="317">
        <f t="shared" si="69"/>
        <v>0</v>
      </c>
      <c r="AO87" s="317">
        <f t="shared" si="70"/>
        <v>0</v>
      </c>
      <c r="AP87" s="317">
        <f t="shared" si="71"/>
        <v>0</v>
      </c>
      <c r="AQ87" s="317">
        <f t="shared" si="72"/>
        <v>0</v>
      </c>
      <c r="AR87" s="317">
        <f t="shared" si="73"/>
        <v>0</v>
      </c>
      <c r="AS87" s="317">
        <f t="shared" si="74"/>
        <v>0</v>
      </c>
      <c r="AT87" s="317">
        <f t="shared" si="75"/>
        <v>0</v>
      </c>
      <c r="AU87" s="317">
        <f t="shared" si="76"/>
        <v>0</v>
      </c>
      <c r="AV87" s="317">
        <f t="shared" si="77"/>
        <v>0</v>
      </c>
      <c r="AW87" s="317">
        <f t="shared" si="78"/>
        <v>0</v>
      </c>
      <c r="AX87" s="317">
        <f t="shared" si="79"/>
        <v>0</v>
      </c>
      <c r="AY87" s="317">
        <f t="shared" si="80"/>
        <v>0</v>
      </c>
      <c r="AZ87" s="317">
        <f t="shared" si="81"/>
        <v>0</v>
      </c>
      <c r="BA87" s="317">
        <f t="shared" si="82"/>
        <v>0</v>
      </c>
    </row>
    <row r="88" spans="1:53" s="314" customFormat="1" ht="16.5" customHeight="1">
      <c r="A88" s="63" t="str">
        <f t="array" ref="A88">IF(C88&lt;&gt;0,SUM(($C$11:C88&lt;&gt;0)*1),"")</f>
        <v/>
      </c>
      <c r="B88" s="315"/>
      <c r="C88" s="315"/>
      <c r="D88" s="315"/>
      <c r="E88" s="432"/>
      <c r="F88" s="371"/>
      <c r="G88" s="373"/>
      <c r="H88" s="373"/>
      <c r="I88" s="63" t="str">
        <f t="shared" si="0"/>
        <v/>
      </c>
      <c r="J88" s="317">
        <f t="shared" si="45"/>
        <v>0</v>
      </c>
      <c r="K88" s="317">
        <f t="shared" si="46"/>
        <v>0</v>
      </c>
      <c r="L88" s="317">
        <f t="shared" si="47"/>
        <v>0</v>
      </c>
      <c r="M88" s="317">
        <f t="shared" si="48"/>
        <v>0</v>
      </c>
      <c r="N88" s="317">
        <f t="shared" si="83"/>
        <v>0</v>
      </c>
      <c r="O88" s="317">
        <f t="shared" si="84"/>
        <v>0</v>
      </c>
      <c r="P88" s="317">
        <f t="shared" si="49"/>
        <v>0</v>
      </c>
      <c r="Q88" s="317">
        <f t="shared" si="50"/>
        <v>0</v>
      </c>
      <c r="R88" s="317">
        <f t="shared" si="51"/>
        <v>0</v>
      </c>
      <c r="S88" s="317">
        <f t="shared" si="52"/>
        <v>0</v>
      </c>
      <c r="T88" s="317">
        <f t="shared" si="85"/>
        <v>0</v>
      </c>
      <c r="U88" s="317">
        <f t="shared" si="86"/>
        <v>0</v>
      </c>
      <c r="V88" s="317">
        <f t="shared" si="53"/>
        <v>0</v>
      </c>
      <c r="W88" s="317">
        <f t="shared" si="54"/>
        <v>0</v>
      </c>
      <c r="X88" s="317">
        <f t="shared" si="55"/>
        <v>0</v>
      </c>
      <c r="Y88" s="317">
        <f t="shared" si="56"/>
        <v>0</v>
      </c>
      <c r="Z88" s="317">
        <f t="shared" si="57"/>
        <v>0</v>
      </c>
      <c r="AA88" s="317">
        <f t="shared" si="58"/>
        <v>0</v>
      </c>
      <c r="AB88" s="317">
        <f t="shared" si="59"/>
        <v>0</v>
      </c>
      <c r="AC88" s="317">
        <f t="shared" si="60"/>
        <v>0</v>
      </c>
      <c r="AD88" s="317">
        <f t="shared" si="61"/>
        <v>0</v>
      </c>
      <c r="AE88" s="317">
        <f t="shared" si="62"/>
        <v>0</v>
      </c>
      <c r="AF88" s="317">
        <f t="shared" si="87"/>
        <v>0</v>
      </c>
      <c r="AG88" s="317">
        <f t="shared" si="88"/>
        <v>0</v>
      </c>
      <c r="AH88" s="317">
        <f t="shared" si="63"/>
        <v>0</v>
      </c>
      <c r="AI88" s="317">
        <f t="shared" si="64"/>
        <v>0</v>
      </c>
      <c r="AJ88" s="317">
        <f t="shared" si="65"/>
        <v>0</v>
      </c>
      <c r="AK88" s="317">
        <f t="shared" si="66"/>
        <v>0</v>
      </c>
      <c r="AL88" s="317">
        <f t="shared" si="67"/>
        <v>0</v>
      </c>
      <c r="AM88" s="317">
        <f t="shared" si="68"/>
        <v>0</v>
      </c>
      <c r="AN88" s="317">
        <f t="shared" si="69"/>
        <v>0</v>
      </c>
      <c r="AO88" s="317">
        <f t="shared" si="70"/>
        <v>0</v>
      </c>
      <c r="AP88" s="317">
        <f t="shared" si="71"/>
        <v>0</v>
      </c>
      <c r="AQ88" s="317">
        <f t="shared" si="72"/>
        <v>0</v>
      </c>
      <c r="AR88" s="317">
        <f t="shared" si="73"/>
        <v>0</v>
      </c>
      <c r="AS88" s="317">
        <f t="shared" si="74"/>
        <v>0</v>
      </c>
      <c r="AT88" s="317">
        <f t="shared" si="75"/>
        <v>0</v>
      </c>
      <c r="AU88" s="317">
        <f t="shared" si="76"/>
        <v>0</v>
      </c>
      <c r="AV88" s="317">
        <f t="shared" si="77"/>
        <v>0</v>
      </c>
      <c r="AW88" s="317">
        <f t="shared" si="78"/>
        <v>0</v>
      </c>
      <c r="AX88" s="317">
        <f t="shared" si="79"/>
        <v>0</v>
      </c>
      <c r="AY88" s="317">
        <f t="shared" si="80"/>
        <v>0</v>
      </c>
      <c r="AZ88" s="317">
        <f t="shared" si="81"/>
        <v>0</v>
      </c>
      <c r="BA88" s="317">
        <f t="shared" si="82"/>
        <v>0</v>
      </c>
    </row>
    <row r="89" spans="1:53" s="314" customFormat="1" ht="16.5" customHeight="1">
      <c r="A89" s="63" t="str">
        <f t="array" ref="A89">IF(C89&lt;&gt;0,SUM(($C$11:C89&lt;&gt;0)*1),"")</f>
        <v/>
      </c>
      <c r="B89" s="315"/>
      <c r="C89" s="315"/>
      <c r="D89" s="315"/>
      <c r="E89" s="432"/>
      <c r="F89" s="371"/>
      <c r="G89" s="373"/>
      <c r="H89" s="373"/>
      <c r="I89" s="63" t="str">
        <f t="shared" si="0"/>
        <v/>
      </c>
      <c r="J89" s="317">
        <f t="shared" si="45"/>
        <v>0</v>
      </c>
      <c r="K89" s="317">
        <f t="shared" si="46"/>
        <v>0</v>
      </c>
      <c r="L89" s="317">
        <f t="shared" si="47"/>
        <v>0</v>
      </c>
      <c r="M89" s="317">
        <f t="shared" si="48"/>
        <v>0</v>
      </c>
      <c r="N89" s="317">
        <f t="shared" si="83"/>
        <v>0</v>
      </c>
      <c r="O89" s="317">
        <f t="shared" si="84"/>
        <v>0</v>
      </c>
      <c r="P89" s="317">
        <f t="shared" si="49"/>
        <v>0</v>
      </c>
      <c r="Q89" s="317">
        <f t="shared" si="50"/>
        <v>0</v>
      </c>
      <c r="R89" s="317">
        <f t="shared" si="51"/>
        <v>0</v>
      </c>
      <c r="S89" s="317">
        <f t="shared" si="52"/>
        <v>0</v>
      </c>
      <c r="T89" s="317">
        <f t="shared" si="85"/>
        <v>0</v>
      </c>
      <c r="U89" s="317">
        <f t="shared" si="86"/>
        <v>0</v>
      </c>
      <c r="V89" s="317">
        <f t="shared" si="53"/>
        <v>0</v>
      </c>
      <c r="W89" s="317">
        <f t="shared" si="54"/>
        <v>0</v>
      </c>
      <c r="X89" s="317">
        <f t="shared" si="55"/>
        <v>0</v>
      </c>
      <c r="Y89" s="317">
        <f t="shared" si="56"/>
        <v>0</v>
      </c>
      <c r="Z89" s="317">
        <f t="shared" si="57"/>
        <v>0</v>
      </c>
      <c r="AA89" s="317">
        <f t="shared" si="58"/>
        <v>0</v>
      </c>
      <c r="AB89" s="317">
        <f t="shared" si="59"/>
        <v>0</v>
      </c>
      <c r="AC89" s="317">
        <f t="shared" si="60"/>
        <v>0</v>
      </c>
      <c r="AD89" s="317">
        <f t="shared" si="61"/>
        <v>0</v>
      </c>
      <c r="AE89" s="317">
        <f t="shared" si="62"/>
        <v>0</v>
      </c>
      <c r="AF89" s="317">
        <f t="shared" si="87"/>
        <v>0</v>
      </c>
      <c r="AG89" s="317">
        <f t="shared" si="88"/>
        <v>0</v>
      </c>
      <c r="AH89" s="317">
        <f t="shared" si="63"/>
        <v>0</v>
      </c>
      <c r="AI89" s="317">
        <f t="shared" si="64"/>
        <v>0</v>
      </c>
      <c r="AJ89" s="317">
        <f t="shared" si="65"/>
        <v>0</v>
      </c>
      <c r="AK89" s="317">
        <f t="shared" si="66"/>
        <v>0</v>
      </c>
      <c r="AL89" s="317">
        <f t="shared" si="67"/>
        <v>0</v>
      </c>
      <c r="AM89" s="317">
        <f t="shared" si="68"/>
        <v>0</v>
      </c>
      <c r="AN89" s="317">
        <f t="shared" si="69"/>
        <v>0</v>
      </c>
      <c r="AO89" s="317">
        <f t="shared" si="70"/>
        <v>0</v>
      </c>
      <c r="AP89" s="317">
        <f t="shared" si="71"/>
        <v>0</v>
      </c>
      <c r="AQ89" s="317">
        <f t="shared" si="72"/>
        <v>0</v>
      </c>
      <c r="AR89" s="317">
        <f t="shared" si="73"/>
        <v>0</v>
      </c>
      <c r="AS89" s="317">
        <f t="shared" si="74"/>
        <v>0</v>
      </c>
      <c r="AT89" s="317">
        <f t="shared" si="75"/>
        <v>0</v>
      </c>
      <c r="AU89" s="317">
        <f t="shared" si="76"/>
        <v>0</v>
      </c>
      <c r="AV89" s="317">
        <f t="shared" si="77"/>
        <v>0</v>
      </c>
      <c r="AW89" s="317">
        <f t="shared" si="78"/>
        <v>0</v>
      </c>
      <c r="AX89" s="317">
        <f t="shared" si="79"/>
        <v>0</v>
      </c>
      <c r="AY89" s="317">
        <f t="shared" si="80"/>
        <v>0</v>
      </c>
      <c r="AZ89" s="317">
        <f t="shared" si="81"/>
        <v>0</v>
      </c>
      <c r="BA89" s="317">
        <f t="shared" si="82"/>
        <v>0</v>
      </c>
    </row>
    <row r="90" spans="1:53" s="314" customFormat="1" ht="16.5" customHeight="1">
      <c r="A90" s="63" t="str">
        <f t="array" ref="A90">IF(C90&lt;&gt;0,SUM(($C$11:C90&lt;&gt;0)*1),"")</f>
        <v/>
      </c>
      <c r="B90" s="315"/>
      <c r="C90" s="315"/>
      <c r="D90" s="315"/>
      <c r="E90" s="432"/>
      <c r="F90" s="371"/>
      <c r="G90" s="373"/>
      <c r="H90" s="373"/>
      <c r="I90" s="63" t="str">
        <f>A90</f>
        <v/>
      </c>
      <c r="J90" s="317">
        <f t="shared" si="45"/>
        <v>0</v>
      </c>
      <c r="K90" s="317">
        <f t="shared" si="46"/>
        <v>0</v>
      </c>
      <c r="L90" s="317">
        <f t="shared" si="47"/>
        <v>0</v>
      </c>
      <c r="M90" s="317">
        <f t="shared" si="48"/>
        <v>0</v>
      </c>
      <c r="N90" s="317">
        <f t="shared" si="83"/>
        <v>0</v>
      </c>
      <c r="O90" s="317">
        <f t="shared" si="84"/>
        <v>0</v>
      </c>
      <c r="P90" s="317">
        <f t="shared" si="49"/>
        <v>0</v>
      </c>
      <c r="Q90" s="317">
        <f t="shared" si="50"/>
        <v>0</v>
      </c>
      <c r="R90" s="317">
        <f t="shared" si="51"/>
        <v>0</v>
      </c>
      <c r="S90" s="317">
        <f t="shared" si="52"/>
        <v>0</v>
      </c>
      <c r="T90" s="317">
        <f t="shared" si="85"/>
        <v>0</v>
      </c>
      <c r="U90" s="317">
        <f t="shared" si="86"/>
        <v>0</v>
      </c>
      <c r="V90" s="317">
        <f t="shared" si="53"/>
        <v>0</v>
      </c>
      <c r="W90" s="317">
        <f t="shared" si="54"/>
        <v>0</v>
      </c>
      <c r="X90" s="317">
        <f t="shared" si="55"/>
        <v>0</v>
      </c>
      <c r="Y90" s="317">
        <f t="shared" si="56"/>
        <v>0</v>
      </c>
      <c r="Z90" s="317">
        <f t="shared" si="57"/>
        <v>0</v>
      </c>
      <c r="AA90" s="317">
        <f t="shared" si="58"/>
        <v>0</v>
      </c>
      <c r="AB90" s="317">
        <f t="shared" si="59"/>
        <v>0</v>
      </c>
      <c r="AC90" s="317">
        <f t="shared" si="60"/>
        <v>0</v>
      </c>
      <c r="AD90" s="317">
        <f t="shared" si="61"/>
        <v>0</v>
      </c>
      <c r="AE90" s="317">
        <f t="shared" si="62"/>
        <v>0</v>
      </c>
      <c r="AF90" s="317">
        <f t="shared" si="87"/>
        <v>0</v>
      </c>
      <c r="AG90" s="317">
        <f t="shared" si="88"/>
        <v>0</v>
      </c>
      <c r="AH90" s="317">
        <f t="shared" si="63"/>
        <v>0</v>
      </c>
      <c r="AI90" s="317">
        <f t="shared" si="64"/>
        <v>0</v>
      </c>
      <c r="AJ90" s="317">
        <f t="shared" si="65"/>
        <v>0</v>
      </c>
      <c r="AK90" s="317">
        <f t="shared" si="66"/>
        <v>0</v>
      </c>
      <c r="AL90" s="317">
        <f t="shared" si="67"/>
        <v>0</v>
      </c>
      <c r="AM90" s="317">
        <f t="shared" si="68"/>
        <v>0</v>
      </c>
      <c r="AN90" s="317">
        <f t="shared" si="69"/>
        <v>0</v>
      </c>
      <c r="AO90" s="317">
        <f t="shared" si="70"/>
        <v>0</v>
      </c>
      <c r="AP90" s="317">
        <f t="shared" si="71"/>
        <v>0</v>
      </c>
      <c r="AQ90" s="317">
        <f t="shared" si="72"/>
        <v>0</v>
      </c>
      <c r="AR90" s="317">
        <f t="shared" si="73"/>
        <v>0</v>
      </c>
      <c r="AS90" s="317">
        <f t="shared" si="74"/>
        <v>0</v>
      </c>
      <c r="AT90" s="317">
        <f t="shared" si="75"/>
        <v>0</v>
      </c>
      <c r="AU90" s="317">
        <f t="shared" si="76"/>
        <v>0</v>
      </c>
      <c r="AV90" s="317">
        <f t="shared" si="77"/>
        <v>0</v>
      </c>
      <c r="AW90" s="317">
        <f t="shared" si="78"/>
        <v>0</v>
      </c>
      <c r="AX90" s="317">
        <f t="shared" si="79"/>
        <v>0</v>
      </c>
      <c r="AY90" s="317">
        <f t="shared" si="80"/>
        <v>0</v>
      </c>
      <c r="AZ90" s="317">
        <f t="shared" si="81"/>
        <v>0</v>
      </c>
      <c r="BA90" s="317">
        <f t="shared" si="82"/>
        <v>0</v>
      </c>
    </row>
    <row r="91" spans="1:53" s="314" customFormat="1" ht="16.5" customHeight="1">
      <c r="A91" s="63" t="str">
        <f t="array" ref="A91">IF(C91&lt;&gt;0,SUM(($C$11:C91&lt;&gt;0)*1),"")</f>
        <v/>
      </c>
      <c r="B91" s="315"/>
      <c r="C91" s="315"/>
      <c r="D91" s="315"/>
      <c r="E91" s="432"/>
      <c r="F91" s="371"/>
      <c r="G91" s="373"/>
      <c r="H91" s="373"/>
      <c r="I91" s="63" t="str">
        <f>A91</f>
        <v/>
      </c>
      <c r="J91" s="317">
        <f t="shared" si="45"/>
        <v>0</v>
      </c>
      <c r="K91" s="317">
        <f t="shared" si="46"/>
        <v>0</v>
      </c>
      <c r="L91" s="317">
        <f t="shared" si="47"/>
        <v>0</v>
      </c>
      <c r="M91" s="317">
        <f t="shared" si="48"/>
        <v>0</v>
      </c>
      <c r="N91" s="317">
        <f t="shared" si="83"/>
        <v>0</v>
      </c>
      <c r="O91" s="317">
        <f t="shared" si="84"/>
        <v>0</v>
      </c>
      <c r="P91" s="317">
        <f t="shared" si="49"/>
        <v>0</v>
      </c>
      <c r="Q91" s="317">
        <f t="shared" si="50"/>
        <v>0</v>
      </c>
      <c r="R91" s="317">
        <f t="shared" si="51"/>
        <v>0</v>
      </c>
      <c r="S91" s="317">
        <f t="shared" si="52"/>
        <v>0</v>
      </c>
      <c r="T91" s="317">
        <f t="shared" si="85"/>
        <v>0</v>
      </c>
      <c r="U91" s="317">
        <f t="shared" si="86"/>
        <v>0</v>
      </c>
      <c r="V91" s="317">
        <f t="shared" si="53"/>
        <v>0</v>
      </c>
      <c r="W91" s="317">
        <f t="shared" si="54"/>
        <v>0</v>
      </c>
      <c r="X91" s="317">
        <f t="shared" si="55"/>
        <v>0</v>
      </c>
      <c r="Y91" s="317">
        <f t="shared" si="56"/>
        <v>0</v>
      </c>
      <c r="Z91" s="317">
        <f t="shared" si="57"/>
        <v>0</v>
      </c>
      <c r="AA91" s="317">
        <f t="shared" si="58"/>
        <v>0</v>
      </c>
      <c r="AB91" s="317">
        <f t="shared" si="59"/>
        <v>0</v>
      </c>
      <c r="AC91" s="317">
        <f t="shared" si="60"/>
        <v>0</v>
      </c>
      <c r="AD91" s="317">
        <f t="shared" si="61"/>
        <v>0</v>
      </c>
      <c r="AE91" s="317">
        <f t="shared" si="62"/>
        <v>0</v>
      </c>
      <c r="AF91" s="317">
        <f t="shared" si="87"/>
        <v>0</v>
      </c>
      <c r="AG91" s="317">
        <f t="shared" si="88"/>
        <v>0</v>
      </c>
      <c r="AH91" s="317">
        <f t="shared" si="63"/>
        <v>0</v>
      </c>
      <c r="AI91" s="317">
        <f t="shared" si="64"/>
        <v>0</v>
      </c>
      <c r="AJ91" s="317">
        <f t="shared" si="65"/>
        <v>0</v>
      </c>
      <c r="AK91" s="317">
        <f t="shared" si="66"/>
        <v>0</v>
      </c>
      <c r="AL91" s="317">
        <f t="shared" si="67"/>
        <v>0</v>
      </c>
      <c r="AM91" s="317">
        <f t="shared" si="68"/>
        <v>0</v>
      </c>
      <c r="AN91" s="317">
        <f t="shared" si="69"/>
        <v>0</v>
      </c>
      <c r="AO91" s="317">
        <f t="shared" si="70"/>
        <v>0</v>
      </c>
      <c r="AP91" s="317">
        <f t="shared" si="71"/>
        <v>0</v>
      </c>
      <c r="AQ91" s="317">
        <f t="shared" si="72"/>
        <v>0</v>
      </c>
      <c r="AR91" s="317">
        <f t="shared" si="73"/>
        <v>0</v>
      </c>
      <c r="AS91" s="317">
        <f t="shared" si="74"/>
        <v>0</v>
      </c>
      <c r="AT91" s="317">
        <f t="shared" si="75"/>
        <v>0</v>
      </c>
      <c r="AU91" s="317">
        <f t="shared" si="76"/>
        <v>0</v>
      </c>
      <c r="AV91" s="317">
        <f t="shared" si="77"/>
        <v>0</v>
      </c>
      <c r="AW91" s="317">
        <f t="shared" si="78"/>
        <v>0</v>
      </c>
      <c r="AX91" s="317">
        <f t="shared" si="79"/>
        <v>0</v>
      </c>
      <c r="AY91" s="317">
        <f t="shared" si="80"/>
        <v>0</v>
      </c>
      <c r="AZ91" s="317">
        <f t="shared" si="81"/>
        <v>0</v>
      </c>
      <c r="BA91" s="317">
        <f t="shared" si="82"/>
        <v>0</v>
      </c>
    </row>
    <row r="92" spans="1:53" s="314" customFormat="1" ht="16.5" customHeight="1">
      <c r="A92" s="63" t="str">
        <f t="array" ref="A92">IF(C92&lt;&gt;0,SUM(($C$11:C92&lt;&gt;0)*1),"")</f>
        <v/>
      </c>
      <c r="B92" s="315"/>
      <c r="C92" s="315"/>
      <c r="D92" s="315"/>
      <c r="E92" s="432"/>
      <c r="F92" s="371"/>
      <c r="G92" s="373"/>
      <c r="H92" s="373"/>
      <c r="I92" s="63" t="str">
        <f>A92</f>
        <v/>
      </c>
      <c r="J92" s="317">
        <f t="shared" si="45"/>
        <v>0</v>
      </c>
      <c r="K92" s="317">
        <f t="shared" si="46"/>
        <v>0</v>
      </c>
      <c r="L92" s="317">
        <f t="shared" si="47"/>
        <v>0</v>
      </c>
      <c r="M92" s="317">
        <f t="shared" si="48"/>
        <v>0</v>
      </c>
      <c r="N92" s="317">
        <f t="shared" si="83"/>
        <v>0</v>
      </c>
      <c r="O92" s="317">
        <f t="shared" si="84"/>
        <v>0</v>
      </c>
      <c r="P92" s="317">
        <f t="shared" si="49"/>
        <v>0</v>
      </c>
      <c r="Q92" s="317">
        <f t="shared" si="50"/>
        <v>0</v>
      </c>
      <c r="R92" s="317">
        <f t="shared" si="51"/>
        <v>0</v>
      </c>
      <c r="S92" s="317">
        <f t="shared" si="52"/>
        <v>0</v>
      </c>
      <c r="T92" s="317">
        <f t="shared" si="85"/>
        <v>0</v>
      </c>
      <c r="U92" s="317">
        <f t="shared" si="86"/>
        <v>0</v>
      </c>
      <c r="V92" s="317">
        <f t="shared" si="53"/>
        <v>0</v>
      </c>
      <c r="W92" s="317">
        <f t="shared" si="54"/>
        <v>0</v>
      </c>
      <c r="X92" s="317">
        <f t="shared" si="55"/>
        <v>0</v>
      </c>
      <c r="Y92" s="317">
        <f t="shared" si="56"/>
        <v>0</v>
      </c>
      <c r="Z92" s="317">
        <f t="shared" si="57"/>
        <v>0</v>
      </c>
      <c r="AA92" s="317">
        <f t="shared" si="58"/>
        <v>0</v>
      </c>
      <c r="AB92" s="317">
        <f t="shared" si="59"/>
        <v>0</v>
      </c>
      <c r="AC92" s="317">
        <f t="shared" si="60"/>
        <v>0</v>
      </c>
      <c r="AD92" s="317">
        <f t="shared" si="61"/>
        <v>0</v>
      </c>
      <c r="AE92" s="317">
        <f t="shared" si="62"/>
        <v>0</v>
      </c>
      <c r="AF92" s="317">
        <f t="shared" si="87"/>
        <v>0</v>
      </c>
      <c r="AG92" s="317">
        <f t="shared" si="88"/>
        <v>0</v>
      </c>
      <c r="AH92" s="317">
        <f t="shared" si="63"/>
        <v>0</v>
      </c>
      <c r="AI92" s="317">
        <f t="shared" si="64"/>
        <v>0</v>
      </c>
      <c r="AJ92" s="317">
        <f t="shared" si="65"/>
        <v>0</v>
      </c>
      <c r="AK92" s="317">
        <f t="shared" si="66"/>
        <v>0</v>
      </c>
      <c r="AL92" s="317">
        <f t="shared" si="67"/>
        <v>0</v>
      </c>
      <c r="AM92" s="317">
        <f t="shared" si="68"/>
        <v>0</v>
      </c>
      <c r="AN92" s="317">
        <f t="shared" si="69"/>
        <v>0</v>
      </c>
      <c r="AO92" s="317">
        <f t="shared" si="70"/>
        <v>0</v>
      </c>
      <c r="AP92" s="317">
        <f t="shared" si="71"/>
        <v>0</v>
      </c>
      <c r="AQ92" s="317">
        <f t="shared" si="72"/>
        <v>0</v>
      </c>
      <c r="AR92" s="317">
        <f t="shared" si="73"/>
        <v>0</v>
      </c>
      <c r="AS92" s="317">
        <f t="shared" si="74"/>
        <v>0</v>
      </c>
      <c r="AT92" s="317">
        <f t="shared" si="75"/>
        <v>0</v>
      </c>
      <c r="AU92" s="317">
        <f t="shared" si="76"/>
        <v>0</v>
      </c>
      <c r="AV92" s="317">
        <f t="shared" si="77"/>
        <v>0</v>
      </c>
      <c r="AW92" s="317">
        <f t="shared" si="78"/>
        <v>0</v>
      </c>
      <c r="AX92" s="317">
        <f t="shared" si="79"/>
        <v>0</v>
      </c>
      <c r="AY92" s="317">
        <f t="shared" si="80"/>
        <v>0</v>
      </c>
      <c r="AZ92" s="317">
        <f t="shared" si="81"/>
        <v>0</v>
      </c>
      <c r="BA92" s="317">
        <f t="shared" si="82"/>
        <v>0</v>
      </c>
    </row>
    <row r="93" spans="1:53" s="314" customFormat="1" ht="16.5" customHeight="1">
      <c r="A93" s="63" t="str">
        <f t="array" ref="A93">IF(C93&lt;&gt;0,SUM(($C$11:C93&lt;&gt;0)*1),"")</f>
        <v/>
      </c>
      <c r="B93" s="315"/>
      <c r="C93" s="315"/>
      <c r="D93" s="315"/>
      <c r="E93" s="432"/>
      <c r="F93" s="371"/>
      <c r="G93" s="373"/>
      <c r="H93" s="373"/>
      <c r="I93" s="63" t="str">
        <f>A93</f>
        <v/>
      </c>
      <c r="J93" s="317">
        <f t="shared" si="45"/>
        <v>0</v>
      </c>
      <c r="K93" s="317">
        <f t="shared" si="46"/>
        <v>0</v>
      </c>
      <c r="L93" s="317">
        <f t="shared" si="47"/>
        <v>0</v>
      </c>
      <c r="M93" s="317">
        <f t="shared" si="48"/>
        <v>0</v>
      </c>
      <c r="N93" s="317">
        <f t="shared" si="83"/>
        <v>0</v>
      </c>
      <c r="O93" s="317">
        <f t="shared" si="84"/>
        <v>0</v>
      </c>
      <c r="P93" s="317">
        <f t="shared" si="49"/>
        <v>0</v>
      </c>
      <c r="Q93" s="317">
        <f t="shared" si="50"/>
        <v>0</v>
      </c>
      <c r="R93" s="317">
        <f t="shared" si="51"/>
        <v>0</v>
      </c>
      <c r="S93" s="317">
        <f t="shared" si="52"/>
        <v>0</v>
      </c>
      <c r="T93" s="317">
        <f t="shared" si="85"/>
        <v>0</v>
      </c>
      <c r="U93" s="317">
        <f t="shared" si="86"/>
        <v>0</v>
      </c>
      <c r="V93" s="317">
        <f t="shared" si="53"/>
        <v>0</v>
      </c>
      <c r="W93" s="317">
        <f t="shared" si="54"/>
        <v>0</v>
      </c>
      <c r="X93" s="317">
        <f t="shared" si="55"/>
        <v>0</v>
      </c>
      <c r="Y93" s="317">
        <f t="shared" si="56"/>
        <v>0</v>
      </c>
      <c r="Z93" s="317">
        <f t="shared" si="57"/>
        <v>0</v>
      </c>
      <c r="AA93" s="317">
        <f t="shared" si="58"/>
        <v>0</v>
      </c>
      <c r="AB93" s="317">
        <f t="shared" si="59"/>
        <v>0</v>
      </c>
      <c r="AC93" s="317">
        <f t="shared" si="60"/>
        <v>0</v>
      </c>
      <c r="AD93" s="317">
        <f t="shared" si="61"/>
        <v>0</v>
      </c>
      <c r="AE93" s="317">
        <f t="shared" si="62"/>
        <v>0</v>
      </c>
      <c r="AF93" s="317">
        <f t="shared" si="87"/>
        <v>0</v>
      </c>
      <c r="AG93" s="317">
        <f t="shared" si="88"/>
        <v>0</v>
      </c>
      <c r="AH93" s="317">
        <f t="shared" si="63"/>
        <v>0</v>
      </c>
      <c r="AI93" s="317">
        <f t="shared" si="64"/>
        <v>0</v>
      </c>
      <c r="AJ93" s="317">
        <f t="shared" si="65"/>
        <v>0</v>
      </c>
      <c r="AK93" s="317">
        <f t="shared" si="66"/>
        <v>0</v>
      </c>
      <c r="AL93" s="317">
        <f t="shared" si="67"/>
        <v>0</v>
      </c>
      <c r="AM93" s="317">
        <f t="shared" si="68"/>
        <v>0</v>
      </c>
      <c r="AN93" s="317">
        <f t="shared" si="69"/>
        <v>0</v>
      </c>
      <c r="AO93" s="317">
        <f t="shared" si="70"/>
        <v>0</v>
      </c>
      <c r="AP93" s="317">
        <f t="shared" si="71"/>
        <v>0</v>
      </c>
      <c r="AQ93" s="317">
        <f t="shared" si="72"/>
        <v>0</v>
      </c>
      <c r="AR93" s="317">
        <f t="shared" si="73"/>
        <v>0</v>
      </c>
      <c r="AS93" s="317">
        <f t="shared" si="74"/>
        <v>0</v>
      </c>
      <c r="AT93" s="317">
        <f t="shared" si="75"/>
        <v>0</v>
      </c>
      <c r="AU93" s="317">
        <f t="shared" si="76"/>
        <v>0</v>
      </c>
      <c r="AV93" s="317">
        <f t="shared" si="77"/>
        <v>0</v>
      </c>
      <c r="AW93" s="317">
        <f t="shared" si="78"/>
        <v>0</v>
      </c>
      <c r="AX93" s="317">
        <f t="shared" si="79"/>
        <v>0</v>
      </c>
      <c r="AY93" s="317">
        <f t="shared" si="80"/>
        <v>0</v>
      </c>
      <c r="AZ93" s="317">
        <f t="shared" si="81"/>
        <v>0</v>
      </c>
      <c r="BA93" s="317">
        <f t="shared" si="82"/>
        <v>0</v>
      </c>
    </row>
    <row r="94" spans="1:53" s="314" customFormat="1" ht="16.5" customHeight="1">
      <c r="A94" s="63" t="str">
        <f t="array" ref="A94">IF(C94&lt;&gt;0,SUM(($C$11:C94&lt;&gt;0)*1),"")</f>
        <v/>
      </c>
      <c r="B94" s="315"/>
      <c r="C94" s="315"/>
      <c r="D94" s="315"/>
      <c r="E94" s="432"/>
      <c r="F94" s="371"/>
      <c r="G94" s="373"/>
      <c r="H94" s="373"/>
      <c r="I94" s="63" t="str">
        <f t="shared" ref="I94:I113" si="89">A94</f>
        <v/>
      </c>
      <c r="J94" s="317">
        <f t="shared" si="45"/>
        <v>0</v>
      </c>
      <c r="K94" s="317">
        <f t="shared" si="46"/>
        <v>0</v>
      </c>
      <c r="L94" s="317">
        <f t="shared" si="47"/>
        <v>0</v>
      </c>
      <c r="M94" s="317">
        <f t="shared" si="48"/>
        <v>0</v>
      </c>
      <c r="N94" s="317">
        <f t="shared" si="83"/>
        <v>0</v>
      </c>
      <c r="O94" s="317">
        <f t="shared" si="84"/>
        <v>0</v>
      </c>
      <c r="P94" s="317">
        <f t="shared" si="49"/>
        <v>0</v>
      </c>
      <c r="Q94" s="317">
        <f t="shared" si="50"/>
        <v>0</v>
      </c>
      <c r="R94" s="317">
        <f t="shared" si="51"/>
        <v>0</v>
      </c>
      <c r="S94" s="317">
        <f t="shared" si="52"/>
        <v>0</v>
      </c>
      <c r="T94" s="317">
        <f t="shared" si="85"/>
        <v>0</v>
      </c>
      <c r="U94" s="317">
        <f t="shared" si="86"/>
        <v>0</v>
      </c>
      <c r="V94" s="317">
        <f t="shared" si="53"/>
        <v>0</v>
      </c>
      <c r="W94" s="317">
        <f t="shared" si="54"/>
        <v>0</v>
      </c>
      <c r="X94" s="317">
        <f t="shared" si="55"/>
        <v>0</v>
      </c>
      <c r="Y94" s="317">
        <f t="shared" si="56"/>
        <v>0</v>
      </c>
      <c r="Z94" s="317">
        <f t="shared" si="57"/>
        <v>0</v>
      </c>
      <c r="AA94" s="317">
        <f t="shared" si="58"/>
        <v>0</v>
      </c>
      <c r="AB94" s="317">
        <f t="shared" si="59"/>
        <v>0</v>
      </c>
      <c r="AC94" s="317">
        <f t="shared" si="60"/>
        <v>0</v>
      </c>
      <c r="AD94" s="317">
        <f t="shared" si="61"/>
        <v>0</v>
      </c>
      <c r="AE94" s="317">
        <f t="shared" si="62"/>
        <v>0</v>
      </c>
      <c r="AF94" s="317">
        <f t="shared" si="87"/>
        <v>0</v>
      </c>
      <c r="AG94" s="317">
        <f t="shared" si="88"/>
        <v>0</v>
      </c>
      <c r="AH94" s="317">
        <f t="shared" si="63"/>
        <v>0</v>
      </c>
      <c r="AI94" s="317">
        <f t="shared" si="64"/>
        <v>0</v>
      </c>
      <c r="AJ94" s="317">
        <f t="shared" si="65"/>
        <v>0</v>
      </c>
      <c r="AK94" s="317">
        <f t="shared" si="66"/>
        <v>0</v>
      </c>
      <c r="AL94" s="317">
        <f t="shared" si="67"/>
        <v>0</v>
      </c>
      <c r="AM94" s="317">
        <f t="shared" si="68"/>
        <v>0</v>
      </c>
      <c r="AN94" s="317">
        <f t="shared" si="69"/>
        <v>0</v>
      </c>
      <c r="AO94" s="317">
        <f t="shared" si="70"/>
        <v>0</v>
      </c>
      <c r="AP94" s="317">
        <f t="shared" si="71"/>
        <v>0</v>
      </c>
      <c r="AQ94" s="317">
        <f t="shared" si="72"/>
        <v>0</v>
      </c>
      <c r="AR94" s="317">
        <f t="shared" si="73"/>
        <v>0</v>
      </c>
      <c r="AS94" s="317">
        <f t="shared" si="74"/>
        <v>0</v>
      </c>
      <c r="AT94" s="317">
        <f t="shared" si="75"/>
        <v>0</v>
      </c>
      <c r="AU94" s="317">
        <f t="shared" si="76"/>
        <v>0</v>
      </c>
      <c r="AV94" s="317">
        <f t="shared" si="77"/>
        <v>0</v>
      </c>
      <c r="AW94" s="317">
        <f t="shared" si="78"/>
        <v>0</v>
      </c>
      <c r="AX94" s="317">
        <f t="shared" si="79"/>
        <v>0</v>
      </c>
      <c r="AY94" s="317">
        <f t="shared" si="80"/>
        <v>0</v>
      </c>
      <c r="AZ94" s="317">
        <f t="shared" si="81"/>
        <v>0</v>
      </c>
      <c r="BA94" s="317">
        <f t="shared" si="82"/>
        <v>0</v>
      </c>
    </row>
    <row r="95" spans="1:53" s="314" customFormat="1" ht="16.5" customHeight="1">
      <c r="A95" s="63" t="str">
        <f t="array" ref="A95">IF(C95&lt;&gt;0,SUM(($C$11:C95&lt;&gt;0)*1),"")</f>
        <v/>
      </c>
      <c r="B95" s="315"/>
      <c r="C95" s="315"/>
      <c r="D95" s="315"/>
      <c r="E95" s="432"/>
      <c r="F95" s="371"/>
      <c r="G95" s="373"/>
      <c r="H95" s="373"/>
      <c r="I95" s="63" t="str">
        <f t="shared" si="89"/>
        <v/>
      </c>
      <c r="J95" s="317">
        <f t="shared" si="45"/>
        <v>0</v>
      </c>
      <c r="K95" s="317">
        <f t="shared" si="46"/>
        <v>0</v>
      </c>
      <c r="L95" s="317">
        <f t="shared" si="47"/>
        <v>0</v>
      </c>
      <c r="M95" s="317">
        <f t="shared" si="48"/>
        <v>0</v>
      </c>
      <c r="N95" s="317">
        <f t="shared" si="83"/>
        <v>0</v>
      </c>
      <c r="O95" s="317">
        <f t="shared" si="84"/>
        <v>0</v>
      </c>
      <c r="P95" s="317">
        <f t="shared" si="49"/>
        <v>0</v>
      </c>
      <c r="Q95" s="317">
        <f t="shared" si="50"/>
        <v>0</v>
      </c>
      <c r="R95" s="317">
        <f t="shared" si="51"/>
        <v>0</v>
      </c>
      <c r="S95" s="317">
        <f t="shared" si="52"/>
        <v>0</v>
      </c>
      <c r="T95" s="317">
        <f t="shared" si="85"/>
        <v>0</v>
      </c>
      <c r="U95" s="317">
        <f t="shared" si="86"/>
        <v>0</v>
      </c>
      <c r="V95" s="317">
        <f t="shared" si="53"/>
        <v>0</v>
      </c>
      <c r="W95" s="317">
        <f t="shared" si="54"/>
        <v>0</v>
      </c>
      <c r="X95" s="317">
        <f t="shared" si="55"/>
        <v>0</v>
      </c>
      <c r="Y95" s="317">
        <f t="shared" si="56"/>
        <v>0</v>
      </c>
      <c r="Z95" s="317">
        <f t="shared" si="57"/>
        <v>0</v>
      </c>
      <c r="AA95" s="317">
        <f t="shared" si="58"/>
        <v>0</v>
      </c>
      <c r="AB95" s="317">
        <f t="shared" si="59"/>
        <v>0</v>
      </c>
      <c r="AC95" s="317">
        <f t="shared" si="60"/>
        <v>0</v>
      </c>
      <c r="AD95" s="317">
        <f t="shared" si="61"/>
        <v>0</v>
      </c>
      <c r="AE95" s="317">
        <f t="shared" si="62"/>
        <v>0</v>
      </c>
      <c r="AF95" s="317">
        <f t="shared" si="87"/>
        <v>0</v>
      </c>
      <c r="AG95" s="317">
        <f t="shared" si="88"/>
        <v>0</v>
      </c>
      <c r="AH95" s="317">
        <f t="shared" si="63"/>
        <v>0</v>
      </c>
      <c r="AI95" s="317">
        <f t="shared" si="64"/>
        <v>0</v>
      </c>
      <c r="AJ95" s="317">
        <f t="shared" si="65"/>
        <v>0</v>
      </c>
      <c r="AK95" s="317">
        <f t="shared" si="66"/>
        <v>0</v>
      </c>
      <c r="AL95" s="317">
        <f t="shared" si="67"/>
        <v>0</v>
      </c>
      <c r="AM95" s="317">
        <f t="shared" si="68"/>
        <v>0</v>
      </c>
      <c r="AN95" s="317">
        <f t="shared" si="69"/>
        <v>0</v>
      </c>
      <c r="AO95" s="317">
        <f t="shared" si="70"/>
        <v>0</v>
      </c>
      <c r="AP95" s="317">
        <f t="shared" si="71"/>
        <v>0</v>
      </c>
      <c r="AQ95" s="317">
        <f t="shared" si="72"/>
        <v>0</v>
      </c>
      <c r="AR95" s="317">
        <f t="shared" si="73"/>
        <v>0</v>
      </c>
      <c r="AS95" s="317">
        <f t="shared" si="74"/>
        <v>0</v>
      </c>
      <c r="AT95" s="317">
        <f t="shared" si="75"/>
        <v>0</v>
      </c>
      <c r="AU95" s="317">
        <f t="shared" si="76"/>
        <v>0</v>
      </c>
      <c r="AV95" s="317">
        <f t="shared" si="77"/>
        <v>0</v>
      </c>
      <c r="AW95" s="317">
        <f t="shared" si="78"/>
        <v>0</v>
      </c>
      <c r="AX95" s="317">
        <f t="shared" si="79"/>
        <v>0</v>
      </c>
      <c r="AY95" s="317">
        <f t="shared" si="80"/>
        <v>0</v>
      </c>
      <c r="AZ95" s="317">
        <f t="shared" si="81"/>
        <v>0</v>
      </c>
      <c r="BA95" s="317">
        <f t="shared" si="82"/>
        <v>0</v>
      </c>
    </row>
    <row r="96" spans="1:53" s="314" customFormat="1" ht="16.5" customHeight="1">
      <c r="A96" s="63" t="str">
        <f t="array" ref="A96">IF(C96&lt;&gt;0,SUM(($C$11:C96&lt;&gt;0)*1),"")</f>
        <v/>
      </c>
      <c r="B96" s="315"/>
      <c r="C96" s="315"/>
      <c r="D96" s="315"/>
      <c r="E96" s="432"/>
      <c r="F96" s="371"/>
      <c r="G96" s="373"/>
      <c r="H96" s="373"/>
      <c r="I96" s="63" t="str">
        <f t="shared" si="89"/>
        <v/>
      </c>
      <c r="J96" s="317">
        <f t="shared" si="45"/>
        <v>0</v>
      </c>
      <c r="K96" s="317">
        <f t="shared" si="46"/>
        <v>0</v>
      </c>
      <c r="L96" s="317">
        <f t="shared" si="47"/>
        <v>0</v>
      </c>
      <c r="M96" s="317">
        <f t="shared" si="48"/>
        <v>0</v>
      </c>
      <c r="N96" s="317">
        <f t="shared" si="83"/>
        <v>0</v>
      </c>
      <c r="O96" s="317">
        <f t="shared" si="84"/>
        <v>0</v>
      </c>
      <c r="P96" s="317">
        <f t="shared" si="49"/>
        <v>0</v>
      </c>
      <c r="Q96" s="317">
        <f t="shared" si="50"/>
        <v>0</v>
      </c>
      <c r="R96" s="317">
        <f t="shared" si="51"/>
        <v>0</v>
      </c>
      <c r="S96" s="317">
        <f t="shared" si="52"/>
        <v>0</v>
      </c>
      <c r="T96" s="317">
        <f t="shared" si="85"/>
        <v>0</v>
      </c>
      <c r="U96" s="317">
        <f t="shared" si="86"/>
        <v>0</v>
      </c>
      <c r="V96" s="317">
        <f t="shared" si="53"/>
        <v>0</v>
      </c>
      <c r="W96" s="317">
        <f t="shared" si="54"/>
        <v>0</v>
      </c>
      <c r="X96" s="317">
        <f t="shared" si="55"/>
        <v>0</v>
      </c>
      <c r="Y96" s="317">
        <f t="shared" si="56"/>
        <v>0</v>
      </c>
      <c r="Z96" s="317">
        <f t="shared" si="57"/>
        <v>0</v>
      </c>
      <c r="AA96" s="317">
        <f t="shared" si="58"/>
        <v>0</v>
      </c>
      <c r="AB96" s="317">
        <f t="shared" si="59"/>
        <v>0</v>
      </c>
      <c r="AC96" s="317">
        <f t="shared" si="60"/>
        <v>0</v>
      </c>
      <c r="AD96" s="317">
        <f t="shared" si="61"/>
        <v>0</v>
      </c>
      <c r="AE96" s="317">
        <f t="shared" si="62"/>
        <v>0</v>
      </c>
      <c r="AF96" s="317">
        <f t="shared" si="87"/>
        <v>0</v>
      </c>
      <c r="AG96" s="317">
        <f t="shared" si="88"/>
        <v>0</v>
      </c>
      <c r="AH96" s="317">
        <f t="shared" si="63"/>
        <v>0</v>
      </c>
      <c r="AI96" s="317">
        <f t="shared" si="64"/>
        <v>0</v>
      </c>
      <c r="AJ96" s="317">
        <f t="shared" si="65"/>
        <v>0</v>
      </c>
      <c r="AK96" s="317">
        <f t="shared" si="66"/>
        <v>0</v>
      </c>
      <c r="AL96" s="317">
        <f t="shared" si="67"/>
        <v>0</v>
      </c>
      <c r="AM96" s="317">
        <f t="shared" si="68"/>
        <v>0</v>
      </c>
      <c r="AN96" s="317">
        <f t="shared" si="69"/>
        <v>0</v>
      </c>
      <c r="AO96" s="317">
        <f t="shared" si="70"/>
        <v>0</v>
      </c>
      <c r="AP96" s="317">
        <f t="shared" si="71"/>
        <v>0</v>
      </c>
      <c r="AQ96" s="317">
        <f t="shared" si="72"/>
        <v>0</v>
      </c>
      <c r="AR96" s="317">
        <f t="shared" si="73"/>
        <v>0</v>
      </c>
      <c r="AS96" s="317">
        <f t="shared" si="74"/>
        <v>0</v>
      </c>
      <c r="AT96" s="317">
        <f t="shared" si="75"/>
        <v>0</v>
      </c>
      <c r="AU96" s="317">
        <f t="shared" si="76"/>
        <v>0</v>
      </c>
      <c r="AV96" s="317">
        <f t="shared" si="77"/>
        <v>0</v>
      </c>
      <c r="AW96" s="317">
        <f t="shared" si="78"/>
        <v>0</v>
      </c>
      <c r="AX96" s="317">
        <f t="shared" si="79"/>
        <v>0</v>
      </c>
      <c r="AY96" s="317">
        <f t="shared" si="80"/>
        <v>0</v>
      </c>
      <c r="AZ96" s="317">
        <f t="shared" si="81"/>
        <v>0</v>
      </c>
      <c r="BA96" s="317">
        <f t="shared" si="82"/>
        <v>0</v>
      </c>
    </row>
    <row r="97" spans="1:53" s="314" customFormat="1" ht="16.5" customHeight="1">
      <c r="A97" s="63" t="str">
        <f t="array" ref="A97">IF(C97&lt;&gt;0,SUM(($C$11:C97&lt;&gt;0)*1),"")</f>
        <v/>
      </c>
      <c r="B97" s="315"/>
      <c r="C97" s="315"/>
      <c r="D97" s="315"/>
      <c r="E97" s="432"/>
      <c r="F97" s="371"/>
      <c r="G97" s="373"/>
      <c r="H97" s="373"/>
      <c r="I97" s="63" t="str">
        <f t="shared" si="89"/>
        <v/>
      </c>
      <c r="J97" s="317">
        <f t="shared" si="45"/>
        <v>0</v>
      </c>
      <c r="K97" s="317">
        <f t="shared" si="46"/>
        <v>0</v>
      </c>
      <c r="L97" s="317">
        <f t="shared" si="47"/>
        <v>0</v>
      </c>
      <c r="M97" s="317">
        <f t="shared" si="48"/>
        <v>0</v>
      </c>
      <c r="N97" s="317">
        <f t="shared" si="83"/>
        <v>0</v>
      </c>
      <c r="O97" s="317">
        <f t="shared" si="84"/>
        <v>0</v>
      </c>
      <c r="P97" s="317">
        <f t="shared" si="49"/>
        <v>0</v>
      </c>
      <c r="Q97" s="317">
        <f t="shared" si="50"/>
        <v>0</v>
      </c>
      <c r="R97" s="317">
        <f t="shared" si="51"/>
        <v>0</v>
      </c>
      <c r="S97" s="317">
        <f t="shared" si="52"/>
        <v>0</v>
      </c>
      <c r="T97" s="317">
        <f t="shared" si="85"/>
        <v>0</v>
      </c>
      <c r="U97" s="317">
        <f t="shared" si="86"/>
        <v>0</v>
      </c>
      <c r="V97" s="317">
        <f t="shared" si="53"/>
        <v>0</v>
      </c>
      <c r="W97" s="317">
        <f t="shared" si="54"/>
        <v>0</v>
      </c>
      <c r="X97" s="317">
        <f t="shared" si="55"/>
        <v>0</v>
      </c>
      <c r="Y97" s="317">
        <f t="shared" si="56"/>
        <v>0</v>
      </c>
      <c r="Z97" s="317">
        <f t="shared" si="57"/>
        <v>0</v>
      </c>
      <c r="AA97" s="317">
        <f t="shared" si="58"/>
        <v>0</v>
      </c>
      <c r="AB97" s="317">
        <f t="shared" si="59"/>
        <v>0</v>
      </c>
      <c r="AC97" s="317">
        <f t="shared" si="60"/>
        <v>0</v>
      </c>
      <c r="AD97" s="317">
        <f t="shared" si="61"/>
        <v>0</v>
      </c>
      <c r="AE97" s="317">
        <f t="shared" si="62"/>
        <v>0</v>
      </c>
      <c r="AF97" s="317">
        <f t="shared" si="87"/>
        <v>0</v>
      </c>
      <c r="AG97" s="317">
        <f t="shared" si="88"/>
        <v>0</v>
      </c>
      <c r="AH97" s="317">
        <f t="shared" si="63"/>
        <v>0</v>
      </c>
      <c r="AI97" s="317">
        <f t="shared" si="64"/>
        <v>0</v>
      </c>
      <c r="AJ97" s="317">
        <f t="shared" si="65"/>
        <v>0</v>
      </c>
      <c r="AK97" s="317">
        <f t="shared" si="66"/>
        <v>0</v>
      </c>
      <c r="AL97" s="317">
        <f t="shared" si="67"/>
        <v>0</v>
      </c>
      <c r="AM97" s="317">
        <f t="shared" si="68"/>
        <v>0</v>
      </c>
      <c r="AN97" s="317">
        <f t="shared" si="69"/>
        <v>0</v>
      </c>
      <c r="AO97" s="317">
        <f t="shared" si="70"/>
        <v>0</v>
      </c>
      <c r="AP97" s="317">
        <f t="shared" si="71"/>
        <v>0</v>
      </c>
      <c r="AQ97" s="317">
        <f t="shared" si="72"/>
        <v>0</v>
      </c>
      <c r="AR97" s="317">
        <f t="shared" si="73"/>
        <v>0</v>
      </c>
      <c r="AS97" s="317">
        <f t="shared" si="74"/>
        <v>0</v>
      </c>
      <c r="AT97" s="317">
        <f t="shared" si="75"/>
        <v>0</v>
      </c>
      <c r="AU97" s="317">
        <f t="shared" si="76"/>
        <v>0</v>
      </c>
      <c r="AV97" s="317">
        <f t="shared" si="77"/>
        <v>0</v>
      </c>
      <c r="AW97" s="317">
        <f t="shared" si="78"/>
        <v>0</v>
      </c>
      <c r="AX97" s="317">
        <f t="shared" si="79"/>
        <v>0</v>
      </c>
      <c r="AY97" s="317">
        <f t="shared" si="80"/>
        <v>0</v>
      </c>
      <c r="AZ97" s="317">
        <f t="shared" si="81"/>
        <v>0</v>
      </c>
      <c r="BA97" s="317">
        <f t="shared" si="82"/>
        <v>0</v>
      </c>
    </row>
    <row r="98" spans="1:53" s="314" customFormat="1" ht="16.5" customHeight="1">
      <c r="A98" s="63" t="str">
        <f t="array" ref="A98">IF(C98&lt;&gt;0,SUM(($C$11:C98&lt;&gt;0)*1),"")</f>
        <v/>
      </c>
      <c r="B98" s="315"/>
      <c r="C98" s="315"/>
      <c r="D98" s="315"/>
      <c r="E98" s="432"/>
      <c r="F98" s="371"/>
      <c r="G98" s="373"/>
      <c r="H98" s="373"/>
      <c r="I98" s="63" t="str">
        <f t="shared" si="89"/>
        <v/>
      </c>
      <c r="J98" s="317">
        <f t="shared" si="45"/>
        <v>0</v>
      </c>
      <c r="K98" s="317">
        <f t="shared" si="46"/>
        <v>0</v>
      </c>
      <c r="L98" s="317">
        <f t="shared" si="47"/>
        <v>0</v>
      </c>
      <c r="M98" s="317">
        <f t="shared" si="48"/>
        <v>0</v>
      </c>
      <c r="N98" s="317">
        <f t="shared" si="83"/>
        <v>0</v>
      </c>
      <c r="O98" s="317">
        <f t="shared" si="84"/>
        <v>0</v>
      </c>
      <c r="P98" s="317">
        <f t="shared" si="49"/>
        <v>0</v>
      </c>
      <c r="Q98" s="317">
        <f t="shared" si="50"/>
        <v>0</v>
      </c>
      <c r="R98" s="317">
        <f t="shared" si="51"/>
        <v>0</v>
      </c>
      <c r="S98" s="317">
        <f t="shared" si="52"/>
        <v>0</v>
      </c>
      <c r="T98" s="317">
        <f t="shared" si="85"/>
        <v>0</v>
      </c>
      <c r="U98" s="317">
        <f t="shared" si="86"/>
        <v>0</v>
      </c>
      <c r="V98" s="317">
        <f t="shared" si="53"/>
        <v>0</v>
      </c>
      <c r="W98" s="317">
        <f t="shared" si="54"/>
        <v>0</v>
      </c>
      <c r="X98" s="317">
        <f t="shared" si="55"/>
        <v>0</v>
      </c>
      <c r="Y98" s="317">
        <f t="shared" si="56"/>
        <v>0</v>
      </c>
      <c r="Z98" s="317">
        <f t="shared" si="57"/>
        <v>0</v>
      </c>
      <c r="AA98" s="317">
        <f t="shared" si="58"/>
        <v>0</v>
      </c>
      <c r="AB98" s="317">
        <f t="shared" si="59"/>
        <v>0</v>
      </c>
      <c r="AC98" s="317">
        <f t="shared" si="60"/>
        <v>0</v>
      </c>
      <c r="AD98" s="317">
        <f t="shared" si="61"/>
        <v>0</v>
      </c>
      <c r="AE98" s="317">
        <f t="shared" si="62"/>
        <v>0</v>
      </c>
      <c r="AF98" s="317">
        <f t="shared" si="87"/>
        <v>0</v>
      </c>
      <c r="AG98" s="317">
        <f t="shared" si="88"/>
        <v>0</v>
      </c>
      <c r="AH98" s="317">
        <f t="shared" si="63"/>
        <v>0</v>
      </c>
      <c r="AI98" s="317">
        <f t="shared" si="64"/>
        <v>0</v>
      </c>
      <c r="AJ98" s="317">
        <f t="shared" si="65"/>
        <v>0</v>
      </c>
      <c r="AK98" s="317">
        <f t="shared" si="66"/>
        <v>0</v>
      </c>
      <c r="AL98" s="317">
        <f t="shared" si="67"/>
        <v>0</v>
      </c>
      <c r="AM98" s="317">
        <f t="shared" si="68"/>
        <v>0</v>
      </c>
      <c r="AN98" s="317">
        <f t="shared" si="69"/>
        <v>0</v>
      </c>
      <c r="AO98" s="317">
        <f t="shared" si="70"/>
        <v>0</v>
      </c>
      <c r="AP98" s="317">
        <f t="shared" si="71"/>
        <v>0</v>
      </c>
      <c r="AQ98" s="317">
        <f t="shared" si="72"/>
        <v>0</v>
      </c>
      <c r="AR98" s="317">
        <f t="shared" si="73"/>
        <v>0</v>
      </c>
      <c r="AS98" s="317">
        <f t="shared" si="74"/>
        <v>0</v>
      </c>
      <c r="AT98" s="317">
        <f t="shared" si="75"/>
        <v>0</v>
      </c>
      <c r="AU98" s="317">
        <f t="shared" si="76"/>
        <v>0</v>
      </c>
      <c r="AV98" s="317">
        <f t="shared" si="77"/>
        <v>0</v>
      </c>
      <c r="AW98" s="317">
        <f t="shared" si="78"/>
        <v>0</v>
      </c>
      <c r="AX98" s="317">
        <f t="shared" si="79"/>
        <v>0</v>
      </c>
      <c r="AY98" s="317">
        <f t="shared" si="80"/>
        <v>0</v>
      </c>
      <c r="AZ98" s="317">
        <f t="shared" si="81"/>
        <v>0</v>
      </c>
      <c r="BA98" s="317">
        <f t="shared" si="82"/>
        <v>0</v>
      </c>
    </row>
    <row r="99" spans="1:53" s="314" customFormat="1" ht="16.5" customHeight="1">
      <c r="A99" s="63" t="str">
        <f t="array" ref="A99">IF(C99&lt;&gt;0,SUM(($C$11:C99&lt;&gt;0)*1),"")</f>
        <v/>
      </c>
      <c r="B99" s="315"/>
      <c r="C99" s="315"/>
      <c r="D99" s="315"/>
      <c r="E99" s="432"/>
      <c r="F99" s="371"/>
      <c r="G99" s="373"/>
      <c r="H99" s="373"/>
      <c r="I99" s="63" t="str">
        <f t="shared" si="89"/>
        <v/>
      </c>
      <c r="J99" s="317">
        <f t="shared" si="45"/>
        <v>0</v>
      </c>
      <c r="K99" s="317">
        <f t="shared" si="46"/>
        <v>0</v>
      </c>
      <c r="L99" s="317">
        <f t="shared" si="47"/>
        <v>0</v>
      </c>
      <c r="M99" s="317">
        <f t="shared" si="48"/>
        <v>0</v>
      </c>
      <c r="N99" s="317">
        <f t="shared" si="83"/>
        <v>0</v>
      </c>
      <c r="O99" s="317">
        <f t="shared" si="84"/>
        <v>0</v>
      </c>
      <c r="P99" s="317">
        <f t="shared" si="49"/>
        <v>0</v>
      </c>
      <c r="Q99" s="317">
        <f t="shared" si="50"/>
        <v>0</v>
      </c>
      <c r="R99" s="317">
        <f t="shared" si="51"/>
        <v>0</v>
      </c>
      <c r="S99" s="317">
        <f t="shared" si="52"/>
        <v>0</v>
      </c>
      <c r="T99" s="317">
        <f t="shared" si="85"/>
        <v>0</v>
      </c>
      <c r="U99" s="317">
        <f t="shared" si="86"/>
        <v>0</v>
      </c>
      <c r="V99" s="317">
        <f t="shared" si="53"/>
        <v>0</v>
      </c>
      <c r="W99" s="317">
        <f t="shared" si="54"/>
        <v>0</v>
      </c>
      <c r="X99" s="317">
        <f t="shared" si="55"/>
        <v>0</v>
      </c>
      <c r="Y99" s="317">
        <f t="shared" si="56"/>
        <v>0</v>
      </c>
      <c r="Z99" s="317">
        <f t="shared" si="57"/>
        <v>0</v>
      </c>
      <c r="AA99" s="317">
        <f t="shared" si="58"/>
        <v>0</v>
      </c>
      <c r="AB99" s="317">
        <f t="shared" si="59"/>
        <v>0</v>
      </c>
      <c r="AC99" s="317">
        <f t="shared" si="60"/>
        <v>0</v>
      </c>
      <c r="AD99" s="317">
        <f t="shared" si="61"/>
        <v>0</v>
      </c>
      <c r="AE99" s="317">
        <f t="shared" si="62"/>
        <v>0</v>
      </c>
      <c r="AF99" s="317">
        <f t="shared" si="87"/>
        <v>0</v>
      </c>
      <c r="AG99" s="317">
        <f t="shared" si="88"/>
        <v>0</v>
      </c>
      <c r="AH99" s="317">
        <f t="shared" si="63"/>
        <v>0</v>
      </c>
      <c r="AI99" s="317">
        <f t="shared" si="64"/>
        <v>0</v>
      </c>
      <c r="AJ99" s="317">
        <f t="shared" si="65"/>
        <v>0</v>
      </c>
      <c r="AK99" s="317">
        <f t="shared" si="66"/>
        <v>0</v>
      </c>
      <c r="AL99" s="317">
        <f t="shared" si="67"/>
        <v>0</v>
      </c>
      <c r="AM99" s="317">
        <f t="shared" si="68"/>
        <v>0</v>
      </c>
      <c r="AN99" s="317">
        <f t="shared" si="69"/>
        <v>0</v>
      </c>
      <c r="AO99" s="317">
        <f t="shared" si="70"/>
        <v>0</v>
      </c>
      <c r="AP99" s="317">
        <f t="shared" si="71"/>
        <v>0</v>
      </c>
      <c r="AQ99" s="317">
        <f t="shared" si="72"/>
        <v>0</v>
      </c>
      <c r="AR99" s="317">
        <f t="shared" si="73"/>
        <v>0</v>
      </c>
      <c r="AS99" s="317">
        <f t="shared" si="74"/>
        <v>0</v>
      </c>
      <c r="AT99" s="317">
        <f t="shared" si="75"/>
        <v>0</v>
      </c>
      <c r="AU99" s="317">
        <f t="shared" si="76"/>
        <v>0</v>
      </c>
      <c r="AV99" s="317">
        <f t="shared" si="77"/>
        <v>0</v>
      </c>
      <c r="AW99" s="317">
        <f t="shared" si="78"/>
        <v>0</v>
      </c>
      <c r="AX99" s="317">
        <f t="shared" si="79"/>
        <v>0</v>
      </c>
      <c r="AY99" s="317">
        <f t="shared" si="80"/>
        <v>0</v>
      </c>
      <c r="AZ99" s="317">
        <f t="shared" si="81"/>
        <v>0</v>
      </c>
      <c r="BA99" s="317">
        <f t="shared" si="82"/>
        <v>0</v>
      </c>
    </row>
    <row r="100" spans="1:53" s="314" customFormat="1" ht="16.5" customHeight="1">
      <c r="A100" s="63" t="str">
        <f t="array" ref="A100">IF(C100&lt;&gt;0,SUM(($C$11:C100&lt;&gt;0)*1),"")</f>
        <v/>
      </c>
      <c r="B100" s="315"/>
      <c r="C100" s="315"/>
      <c r="D100" s="315"/>
      <c r="E100" s="432"/>
      <c r="F100" s="371"/>
      <c r="G100" s="373"/>
      <c r="H100" s="373"/>
      <c r="I100" s="63" t="str">
        <f t="shared" si="89"/>
        <v/>
      </c>
      <c r="J100" s="317">
        <f t="shared" si="45"/>
        <v>0</v>
      </c>
      <c r="K100" s="317">
        <f t="shared" si="46"/>
        <v>0</v>
      </c>
      <c r="L100" s="317">
        <f t="shared" si="47"/>
        <v>0</v>
      </c>
      <c r="M100" s="317">
        <f t="shared" si="48"/>
        <v>0</v>
      </c>
      <c r="N100" s="317">
        <f t="shared" si="83"/>
        <v>0</v>
      </c>
      <c r="O100" s="317">
        <f t="shared" si="84"/>
        <v>0</v>
      </c>
      <c r="P100" s="317">
        <f t="shared" si="49"/>
        <v>0</v>
      </c>
      <c r="Q100" s="317">
        <f t="shared" si="50"/>
        <v>0</v>
      </c>
      <c r="R100" s="317">
        <f t="shared" si="51"/>
        <v>0</v>
      </c>
      <c r="S100" s="317">
        <f t="shared" si="52"/>
        <v>0</v>
      </c>
      <c r="T100" s="317">
        <f t="shared" si="85"/>
        <v>0</v>
      </c>
      <c r="U100" s="317">
        <f t="shared" si="86"/>
        <v>0</v>
      </c>
      <c r="V100" s="317">
        <f t="shared" si="53"/>
        <v>0</v>
      </c>
      <c r="W100" s="317">
        <f t="shared" si="54"/>
        <v>0</v>
      </c>
      <c r="X100" s="317">
        <f t="shared" si="55"/>
        <v>0</v>
      </c>
      <c r="Y100" s="317">
        <f t="shared" si="56"/>
        <v>0</v>
      </c>
      <c r="Z100" s="317">
        <f t="shared" si="57"/>
        <v>0</v>
      </c>
      <c r="AA100" s="317">
        <f t="shared" si="58"/>
        <v>0</v>
      </c>
      <c r="AB100" s="317">
        <f t="shared" si="59"/>
        <v>0</v>
      </c>
      <c r="AC100" s="317">
        <f t="shared" si="60"/>
        <v>0</v>
      </c>
      <c r="AD100" s="317">
        <f t="shared" si="61"/>
        <v>0</v>
      </c>
      <c r="AE100" s="317">
        <f t="shared" si="62"/>
        <v>0</v>
      </c>
      <c r="AF100" s="317">
        <f t="shared" si="87"/>
        <v>0</v>
      </c>
      <c r="AG100" s="317">
        <f t="shared" si="88"/>
        <v>0</v>
      </c>
      <c r="AH100" s="317">
        <f t="shared" si="63"/>
        <v>0</v>
      </c>
      <c r="AI100" s="317">
        <f t="shared" si="64"/>
        <v>0</v>
      </c>
      <c r="AJ100" s="317">
        <f t="shared" si="65"/>
        <v>0</v>
      </c>
      <c r="AK100" s="317">
        <f t="shared" si="66"/>
        <v>0</v>
      </c>
      <c r="AL100" s="317">
        <f t="shared" si="67"/>
        <v>0</v>
      </c>
      <c r="AM100" s="317">
        <f t="shared" si="68"/>
        <v>0</v>
      </c>
      <c r="AN100" s="317">
        <f t="shared" si="69"/>
        <v>0</v>
      </c>
      <c r="AO100" s="317">
        <f t="shared" si="70"/>
        <v>0</v>
      </c>
      <c r="AP100" s="317">
        <f t="shared" si="71"/>
        <v>0</v>
      </c>
      <c r="AQ100" s="317">
        <f t="shared" si="72"/>
        <v>0</v>
      </c>
      <c r="AR100" s="317">
        <f t="shared" si="73"/>
        <v>0</v>
      </c>
      <c r="AS100" s="317">
        <f t="shared" si="74"/>
        <v>0</v>
      </c>
      <c r="AT100" s="317">
        <f t="shared" si="75"/>
        <v>0</v>
      </c>
      <c r="AU100" s="317">
        <f t="shared" si="76"/>
        <v>0</v>
      </c>
      <c r="AV100" s="317">
        <f t="shared" si="77"/>
        <v>0</v>
      </c>
      <c r="AW100" s="317">
        <f t="shared" si="78"/>
        <v>0</v>
      </c>
      <c r="AX100" s="317">
        <f t="shared" si="79"/>
        <v>0</v>
      </c>
      <c r="AY100" s="317">
        <f t="shared" si="80"/>
        <v>0</v>
      </c>
      <c r="AZ100" s="317">
        <f t="shared" si="81"/>
        <v>0</v>
      </c>
      <c r="BA100" s="317">
        <f t="shared" si="82"/>
        <v>0</v>
      </c>
    </row>
    <row r="101" spans="1:53" s="314" customFormat="1" ht="16.5" customHeight="1">
      <c r="A101" s="63" t="str">
        <f t="array" ref="A101">IF(C101&lt;&gt;0,SUM(($C$11:C101&lt;&gt;0)*1),"")</f>
        <v/>
      </c>
      <c r="B101" s="315"/>
      <c r="C101" s="315"/>
      <c r="D101" s="315"/>
      <c r="E101" s="432"/>
      <c r="F101" s="371"/>
      <c r="G101" s="373"/>
      <c r="H101" s="373"/>
      <c r="I101" s="63" t="str">
        <f t="shared" si="89"/>
        <v/>
      </c>
      <c r="J101" s="317">
        <f t="shared" si="45"/>
        <v>0</v>
      </c>
      <c r="K101" s="317">
        <f t="shared" si="46"/>
        <v>0</v>
      </c>
      <c r="L101" s="317">
        <f t="shared" si="47"/>
        <v>0</v>
      </c>
      <c r="M101" s="317">
        <f t="shared" si="48"/>
        <v>0</v>
      </c>
      <c r="N101" s="317">
        <f t="shared" si="83"/>
        <v>0</v>
      </c>
      <c r="O101" s="317">
        <f t="shared" si="84"/>
        <v>0</v>
      </c>
      <c r="P101" s="317">
        <f t="shared" si="49"/>
        <v>0</v>
      </c>
      <c r="Q101" s="317">
        <f t="shared" si="50"/>
        <v>0</v>
      </c>
      <c r="R101" s="317">
        <f t="shared" si="51"/>
        <v>0</v>
      </c>
      <c r="S101" s="317">
        <f t="shared" si="52"/>
        <v>0</v>
      </c>
      <c r="T101" s="317">
        <f t="shared" si="85"/>
        <v>0</v>
      </c>
      <c r="U101" s="317">
        <f t="shared" si="86"/>
        <v>0</v>
      </c>
      <c r="V101" s="317">
        <f t="shared" si="53"/>
        <v>0</v>
      </c>
      <c r="W101" s="317">
        <f t="shared" si="54"/>
        <v>0</v>
      </c>
      <c r="X101" s="317">
        <f t="shared" si="55"/>
        <v>0</v>
      </c>
      <c r="Y101" s="317">
        <f t="shared" si="56"/>
        <v>0</v>
      </c>
      <c r="Z101" s="317">
        <f t="shared" si="57"/>
        <v>0</v>
      </c>
      <c r="AA101" s="317">
        <f t="shared" si="58"/>
        <v>0</v>
      </c>
      <c r="AB101" s="317">
        <f t="shared" si="59"/>
        <v>0</v>
      </c>
      <c r="AC101" s="317">
        <f t="shared" si="60"/>
        <v>0</v>
      </c>
      <c r="AD101" s="317">
        <f t="shared" si="61"/>
        <v>0</v>
      </c>
      <c r="AE101" s="317">
        <f t="shared" si="62"/>
        <v>0</v>
      </c>
      <c r="AF101" s="317">
        <f t="shared" si="87"/>
        <v>0</v>
      </c>
      <c r="AG101" s="317">
        <f t="shared" si="88"/>
        <v>0</v>
      </c>
      <c r="AH101" s="317">
        <f t="shared" si="63"/>
        <v>0</v>
      </c>
      <c r="AI101" s="317">
        <f t="shared" si="64"/>
        <v>0</v>
      </c>
      <c r="AJ101" s="317">
        <f t="shared" si="65"/>
        <v>0</v>
      </c>
      <c r="AK101" s="317">
        <f t="shared" si="66"/>
        <v>0</v>
      </c>
      <c r="AL101" s="317">
        <f t="shared" si="67"/>
        <v>0</v>
      </c>
      <c r="AM101" s="317">
        <f t="shared" si="68"/>
        <v>0</v>
      </c>
      <c r="AN101" s="317">
        <f t="shared" si="69"/>
        <v>0</v>
      </c>
      <c r="AO101" s="317">
        <f t="shared" si="70"/>
        <v>0</v>
      </c>
      <c r="AP101" s="317">
        <f t="shared" si="71"/>
        <v>0</v>
      </c>
      <c r="AQ101" s="317">
        <f t="shared" si="72"/>
        <v>0</v>
      </c>
      <c r="AR101" s="317">
        <f t="shared" si="73"/>
        <v>0</v>
      </c>
      <c r="AS101" s="317">
        <f t="shared" si="74"/>
        <v>0</v>
      </c>
      <c r="AT101" s="317">
        <f t="shared" si="75"/>
        <v>0</v>
      </c>
      <c r="AU101" s="317">
        <f t="shared" si="76"/>
        <v>0</v>
      </c>
      <c r="AV101" s="317">
        <f t="shared" si="77"/>
        <v>0</v>
      </c>
      <c r="AW101" s="317">
        <f t="shared" si="78"/>
        <v>0</v>
      </c>
      <c r="AX101" s="317">
        <f t="shared" si="79"/>
        <v>0</v>
      </c>
      <c r="AY101" s="317">
        <f t="shared" si="80"/>
        <v>0</v>
      </c>
      <c r="AZ101" s="317">
        <f t="shared" si="81"/>
        <v>0</v>
      </c>
      <c r="BA101" s="317">
        <f t="shared" si="82"/>
        <v>0</v>
      </c>
    </row>
    <row r="102" spans="1:53" s="314" customFormat="1" ht="16.5" customHeight="1">
      <c r="A102" s="63" t="str">
        <f t="array" ref="A102">IF(C102&lt;&gt;0,SUM(($C$11:C102&lt;&gt;0)*1),"")</f>
        <v/>
      </c>
      <c r="B102" s="315"/>
      <c r="C102" s="315"/>
      <c r="D102" s="315"/>
      <c r="E102" s="432"/>
      <c r="F102" s="371"/>
      <c r="G102" s="373"/>
      <c r="H102" s="373"/>
      <c r="I102" s="63" t="str">
        <f t="shared" si="89"/>
        <v/>
      </c>
      <c r="J102" s="317">
        <f t="shared" si="45"/>
        <v>0</v>
      </c>
      <c r="K102" s="317">
        <f t="shared" si="46"/>
        <v>0</v>
      </c>
      <c r="L102" s="317">
        <f t="shared" si="47"/>
        <v>0</v>
      </c>
      <c r="M102" s="317">
        <f t="shared" si="48"/>
        <v>0</v>
      </c>
      <c r="N102" s="317">
        <f t="shared" si="83"/>
        <v>0</v>
      </c>
      <c r="O102" s="317">
        <f t="shared" si="84"/>
        <v>0</v>
      </c>
      <c r="P102" s="317">
        <f t="shared" si="49"/>
        <v>0</v>
      </c>
      <c r="Q102" s="317">
        <f t="shared" si="50"/>
        <v>0</v>
      </c>
      <c r="R102" s="317">
        <f t="shared" si="51"/>
        <v>0</v>
      </c>
      <c r="S102" s="317">
        <f t="shared" si="52"/>
        <v>0</v>
      </c>
      <c r="T102" s="317">
        <f t="shared" si="85"/>
        <v>0</v>
      </c>
      <c r="U102" s="317">
        <f t="shared" si="86"/>
        <v>0</v>
      </c>
      <c r="V102" s="317">
        <f t="shared" si="53"/>
        <v>0</v>
      </c>
      <c r="W102" s="317">
        <f t="shared" si="54"/>
        <v>0</v>
      </c>
      <c r="X102" s="317">
        <f t="shared" si="55"/>
        <v>0</v>
      </c>
      <c r="Y102" s="317">
        <f t="shared" si="56"/>
        <v>0</v>
      </c>
      <c r="Z102" s="317">
        <f t="shared" si="57"/>
        <v>0</v>
      </c>
      <c r="AA102" s="317">
        <f t="shared" si="58"/>
        <v>0</v>
      </c>
      <c r="AB102" s="317">
        <f t="shared" si="59"/>
        <v>0</v>
      </c>
      <c r="AC102" s="317">
        <f t="shared" si="60"/>
        <v>0</v>
      </c>
      <c r="AD102" s="317">
        <f t="shared" si="61"/>
        <v>0</v>
      </c>
      <c r="AE102" s="317">
        <f t="shared" si="62"/>
        <v>0</v>
      </c>
      <c r="AF102" s="317">
        <f t="shared" si="87"/>
        <v>0</v>
      </c>
      <c r="AG102" s="317">
        <f t="shared" si="88"/>
        <v>0</v>
      </c>
      <c r="AH102" s="317">
        <f t="shared" si="63"/>
        <v>0</v>
      </c>
      <c r="AI102" s="317">
        <f t="shared" si="64"/>
        <v>0</v>
      </c>
      <c r="AJ102" s="317">
        <f t="shared" si="65"/>
        <v>0</v>
      </c>
      <c r="AK102" s="317">
        <f t="shared" si="66"/>
        <v>0</v>
      </c>
      <c r="AL102" s="317">
        <f t="shared" si="67"/>
        <v>0</v>
      </c>
      <c r="AM102" s="317">
        <f t="shared" si="68"/>
        <v>0</v>
      </c>
      <c r="AN102" s="317">
        <f t="shared" si="69"/>
        <v>0</v>
      </c>
      <c r="AO102" s="317">
        <f t="shared" si="70"/>
        <v>0</v>
      </c>
      <c r="AP102" s="317">
        <f t="shared" si="71"/>
        <v>0</v>
      </c>
      <c r="AQ102" s="317">
        <f t="shared" si="72"/>
        <v>0</v>
      </c>
      <c r="AR102" s="317">
        <f t="shared" si="73"/>
        <v>0</v>
      </c>
      <c r="AS102" s="317">
        <f t="shared" si="74"/>
        <v>0</v>
      </c>
      <c r="AT102" s="317">
        <f t="shared" si="75"/>
        <v>0</v>
      </c>
      <c r="AU102" s="317">
        <f t="shared" si="76"/>
        <v>0</v>
      </c>
      <c r="AV102" s="317">
        <f t="shared" si="77"/>
        <v>0</v>
      </c>
      <c r="AW102" s="317">
        <f t="shared" si="78"/>
        <v>0</v>
      </c>
      <c r="AX102" s="317">
        <f t="shared" si="79"/>
        <v>0</v>
      </c>
      <c r="AY102" s="317">
        <f t="shared" si="80"/>
        <v>0</v>
      </c>
      <c r="AZ102" s="317">
        <f t="shared" si="81"/>
        <v>0</v>
      </c>
      <c r="BA102" s="317">
        <f t="shared" si="82"/>
        <v>0</v>
      </c>
    </row>
    <row r="103" spans="1:53" s="314" customFormat="1" ht="16.5" customHeight="1">
      <c r="A103" s="63" t="str">
        <f t="array" ref="A103">IF(C103&lt;&gt;0,SUM(($C$11:C103&lt;&gt;0)*1),"")</f>
        <v/>
      </c>
      <c r="B103" s="315"/>
      <c r="C103" s="315"/>
      <c r="D103" s="315"/>
      <c r="E103" s="432"/>
      <c r="F103" s="371"/>
      <c r="G103" s="373"/>
      <c r="H103" s="373"/>
      <c r="I103" s="63" t="str">
        <f t="shared" si="89"/>
        <v/>
      </c>
      <c r="J103" s="317">
        <f t="shared" si="45"/>
        <v>0</v>
      </c>
      <c r="K103" s="317">
        <f t="shared" si="46"/>
        <v>0</v>
      </c>
      <c r="L103" s="317">
        <f t="shared" si="47"/>
        <v>0</v>
      </c>
      <c r="M103" s="317">
        <f t="shared" si="48"/>
        <v>0</v>
      </c>
      <c r="N103" s="317">
        <f t="shared" si="83"/>
        <v>0</v>
      </c>
      <c r="O103" s="317">
        <f t="shared" si="84"/>
        <v>0</v>
      </c>
      <c r="P103" s="317">
        <f t="shared" si="49"/>
        <v>0</v>
      </c>
      <c r="Q103" s="317">
        <f t="shared" si="50"/>
        <v>0</v>
      </c>
      <c r="R103" s="317">
        <f t="shared" si="51"/>
        <v>0</v>
      </c>
      <c r="S103" s="317">
        <f t="shared" si="52"/>
        <v>0</v>
      </c>
      <c r="T103" s="317">
        <f t="shared" si="85"/>
        <v>0</v>
      </c>
      <c r="U103" s="317">
        <f t="shared" si="86"/>
        <v>0</v>
      </c>
      <c r="V103" s="317">
        <f t="shared" si="53"/>
        <v>0</v>
      </c>
      <c r="W103" s="317">
        <f t="shared" si="54"/>
        <v>0</v>
      </c>
      <c r="X103" s="317">
        <f t="shared" si="55"/>
        <v>0</v>
      </c>
      <c r="Y103" s="317">
        <f t="shared" si="56"/>
        <v>0</v>
      </c>
      <c r="Z103" s="317">
        <f t="shared" si="57"/>
        <v>0</v>
      </c>
      <c r="AA103" s="317">
        <f t="shared" si="58"/>
        <v>0</v>
      </c>
      <c r="AB103" s="317">
        <f t="shared" si="59"/>
        <v>0</v>
      </c>
      <c r="AC103" s="317">
        <f t="shared" si="60"/>
        <v>0</v>
      </c>
      <c r="AD103" s="317">
        <f t="shared" si="61"/>
        <v>0</v>
      </c>
      <c r="AE103" s="317">
        <f t="shared" si="62"/>
        <v>0</v>
      </c>
      <c r="AF103" s="317">
        <f t="shared" si="87"/>
        <v>0</v>
      </c>
      <c r="AG103" s="317">
        <f t="shared" si="88"/>
        <v>0</v>
      </c>
      <c r="AH103" s="317">
        <f t="shared" si="63"/>
        <v>0</v>
      </c>
      <c r="AI103" s="317">
        <f t="shared" si="64"/>
        <v>0</v>
      </c>
      <c r="AJ103" s="317">
        <f t="shared" si="65"/>
        <v>0</v>
      </c>
      <c r="AK103" s="317">
        <f t="shared" si="66"/>
        <v>0</v>
      </c>
      <c r="AL103" s="317">
        <f t="shared" si="67"/>
        <v>0</v>
      </c>
      <c r="AM103" s="317">
        <f t="shared" si="68"/>
        <v>0</v>
      </c>
      <c r="AN103" s="317">
        <f t="shared" si="69"/>
        <v>0</v>
      </c>
      <c r="AO103" s="317">
        <f t="shared" si="70"/>
        <v>0</v>
      </c>
      <c r="AP103" s="317">
        <f t="shared" si="71"/>
        <v>0</v>
      </c>
      <c r="AQ103" s="317">
        <f t="shared" si="72"/>
        <v>0</v>
      </c>
      <c r="AR103" s="317">
        <f t="shared" si="73"/>
        <v>0</v>
      </c>
      <c r="AS103" s="317">
        <f t="shared" si="74"/>
        <v>0</v>
      </c>
      <c r="AT103" s="317">
        <f t="shared" si="75"/>
        <v>0</v>
      </c>
      <c r="AU103" s="317">
        <f t="shared" si="76"/>
        <v>0</v>
      </c>
      <c r="AV103" s="317">
        <f t="shared" si="77"/>
        <v>0</v>
      </c>
      <c r="AW103" s="317">
        <f t="shared" si="78"/>
        <v>0</v>
      </c>
      <c r="AX103" s="317">
        <f t="shared" si="79"/>
        <v>0</v>
      </c>
      <c r="AY103" s="317">
        <f t="shared" si="80"/>
        <v>0</v>
      </c>
      <c r="AZ103" s="317">
        <f t="shared" si="81"/>
        <v>0</v>
      </c>
      <c r="BA103" s="317">
        <f t="shared" si="82"/>
        <v>0</v>
      </c>
    </row>
    <row r="104" spans="1:53" s="314" customFormat="1" ht="16.5" customHeight="1">
      <c r="A104" s="63" t="str">
        <f t="array" ref="A104">IF(C104&lt;&gt;0,SUM(($C$11:C104&lt;&gt;0)*1),"")</f>
        <v/>
      </c>
      <c r="B104" s="315"/>
      <c r="C104" s="315"/>
      <c r="D104" s="315"/>
      <c r="E104" s="432"/>
      <c r="F104" s="371"/>
      <c r="G104" s="373"/>
      <c r="H104" s="373"/>
      <c r="I104" s="63" t="str">
        <f t="shared" si="89"/>
        <v/>
      </c>
      <c r="J104" s="317">
        <f t="shared" si="45"/>
        <v>0</v>
      </c>
      <c r="K104" s="317">
        <f t="shared" si="46"/>
        <v>0</v>
      </c>
      <c r="L104" s="317">
        <f t="shared" si="47"/>
        <v>0</v>
      </c>
      <c r="M104" s="317">
        <f t="shared" si="48"/>
        <v>0</v>
      </c>
      <c r="N104" s="317">
        <f t="shared" si="83"/>
        <v>0</v>
      </c>
      <c r="O104" s="317">
        <f t="shared" si="84"/>
        <v>0</v>
      </c>
      <c r="P104" s="317">
        <f t="shared" si="49"/>
        <v>0</v>
      </c>
      <c r="Q104" s="317">
        <f t="shared" si="50"/>
        <v>0</v>
      </c>
      <c r="R104" s="317">
        <f t="shared" si="51"/>
        <v>0</v>
      </c>
      <c r="S104" s="317">
        <f t="shared" si="52"/>
        <v>0</v>
      </c>
      <c r="T104" s="317">
        <f t="shared" si="85"/>
        <v>0</v>
      </c>
      <c r="U104" s="317">
        <f t="shared" si="86"/>
        <v>0</v>
      </c>
      <c r="V104" s="317">
        <f t="shared" si="53"/>
        <v>0</v>
      </c>
      <c r="W104" s="317">
        <f t="shared" si="54"/>
        <v>0</v>
      </c>
      <c r="X104" s="317">
        <f t="shared" si="55"/>
        <v>0</v>
      </c>
      <c r="Y104" s="317">
        <f t="shared" si="56"/>
        <v>0</v>
      </c>
      <c r="Z104" s="317">
        <f t="shared" si="57"/>
        <v>0</v>
      </c>
      <c r="AA104" s="317">
        <f t="shared" si="58"/>
        <v>0</v>
      </c>
      <c r="AB104" s="317">
        <f t="shared" si="59"/>
        <v>0</v>
      </c>
      <c r="AC104" s="317">
        <f t="shared" si="60"/>
        <v>0</v>
      </c>
      <c r="AD104" s="317">
        <f t="shared" si="61"/>
        <v>0</v>
      </c>
      <c r="AE104" s="317">
        <f t="shared" si="62"/>
        <v>0</v>
      </c>
      <c r="AF104" s="317">
        <f t="shared" si="87"/>
        <v>0</v>
      </c>
      <c r="AG104" s="317">
        <f t="shared" si="88"/>
        <v>0</v>
      </c>
      <c r="AH104" s="317">
        <f t="shared" si="63"/>
        <v>0</v>
      </c>
      <c r="AI104" s="317">
        <f t="shared" si="64"/>
        <v>0</v>
      </c>
      <c r="AJ104" s="317">
        <f t="shared" si="65"/>
        <v>0</v>
      </c>
      <c r="AK104" s="317">
        <f t="shared" si="66"/>
        <v>0</v>
      </c>
      <c r="AL104" s="317">
        <f t="shared" si="67"/>
        <v>0</v>
      </c>
      <c r="AM104" s="317">
        <f t="shared" si="68"/>
        <v>0</v>
      </c>
      <c r="AN104" s="317">
        <f t="shared" si="69"/>
        <v>0</v>
      </c>
      <c r="AO104" s="317">
        <f t="shared" si="70"/>
        <v>0</v>
      </c>
      <c r="AP104" s="317">
        <f t="shared" si="71"/>
        <v>0</v>
      </c>
      <c r="AQ104" s="317">
        <f t="shared" si="72"/>
        <v>0</v>
      </c>
      <c r="AR104" s="317">
        <f t="shared" si="73"/>
        <v>0</v>
      </c>
      <c r="AS104" s="317">
        <f t="shared" si="74"/>
        <v>0</v>
      </c>
      <c r="AT104" s="317">
        <f t="shared" si="75"/>
        <v>0</v>
      </c>
      <c r="AU104" s="317">
        <f t="shared" si="76"/>
        <v>0</v>
      </c>
      <c r="AV104" s="317">
        <f t="shared" si="77"/>
        <v>0</v>
      </c>
      <c r="AW104" s="317">
        <f t="shared" si="78"/>
        <v>0</v>
      </c>
      <c r="AX104" s="317">
        <f t="shared" si="79"/>
        <v>0</v>
      </c>
      <c r="AY104" s="317">
        <f t="shared" si="80"/>
        <v>0</v>
      </c>
      <c r="AZ104" s="317">
        <f t="shared" si="81"/>
        <v>0</v>
      </c>
      <c r="BA104" s="317">
        <f t="shared" si="82"/>
        <v>0</v>
      </c>
    </row>
    <row r="105" spans="1:53" s="314" customFormat="1" ht="16.5" customHeight="1">
      <c r="A105" s="63" t="str">
        <f t="array" ref="A105">IF(C105&lt;&gt;0,SUM(($C$11:C105&lt;&gt;0)*1),"")</f>
        <v/>
      </c>
      <c r="B105" s="315"/>
      <c r="C105" s="315"/>
      <c r="D105" s="315"/>
      <c r="E105" s="432"/>
      <c r="F105" s="371"/>
      <c r="G105" s="373"/>
      <c r="H105" s="373"/>
      <c r="I105" s="63" t="str">
        <f t="shared" si="89"/>
        <v/>
      </c>
      <c r="J105" s="317">
        <f t="shared" si="45"/>
        <v>0</v>
      </c>
      <c r="K105" s="317">
        <f t="shared" si="46"/>
        <v>0</v>
      </c>
      <c r="L105" s="317">
        <f t="shared" si="47"/>
        <v>0</v>
      </c>
      <c r="M105" s="317">
        <f t="shared" si="48"/>
        <v>0</v>
      </c>
      <c r="N105" s="317">
        <f t="shared" si="83"/>
        <v>0</v>
      </c>
      <c r="O105" s="317">
        <f t="shared" si="84"/>
        <v>0</v>
      </c>
      <c r="P105" s="317">
        <f t="shared" si="49"/>
        <v>0</v>
      </c>
      <c r="Q105" s="317">
        <f t="shared" si="50"/>
        <v>0</v>
      </c>
      <c r="R105" s="317">
        <f t="shared" si="51"/>
        <v>0</v>
      </c>
      <c r="S105" s="317">
        <f t="shared" si="52"/>
        <v>0</v>
      </c>
      <c r="T105" s="317">
        <f t="shared" si="85"/>
        <v>0</v>
      </c>
      <c r="U105" s="317">
        <f t="shared" si="86"/>
        <v>0</v>
      </c>
      <c r="V105" s="317">
        <f t="shared" si="53"/>
        <v>0</v>
      </c>
      <c r="W105" s="317">
        <f t="shared" si="54"/>
        <v>0</v>
      </c>
      <c r="X105" s="317">
        <f t="shared" si="55"/>
        <v>0</v>
      </c>
      <c r="Y105" s="317">
        <f t="shared" si="56"/>
        <v>0</v>
      </c>
      <c r="Z105" s="317">
        <f t="shared" si="57"/>
        <v>0</v>
      </c>
      <c r="AA105" s="317">
        <f t="shared" si="58"/>
        <v>0</v>
      </c>
      <c r="AB105" s="317">
        <f t="shared" si="59"/>
        <v>0</v>
      </c>
      <c r="AC105" s="317">
        <f t="shared" si="60"/>
        <v>0</v>
      </c>
      <c r="AD105" s="317">
        <f t="shared" si="61"/>
        <v>0</v>
      </c>
      <c r="AE105" s="317">
        <f t="shared" si="62"/>
        <v>0</v>
      </c>
      <c r="AF105" s="317">
        <f t="shared" si="87"/>
        <v>0</v>
      </c>
      <c r="AG105" s="317">
        <f t="shared" si="88"/>
        <v>0</v>
      </c>
      <c r="AH105" s="317">
        <f t="shared" si="63"/>
        <v>0</v>
      </c>
      <c r="AI105" s="317">
        <f t="shared" si="64"/>
        <v>0</v>
      </c>
      <c r="AJ105" s="317">
        <f t="shared" si="65"/>
        <v>0</v>
      </c>
      <c r="AK105" s="317">
        <f t="shared" si="66"/>
        <v>0</v>
      </c>
      <c r="AL105" s="317">
        <f t="shared" si="67"/>
        <v>0</v>
      </c>
      <c r="AM105" s="317">
        <f t="shared" si="68"/>
        <v>0</v>
      </c>
      <c r="AN105" s="317">
        <f t="shared" si="69"/>
        <v>0</v>
      </c>
      <c r="AO105" s="317">
        <f t="shared" si="70"/>
        <v>0</v>
      </c>
      <c r="AP105" s="317">
        <f t="shared" si="71"/>
        <v>0</v>
      </c>
      <c r="AQ105" s="317">
        <f t="shared" si="72"/>
        <v>0</v>
      </c>
      <c r="AR105" s="317">
        <f t="shared" si="73"/>
        <v>0</v>
      </c>
      <c r="AS105" s="317">
        <f t="shared" si="74"/>
        <v>0</v>
      </c>
      <c r="AT105" s="317">
        <f t="shared" si="75"/>
        <v>0</v>
      </c>
      <c r="AU105" s="317">
        <f t="shared" si="76"/>
        <v>0</v>
      </c>
      <c r="AV105" s="317">
        <f t="shared" si="77"/>
        <v>0</v>
      </c>
      <c r="AW105" s="317">
        <f t="shared" si="78"/>
        <v>0</v>
      </c>
      <c r="AX105" s="317">
        <f t="shared" si="79"/>
        <v>0</v>
      </c>
      <c r="AY105" s="317">
        <f t="shared" si="80"/>
        <v>0</v>
      </c>
      <c r="AZ105" s="317">
        <f t="shared" si="81"/>
        <v>0</v>
      </c>
      <c r="BA105" s="317">
        <f t="shared" si="82"/>
        <v>0</v>
      </c>
    </row>
    <row r="106" spans="1:53" s="314" customFormat="1" ht="16.5" customHeight="1">
      <c r="A106" s="63" t="str">
        <f t="array" ref="A106">IF(C106&lt;&gt;0,SUM(($C$11:C106&lt;&gt;0)*1),"")</f>
        <v/>
      </c>
      <c r="B106" s="315"/>
      <c r="C106" s="315"/>
      <c r="D106" s="315"/>
      <c r="E106" s="432"/>
      <c r="F106" s="371"/>
      <c r="G106" s="373"/>
      <c r="H106" s="373"/>
      <c r="I106" s="63" t="str">
        <f t="shared" si="89"/>
        <v/>
      </c>
      <c r="J106" s="317">
        <f t="shared" si="45"/>
        <v>0</v>
      </c>
      <c r="K106" s="317">
        <f t="shared" si="46"/>
        <v>0</v>
      </c>
      <c r="L106" s="317">
        <f t="shared" si="47"/>
        <v>0</v>
      </c>
      <c r="M106" s="317">
        <f t="shared" si="48"/>
        <v>0</v>
      </c>
      <c r="N106" s="317">
        <f t="shared" si="83"/>
        <v>0</v>
      </c>
      <c r="O106" s="317">
        <f t="shared" si="84"/>
        <v>0</v>
      </c>
      <c r="P106" s="317">
        <f t="shared" si="49"/>
        <v>0</v>
      </c>
      <c r="Q106" s="317">
        <f t="shared" si="50"/>
        <v>0</v>
      </c>
      <c r="R106" s="317">
        <f t="shared" si="51"/>
        <v>0</v>
      </c>
      <c r="S106" s="317">
        <f t="shared" si="52"/>
        <v>0</v>
      </c>
      <c r="T106" s="317">
        <f t="shared" si="85"/>
        <v>0</v>
      </c>
      <c r="U106" s="317">
        <f t="shared" si="86"/>
        <v>0</v>
      </c>
      <c r="V106" s="317">
        <f t="shared" si="53"/>
        <v>0</v>
      </c>
      <c r="W106" s="317">
        <f t="shared" si="54"/>
        <v>0</v>
      </c>
      <c r="X106" s="317">
        <f t="shared" si="55"/>
        <v>0</v>
      </c>
      <c r="Y106" s="317">
        <f t="shared" si="56"/>
        <v>0</v>
      </c>
      <c r="Z106" s="317">
        <f t="shared" si="57"/>
        <v>0</v>
      </c>
      <c r="AA106" s="317">
        <f t="shared" si="58"/>
        <v>0</v>
      </c>
      <c r="AB106" s="317">
        <f t="shared" si="59"/>
        <v>0</v>
      </c>
      <c r="AC106" s="317">
        <f t="shared" si="60"/>
        <v>0</v>
      </c>
      <c r="AD106" s="317">
        <f t="shared" si="61"/>
        <v>0</v>
      </c>
      <c r="AE106" s="317">
        <f t="shared" si="62"/>
        <v>0</v>
      </c>
      <c r="AF106" s="317">
        <f t="shared" si="87"/>
        <v>0</v>
      </c>
      <c r="AG106" s="317">
        <f t="shared" si="88"/>
        <v>0</v>
      </c>
      <c r="AH106" s="317">
        <f t="shared" si="63"/>
        <v>0</v>
      </c>
      <c r="AI106" s="317">
        <f t="shared" si="64"/>
        <v>0</v>
      </c>
      <c r="AJ106" s="317">
        <f t="shared" si="65"/>
        <v>0</v>
      </c>
      <c r="AK106" s="317">
        <f t="shared" si="66"/>
        <v>0</v>
      </c>
      <c r="AL106" s="317">
        <f t="shared" si="67"/>
        <v>0</v>
      </c>
      <c r="AM106" s="317">
        <f t="shared" si="68"/>
        <v>0</v>
      </c>
      <c r="AN106" s="317">
        <f t="shared" si="69"/>
        <v>0</v>
      </c>
      <c r="AO106" s="317">
        <f t="shared" si="70"/>
        <v>0</v>
      </c>
      <c r="AP106" s="317">
        <f t="shared" si="71"/>
        <v>0</v>
      </c>
      <c r="AQ106" s="317">
        <f t="shared" si="72"/>
        <v>0</v>
      </c>
      <c r="AR106" s="317">
        <f t="shared" si="73"/>
        <v>0</v>
      </c>
      <c r="AS106" s="317">
        <f t="shared" si="74"/>
        <v>0</v>
      </c>
      <c r="AT106" s="317">
        <f t="shared" si="75"/>
        <v>0</v>
      </c>
      <c r="AU106" s="317">
        <f t="shared" si="76"/>
        <v>0</v>
      </c>
      <c r="AV106" s="317">
        <f t="shared" si="77"/>
        <v>0</v>
      </c>
      <c r="AW106" s="317">
        <f t="shared" si="78"/>
        <v>0</v>
      </c>
      <c r="AX106" s="317">
        <f t="shared" si="79"/>
        <v>0</v>
      </c>
      <c r="AY106" s="317">
        <f t="shared" si="80"/>
        <v>0</v>
      </c>
      <c r="AZ106" s="317">
        <f t="shared" si="81"/>
        <v>0</v>
      </c>
      <c r="BA106" s="317">
        <f t="shared" si="82"/>
        <v>0</v>
      </c>
    </row>
    <row r="107" spans="1:53" s="314" customFormat="1" ht="16.5" customHeight="1">
      <c r="A107" s="63" t="str">
        <f t="array" ref="A107">IF(C107&lt;&gt;0,SUM(($C$11:C107&lt;&gt;0)*1),"")</f>
        <v/>
      </c>
      <c r="B107" s="315"/>
      <c r="C107" s="315"/>
      <c r="D107" s="315"/>
      <c r="E107" s="432"/>
      <c r="F107" s="371"/>
      <c r="G107" s="373"/>
      <c r="H107" s="373"/>
      <c r="I107" s="63" t="str">
        <f t="shared" si="89"/>
        <v/>
      </c>
      <c r="J107" s="317">
        <f t="shared" si="45"/>
        <v>0</v>
      </c>
      <c r="K107" s="317">
        <f t="shared" si="46"/>
        <v>0</v>
      </c>
      <c r="L107" s="317">
        <f t="shared" si="47"/>
        <v>0</v>
      </c>
      <c r="M107" s="317">
        <f t="shared" si="48"/>
        <v>0</v>
      </c>
      <c r="N107" s="317">
        <f t="shared" si="83"/>
        <v>0</v>
      </c>
      <c r="O107" s="317">
        <f t="shared" si="84"/>
        <v>0</v>
      </c>
      <c r="P107" s="317">
        <f t="shared" si="49"/>
        <v>0</v>
      </c>
      <c r="Q107" s="317">
        <f t="shared" si="50"/>
        <v>0</v>
      </c>
      <c r="R107" s="317">
        <f t="shared" si="51"/>
        <v>0</v>
      </c>
      <c r="S107" s="317">
        <f t="shared" si="52"/>
        <v>0</v>
      </c>
      <c r="T107" s="317">
        <f t="shared" si="85"/>
        <v>0</v>
      </c>
      <c r="U107" s="317">
        <f t="shared" si="86"/>
        <v>0</v>
      </c>
      <c r="V107" s="317">
        <f t="shared" si="53"/>
        <v>0</v>
      </c>
      <c r="W107" s="317">
        <f t="shared" si="54"/>
        <v>0</v>
      </c>
      <c r="X107" s="317">
        <f t="shared" si="55"/>
        <v>0</v>
      </c>
      <c r="Y107" s="317">
        <f t="shared" si="56"/>
        <v>0</v>
      </c>
      <c r="Z107" s="317">
        <f t="shared" si="57"/>
        <v>0</v>
      </c>
      <c r="AA107" s="317">
        <f t="shared" si="58"/>
        <v>0</v>
      </c>
      <c r="AB107" s="317">
        <f t="shared" si="59"/>
        <v>0</v>
      </c>
      <c r="AC107" s="317">
        <f t="shared" si="60"/>
        <v>0</v>
      </c>
      <c r="AD107" s="317">
        <f t="shared" si="61"/>
        <v>0</v>
      </c>
      <c r="AE107" s="317">
        <f t="shared" si="62"/>
        <v>0</v>
      </c>
      <c r="AF107" s="317">
        <f t="shared" si="87"/>
        <v>0</v>
      </c>
      <c r="AG107" s="317">
        <f t="shared" si="88"/>
        <v>0</v>
      </c>
      <c r="AH107" s="317">
        <f t="shared" si="63"/>
        <v>0</v>
      </c>
      <c r="AI107" s="317">
        <f t="shared" si="64"/>
        <v>0</v>
      </c>
      <c r="AJ107" s="317">
        <f t="shared" si="65"/>
        <v>0</v>
      </c>
      <c r="AK107" s="317">
        <f t="shared" si="66"/>
        <v>0</v>
      </c>
      <c r="AL107" s="317">
        <f t="shared" si="67"/>
        <v>0</v>
      </c>
      <c r="AM107" s="317">
        <f t="shared" si="68"/>
        <v>0</v>
      </c>
      <c r="AN107" s="317">
        <f t="shared" si="69"/>
        <v>0</v>
      </c>
      <c r="AO107" s="317">
        <f t="shared" si="70"/>
        <v>0</v>
      </c>
      <c r="AP107" s="317">
        <f t="shared" si="71"/>
        <v>0</v>
      </c>
      <c r="AQ107" s="317">
        <f t="shared" si="72"/>
        <v>0</v>
      </c>
      <c r="AR107" s="317">
        <f t="shared" si="73"/>
        <v>0</v>
      </c>
      <c r="AS107" s="317">
        <f t="shared" si="74"/>
        <v>0</v>
      </c>
      <c r="AT107" s="317">
        <f t="shared" si="75"/>
        <v>0</v>
      </c>
      <c r="AU107" s="317">
        <f t="shared" si="76"/>
        <v>0</v>
      </c>
      <c r="AV107" s="317">
        <f t="shared" si="77"/>
        <v>0</v>
      </c>
      <c r="AW107" s="317">
        <f t="shared" si="78"/>
        <v>0</v>
      </c>
      <c r="AX107" s="317">
        <f t="shared" si="79"/>
        <v>0</v>
      </c>
      <c r="AY107" s="317">
        <f t="shared" si="80"/>
        <v>0</v>
      </c>
      <c r="AZ107" s="317">
        <f t="shared" si="81"/>
        <v>0</v>
      </c>
      <c r="BA107" s="317">
        <f t="shared" si="82"/>
        <v>0</v>
      </c>
    </row>
    <row r="108" spans="1:53" s="314" customFormat="1" ht="16.5" customHeight="1">
      <c r="A108" s="63" t="str">
        <f t="array" ref="A108">IF(C108&lt;&gt;0,SUM(($C$11:C108&lt;&gt;0)*1),"")</f>
        <v/>
      </c>
      <c r="B108" s="315"/>
      <c r="C108" s="315"/>
      <c r="D108" s="315"/>
      <c r="E108" s="432"/>
      <c r="F108" s="371"/>
      <c r="G108" s="373"/>
      <c r="H108" s="373"/>
      <c r="I108" s="63" t="str">
        <f t="shared" si="89"/>
        <v/>
      </c>
      <c r="J108" s="317">
        <f t="shared" si="45"/>
        <v>0</v>
      </c>
      <c r="K108" s="317">
        <f t="shared" si="46"/>
        <v>0</v>
      </c>
      <c r="L108" s="317">
        <f t="shared" si="47"/>
        <v>0</v>
      </c>
      <c r="M108" s="317">
        <f t="shared" si="48"/>
        <v>0</v>
      </c>
      <c r="N108" s="317">
        <f t="shared" si="83"/>
        <v>0</v>
      </c>
      <c r="O108" s="317">
        <f t="shared" si="84"/>
        <v>0</v>
      </c>
      <c r="P108" s="317">
        <f t="shared" si="49"/>
        <v>0</v>
      </c>
      <c r="Q108" s="317">
        <f t="shared" si="50"/>
        <v>0</v>
      </c>
      <c r="R108" s="317">
        <f t="shared" si="51"/>
        <v>0</v>
      </c>
      <c r="S108" s="317">
        <f t="shared" si="52"/>
        <v>0</v>
      </c>
      <c r="T108" s="317">
        <f t="shared" si="85"/>
        <v>0</v>
      </c>
      <c r="U108" s="317">
        <f t="shared" si="86"/>
        <v>0</v>
      </c>
      <c r="V108" s="317">
        <f t="shared" si="53"/>
        <v>0</v>
      </c>
      <c r="W108" s="317">
        <f t="shared" si="54"/>
        <v>0</v>
      </c>
      <c r="X108" s="317">
        <f t="shared" si="55"/>
        <v>0</v>
      </c>
      <c r="Y108" s="317">
        <f t="shared" si="56"/>
        <v>0</v>
      </c>
      <c r="Z108" s="317">
        <f t="shared" si="57"/>
        <v>0</v>
      </c>
      <c r="AA108" s="317">
        <f t="shared" si="58"/>
        <v>0</v>
      </c>
      <c r="AB108" s="317">
        <f t="shared" si="59"/>
        <v>0</v>
      </c>
      <c r="AC108" s="317">
        <f t="shared" si="60"/>
        <v>0</v>
      </c>
      <c r="AD108" s="317">
        <f t="shared" si="61"/>
        <v>0</v>
      </c>
      <c r="AE108" s="317">
        <f t="shared" si="62"/>
        <v>0</v>
      </c>
      <c r="AF108" s="317">
        <f t="shared" si="87"/>
        <v>0</v>
      </c>
      <c r="AG108" s="317">
        <f t="shared" si="88"/>
        <v>0</v>
      </c>
      <c r="AH108" s="317">
        <f t="shared" si="63"/>
        <v>0</v>
      </c>
      <c r="AI108" s="317">
        <f t="shared" si="64"/>
        <v>0</v>
      </c>
      <c r="AJ108" s="317">
        <f t="shared" si="65"/>
        <v>0</v>
      </c>
      <c r="AK108" s="317">
        <f t="shared" si="66"/>
        <v>0</v>
      </c>
      <c r="AL108" s="317">
        <f t="shared" si="67"/>
        <v>0</v>
      </c>
      <c r="AM108" s="317">
        <f t="shared" si="68"/>
        <v>0</v>
      </c>
      <c r="AN108" s="317">
        <f t="shared" si="69"/>
        <v>0</v>
      </c>
      <c r="AO108" s="317">
        <f t="shared" si="70"/>
        <v>0</v>
      </c>
      <c r="AP108" s="317">
        <f t="shared" si="71"/>
        <v>0</v>
      </c>
      <c r="AQ108" s="317">
        <f t="shared" si="72"/>
        <v>0</v>
      </c>
      <c r="AR108" s="317">
        <f t="shared" si="73"/>
        <v>0</v>
      </c>
      <c r="AS108" s="317">
        <f t="shared" si="74"/>
        <v>0</v>
      </c>
      <c r="AT108" s="317">
        <f t="shared" si="75"/>
        <v>0</v>
      </c>
      <c r="AU108" s="317">
        <f t="shared" si="76"/>
        <v>0</v>
      </c>
      <c r="AV108" s="317">
        <f t="shared" si="77"/>
        <v>0</v>
      </c>
      <c r="AW108" s="317">
        <f t="shared" si="78"/>
        <v>0</v>
      </c>
      <c r="AX108" s="317">
        <f t="shared" si="79"/>
        <v>0</v>
      </c>
      <c r="AY108" s="317">
        <f t="shared" si="80"/>
        <v>0</v>
      </c>
      <c r="AZ108" s="317">
        <f t="shared" si="81"/>
        <v>0</v>
      </c>
      <c r="BA108" s="317">
        <f t="shared" si="82"/>
        <v>0</v>
      </c>
    </row>
    <row r="109" spans="1:53" s="314" customFormat="1" ht="16.5" customHeight="1">
      <c r="A109" s="63" t="str">
        <f t="array" ref="A109">IF(C109&lt;&gt;0,SUM(($C$11:C109&lt;&gt;0)*1),"")</f>
        <v/>
      </c>
      <c r="B109" s="315"/>
      <c r="C109" s="315"/>
      <c r="D109" s="315"/>
      <c r="E109" s="432"/>
      <c r="F109" s="371"/>
      <c r="G109" s="373"/>
      <c r="H109" s="373"/>
      <c r="I109" s="63" t="str">
        <f t="shared" si="89"/>
        <v/>
      </c>
      <c r="J109" s="317">
        <f t="shared" si="45"/>
        <v>0</v>
      </c>
      <c r="K109" s="317">
        <f t="shared" si="46"/>
        <v>0</v>
      </c>
      <c r="L109" s="317">
        <f t="shared" si="47"/>
        <v>0</v>
      </c>
      <c r="M109" s="317">
        <f t="shared" si="48"/>
        <v>0</v>
      </c>
      <c r="N109" s="317">
        <f t="shared" si="83"/>
        <v>0</v>
      </c>
      <c r="O109" s="317">
        <f t="shared" si="84"/>
        <v>0</v>
      </c>
      <c r="P109" s="317">
        <f t="shared" si="49"/>
        <v>0</v>
      </c>
      <c r="Q109" s="317">
        <f t="shared" si="50"/>
        <v>0</v>
      </c>
      <c r="R109" s="317">
        <f t="shared" si="51"/>
        <v>0</v>
      </c>
      <c r="S109" s="317">
        <f t="shared" si="52"/>
        <v>0</v>
      </c>
      <c r="T109" s="317">
        <f t="shared" si="85"/>
        <v>0</v>
      </c>
      <c r="U109" s="317">
        <f t="shared" si="86"/>
        <v>0</v>
      </c>
      <c r="V109" s="317">
        <f t="shared" si="53"/>
        <v>0</v>
      </c>
      <c r="W109" s="317">
        <f t="shared" si="54"/>
        <v>0</v>
      </c>
      <c r="X109" s="317">
        <f t="shared" si="55"/>
        <v>0</v>
      </c>
      <c r="Y109" s="317">
        <f t="shared" si="56"/>
        <v>0</v>
      </c>
      <c r="Z109" s="317">
        <f t="shared" si="57"/>
        <v>0</v>
      </c>
      <c r="AA109" s="317">
        <f t="shared" si="58"/>
        <v>0</v>
      </c>
      <c r="AB109" s="317">
        <f t="shared" si="59"/>
        <v>0</v>
      </c>
      <c r="AC109" s="317">
        <f t="shared" si="60"/>
        <v>0</v>
      </c>
      <c r="AD109" s="317">
        <f t="shared" si="61"/>
        <v>0</v>
      </c>
      <c r="AE109" s="317">
        <f t="shared" si="62"/>
        <v>0</v>
      </c>
      <c r="AF109" s="317">
        <f t="shared" si="87"/>
        <v>0</v>
      </c>
      <c r="AG109" s="317">
        <f t="shared" si="88"/>
        <v>0</v>
      </c>
      <c r="AH109" s="317">
        <f t="shared" si="63"/>
        <v>0</v>
      </c>
      <c r="AI109" s="317">
        <f t="shared" si="64"/>
        <v>0</v>
      </c>
      <c r="AJ109" s="317">
        <f t="shared" si="65"/>
        <v>0</v>
      </c>
      <c r="AK109" s="317">
        <f t="shared" si="66"/>
        <v>0</v>
      </c>
      <c r="AL109" s="317">
        <f t="shared" si="67"/>
        <v>0</v>
      </c>
      <c r="AM109" s="317">
        <f t="shared" si="68"/>
        <v>0</v>
      </c>
      <c r="AN109" s="317">
        <f t="shared" si="69"/>
        <v>0</v>
      </c>
      <c r="AO109" s="317">
        <f t="shared" si="70"/>
        <v>0</v>
      </c>
      <c r="AP109" s="317">
        <f t="shared" si="71"/>
        <v>0</v>
      </c>
      <c r="AQ109" s="317">
        <f t="shared" si="72"/>
        <v>0</v>
      </c>
      <c r="AR109" s="317">
        <f t="shared" si="73"/>
        <v>0</v>
      </c>
      <c r="AS109" s="317">
        <f t="shared" si="74"/>
        <v>0</v>
      </c>
      <c r="AT109" s="317">
        <f t="shared" si="75"/>
        <v>0</v>
      </c>
      <c r="AU109" s="317">
        <f t="shared" si="76"/>
        <v>0</v>
      </c>
      <c r="AV109" s="317">
        <f t="shared" si="77"/>
        <v>0</v>
      </c>
      <c r="AW109" s="317">
        <f t="shared" si="78"/>
        <v>0</v>
      </c>
      <c r="AX109" s="317">
        <f t="shared" si="79"/>
        <v>0</v>
      </c>
      <c r="AY109" s="317">
        <f t="shared" si="80"/>
        <v>0</v>
      </c>
      <c r="AZ109" s="317">
        <f t="shared" si="81"/>
        <v>0</v>
      </c>
      <c r="BA109" s="317">
        <f t="shared" si="82"/>
        <v>0</v>
      </c>
    </row>
    <row r="110" spans="1:53" s="314" customFormat="1" ht="16.5" customHeight="1">
      <c r="A110" s="63" t="str">
        <f t="array" ref="A110">IF(C110&lt;&gt;0,SUM(($C$11:C110&lt;&gt;0)*1),"")</f>
        <v/>
      </c>
      <c r="B110" s="315"/>
      <c r="C110" s="315"/>
      <c r="D110" s="315"/>
      <c r="E110" s="432"/>
      <c r="F110" s="371"/>
      <c r="G110" s="373"/>
      <c r="H110" s="373"/>
      <c r="I110" s="63" t="str">
        <f t="shared" si="89"/>
        <v/>
      </c>
      <c r="J110" s="317">
        <f t="shared" si="45"/>
        <v>0</v>
      </c>
      <c r="K110" s="317">
        <f t="shared" si="46"/>
        <v>0</v>
      </c>
      <c r="L110" s="317">
        <f t="shared" si="47"/>
        <v>0</v>
      </c>
      <c r="M110" s="317">
        <f t="shared" si="48"/>
        <v>0</v>
      </c>
      <c r="N110" s="317">
        <f t="shared" si="83"/>
        <v>0</v>
      </c>
      <c r="O110" s="317">
        <f t="shared" si="84"/>
        <v>0</v>
      </c>
      <c r="P110" s="317">
        <f t="shared" si="49"/>
        <v>0</v>
      </c>
      <c r="Q110" s="317">
        <f t="shared" si="50"/>
        <v>0</v>
      </c>
      <c r="R110" s="317">
        <f t="shared" si="51"/>
        <v>0</v>
      </c>
      <c r="S110" s="317">
        <f t="shared" si="52"/>
        <v>0</v>
      </c>
      <c r="T110" s="317">
        <f t="shared" si="85"/>
        <v>0</v>
      </c>
      <c r="U110" s="317">
        <f t="shared" si="86"/>
        <v>0</v>
      </c>
      <c r="V110" s="317">
        <f t="shared" si="53"/>
        <v>0</v>
      </c>
      <c r="W110" s="317">
        <f t="shared" si="54"/>
        <v>0</v>
      </c>
      <c r="X110" s="317">
        <f t="shared" si="55"/>
        <v>0</v>
      </c>
      <c r="Y110" s="317">
        <f t="shared" si="56"/>
        <v>0</v>
      </c>
      <c r="Z110" s="317">
        <f t="shared" si="57"/>
        <v>0</v>
      </c>
      <c r="AA110" s="317">
        <f t="shared" si="58"/>
        <v>0</v>
      </c>
      <c r="AB110" s="317">
        <f t="shared" si="59"/>
        <v>0</v>
      </c>
      <c r="AC110" s="317">
        <f t="shared" si="60"/>
        <v>0</v>
      </c>
      <c r="AD110" s="317">
        <f t="shared" si="61"/>
        <v>0</v>
      </c>
      <c r="AE110" s="317">
        <f t="shared" si="62"/>
        <v>0</v>
      </c>
      <c r="AF110" s="317">
        <f t="shared" si="87"/>
        <v>0</v>
      </c>
      <c r="AG110" s="317">
        <f t="shared" si="88"/>
        <v>0</v>
      </c>
      <c r="AH110" s="317">
        <f t="shared" si="63"/>
        <v>0</v>
      </c>
      <c r="AI110" s="317">
        <f t="shared" si="64"/>
        <v>0</v>
      </c>
      <c r="AJ110" s="317">
        <f t="shared" si="65"/>
        <v>0</v>
      </c>
      <c r="AK110" s="317">
        <f t="shared" si="66"/>
        <v>0</v>
      </c>
      <c r="AL110" s="317">
        <f t="shared" si="67"/>
        <v>0</v>
      </c>
      <c r="AM110" s="317">
        <f t="shared" si="68"/>
        <v>0</v>
      </c>
      <c r="AN110" s="317">
        <f t="shared" si="69"/>
        <v>0</v>
      </c>
      <c r="AO110" s="317">
        <f t="shared" si="70"/>
        <v>0</v>
      </c>
      <c r="AP110" s="317">
        <f t="shared" si="71"/>
        <v>0</v>
      </c>
      <c r="AQ110" s="317">
        <f t="shared" si="72"/>
        <v>0</v>
      </c>
      <c r="AR110" s="317">
        <f t="shared" si="73"/>
        <v>0</v>
      </c>
      <c r="AS110" s="317">
        <f t="shared" si="74"/>
        <v>0</v>
      </c>
      <c r="AT110" s="317">
        <f t="shared" si="75"/>
        <v>0</v>
      </c>
      <c r="AU110" s="317">
        <f t="shared" si="76"/>
        <v>0</v>
      </c>
      <c r="AV110" s="317">
        <f t="shared" si="77"/>
        <v>0</v>
      </c>
      <c r="AW110" s="317">
        <f t="shared" si="78"/>
        <v>0</v>
      </c>
      <c r="AX110" s="317">
        <f t="shared" si="79"/>
        <v>0</v>
      </c>
      <c r="AY110" s="317">
        <f t="shared" si="80"/>
        <v>0</v>
      </c>
      <c r="AZ110" s="317">
        <f t="shared" si="81"/>
        <v>0</v>
      </c>
      <c r="BA110" s="317">
        <f t="shared" si="82"/>
        <v>0</v>
      </c>
    </row>
    <row r="111" spans="1:53" s="314" customFormat="1" ht="16.5" customHeight="1">
      <c r="A111" s="63" t="str">
        <f t="array" ref="A111">IF(C111&lt;&gt;0,SUM(($C$11:C111&lt;&gt;0)*1),"")</f>
        <v/>
      </c>
      <c r="B111" s="315"/>
      <c r="C111" s="315"/>
      <c r="D111" s="315"/>
      <c r="E111" s="432"/>
      <c r="F111" s="371"/>
      <c r="G111" s="373"/>
      <c r="H111" s="373"/>
      <c r="I111" s="63" t="str">
        <f t="shared" si="89"/>
        <v/>
      </c>
      <c r="J111" s="317">
        <f t="shared" si="45"/>
        <v>0</v>
      </c>
      <c r="K111" s="317">
        <f t="shared" si="46"/>
        <v>0</v>
      </c>
      <c r="L111" s="317">
        <f t="shared" si="47"/>
        <v>0</v>
      </c>
      <c r="M111" s="317">
        <f t="shared" si="48"/>
        <v>0</v>
      </c>
      <c r="N111" s="317">
        <f t="shared" si="83"/>
        <v>0</v>
      </c>
      <c r="O111" s="317">
        <f t="shared" si="84"/>
        <v>0</v>
      </c>
      <c r="P111" s="317">
        <f t="shared" si="49"/>
        <v>0</v>
      </c>
      <c r="Q111" s="317">
        <f t="shared" si="50"/>
        <v>0</v>
      </c>
      <c r="R111" s="317">
        <f t="shared" si="51"/>
        <v>0</v>
      </c>
      <c r="S111" s="317">
        <f t="shared" si="52"/>
        <v>0</v>
      </c>
      <c r="T111" s="317">
        <f t="shared" si="85"/>
        <v>0</v>
      </c>
      <c r="U111" s="317">
        <f t="shared" si="86"/>
        <v>0</v>
      </c>
      <c r="V111" s="317">
        <f t="shared" si="53"/>
        <v>0</v>
      </c>
      <c r="W111" s="317">
        <f t="shared" si="54"/>
        <v>0</v>
      </c>
      <c r="X111" s="317">
        <f t="shared" si="55"/>
        <v>0</v>
      </c>
      <c r="Y111" s="317">
        <f t="shared" si="56"/>
        <v>0</v>
      </c>
      <c r="Z111" s="317">
        <f t="shared" si="57"/>
        <v>0</v>
      </c>
      <c r="AA111" s="317">
        <f t="shared" si="58"/>
        <v>0</v>
      </c>
      <c r="AB111" s="317">
        <f t="shared" si="59"/>
        <v>0</v>
      </c>
      <c r="AC111" s="317">
        <f t="shared" si="60"/>
        <v>0</v>
      </c>
      <c r="AD111" s="317">
        <f t="shared" si="61"/>
        <v>0</v>
      </c>
      <c r="AE111" s="317">
        <f t="shared" si="62"/>
        <v>0</v>
      </c>
      <c r="AF111" s="317">
        <f t="shared" si="87"/>
        <v>0</v>
      </c>
      <c r="AG111" s="317">
        <f t="shared" si="88"/>
        <v>0</v>
      </c>
      <c r="AH111" s="317">
        <f t="shared" si="63"/>
        <v>0</v>
      </c>
      <c r="AI111" s="317">
        <f t="shared" si="64"/>
        <v>0</v>
      </c>
      <c r="AJ111" s="317">
        <f t="shared" si="65"/>
        <v>0</v>
      </c>
      <c r="AK111" s="317">
        <f t="shared" si="66"/>
        <v>0</v>
      </c>
      <c r="AL111" s="317">
        <f t="shared" si="67"/>
        <v>0</v>
      </c>
      <c r="AM111" s="317">
        <f t="shared" si="68"/>
        <v>0</v>
      </c>
      <c r="AN111" s="317">
        <f t="shared" si="69"/>
        <v>0</v>
      </c>
      <c r="AO111" s="317">
        <f t="shared" si="70"/>
        <v>0</v>
      </c>
      <c r="AP111" s="317">
        <f t="shared" si="71"/>
        <v>0</v>
      </c>
      <c r="AQ111" s="317">
        <f t="shared" si="72"/>
        <v>0</v>
      </c>
      <c r="AR111" s="317">
        <f t="shared" si="73"/>
        <v>0</v>
      </c>
      <c r="AS111" s="317">
        <f t="shared" si="74"/>
        <v>0</v>
      </c>
      <c r="AT111" s="317">
        <f t="shared" si="75"/>
        <v>0</v>
      </c>
      <c r="AU111" s="317">
        <f t="shared" si="76"/>
        <v>0</v>
      </c>
      <c r="AV111" s="317">
        <f t="shared" si="77"/>
        <v>0</v>
      </c>
      <c r="AW111" s="317">
        <f t="shared" si="78"/>
        <v>0</v>
      </c>
      <c r="AX111" s="317">
        <f t="shared" si="79"/>
        <v>0</v>
      </c>
      <c r="AY111" s="317">
        <f t="shared" si="80"/>
        <v>0</v>
      </c>
      <c r="AZ111" s="317">
        <f t="shared" si="81"/>
        <v>0</v>
      </c>
      <c r="BA111" s="317">
        <f t="shared" si="82"/>
        <v>0</v>
      </c>
    </row>
    <row r="112" spans="1:53" s="314" customFormat="1" ht="16.5" customHeight="1">
      <c r="A112" s="63" t="str">
        <f t="array" ref="A112">IF(C112&lt;&gt;0,SUM(($C$11:C112&lt;&gt;0)*1),"")</f>
        <v/>
      </c>
      <c r="B112" s="315"/>
      <c r="C112" s="315"/>
      <c r="D112" s="315"/>
      <c r="E112" s="432"/>
      <c r="F112" s="371"/>
      <c r="G112" s="373"/>
      <c r="H112" s="373"/>
      <c r="I112" s="63" t="str">
        <f t="shared" si="89"/>
        <v/>
      </c>
      <c r="J112" s="317">
        <f t="shared" si="45"/>
        <v>0</v>
      </c>
      <c r="K112" s="317">
        <f t="shared" si="46"/>
        <v>0</v>
      </c>
      <c r="L112" s="317">
        <f t="shared" si="47"/>
        <v>0</v>
      </c>
      <c r="M112" s="317">
        <f t="shared" si="48"/>
        <v>0</v>
      </c>
      <c r="N112" s="317">
        <f t="shared" si="83"/>
        <v>0</v>
      </c>
      <c r="O112" s="317">
        <f t="shared" si="84"/>
        <v>0</v>
      </c>
      <c r="P112" s="317">
        <f t="shared" si="49"/>
        <v>0</v>
      </c>
      <c r="Q112" s="317">
        <f t="shared" si="50"/>
        <v>0</v>
      </c>
      <c r="R112" s="317">
        <f t="shared" si="51"/>
        <v>0</v>
      </c>
      <c r="S112" s="317">
        <f t="shared" si="52"/>
        <v>0</v>
      </c>
      <c r="T112" s="317">
        <f t="shared" si="85"/>
        <v>0</v>
      </c>
      <c r="U112" s="317">
        <f t="shared" si="86"/>
        <v>0</v>
      </c>
      <c r="V112" s="317">
        <f t="shared" si="53"/>
        <v>0</v>
      </c>
      <c r="W112" s="317">
        <f t="shared" si="54"/>
        <v>0</v>
      </c>
      <c r="X112" s="317">
        <f t="shared" si="55"/>
        <v>0</v>
      </c>
      <c r="Y112" s="317">
        <f t="shared" si="56"/>
        <v>0</v>
      </c>
      <c r="Z112" s="317">
        <f t="shared" si="57"/>
        <v>0</v>
      </c>
      <c r="AA112" s="317">
        <f t="shared" si="58"/>
        <v>0</v>
      </c>
      <c r="AB112" s="317">
        <f t="shared" si="59"/>
        <v>0</v>
      </c>
      <c r="AC112" s="317">
        <f t="shared" si="60"/>
        <v>0</v>
      </c>
      <c r="AD112" s="317">
        <f t="shared" si="61"/>
        <v>0</v>
      </c>
      <c r="AE112" s="317">
        <f t="shared" si="62"/>
        <v>0</v>
      </c>
      <c r="AF112" s="317">
        <f t="shared" si="87"/>
        <v>0</v>
      </c>
      <c r="AG112" s="317">
        <f t="shared" si="88"/>
        <v>0</v>
      </c>
      <c r="AH112" s="317">
        <f t="shared" si="63"/>
        <v>0</v>
      </c>
      <c r="AI112" s="317">
        <f t="shared" si="64"/>
        <v>0</v>
      </c>
      <c r="AJ112" s="317">
        <f t="shared" si="65"/>
        <v>0</v>
      </c>
      <c r="AK112" s="317">
        <f t="shared" si="66"/>
        <v>0</v>
      </c>
      <c r="AL112" s="317">
        <f t="shared" si="67"/>
        <v>0</v>
      </c>
      <c r="AM112" s="317">
        <f t="shared" si="68"/>
        <v>0</v>
      </c>
      <c r="AN112" s="317">
        <f t="shared" si="69"/>
        <v>0</v>
      </c>
      <c r="AO112" s="317">
        <f t="shared" si="70"/>
        <v>0</v>
      </c>
      <c r="AP112" s="317">
        <f t="shared" si="71"/>
        <v>0</v>
      </c>
      <c r="AQ112" s="317">
        <f t="shared" si="72"/>
        <v>0</v>
      </c>
      <c r="AR112" s="317">
        <f t="shared" si="73"/>
        <v>0</v>
      </c>
      <c r="AS112" s="317">
        <f t="shared" si="74"/>
        <v>0</v>
      </c>
      <c r="AT112" s="317">
        <f t="shared" si="75"/>
        <v>0</v>
      </c>
      <c r="AU112" s="317">
        <f t="shared" si="76"/>
        <v>0</v>
      </c>
      <c r="AV112" s="317">
        <f t="shared" si="77"/>
        <v>0</v>
      </c>
      <c r="AW112" s="317">
        <f t="shared" si="78"/>
        <v>0</v>
      </c>
      <c r="AX112" s="317">
        <f t="shared" si="79"/>
        <v>0</v>
      </c>
      <c r="AY112" s="317">
        <f t="shared" si="80"/>
        <v>0</v>
      </c>
      <c r="AZ112" s="317">
        <f t="shared" si="81"/>
        <v>0</v>
      </c>
      <c r="BA112" s="317">
        <f t="shared" si="82"/>
        <v>0</v>
      </c>
    </row>
    <row r="113" spans="1:53" s="314" customFormat="1" ht="16.5" customHeight="1">
      <c r="A113" s="63" t="str">
        <f t="array" ref="A113">IF(C113&lt;&gt;0,SUM(($C$11:C113&lt;&gt;0)*1),"")</f>
        <v/>
      </c>
      <c r="B113" s="315"/>
      <c r="C113" s="315"/>
      <c r="D113" s="315"/>
      <c r="E113" s="432"/>
      <c r="F113" s="371"/>
      <c r="G113" s="373"/>
      <c r="H113" s="373"/>
      <c r="I113" s="63" t="str">
        <f t="shared" si="89"/>
        <v/>
      </c>
      <c r="J113" s="317">
        <f t="shared" si="45"/>
        <v>0</v>
      </c>
      <c r="K113" s="317">
        <f t="shared" si="46"/>
        <v>0</v>
      </c>
      <c r="L113" s="317">
        <f t="shared" si="47"/>
        <v>0</v>
      </c>
      <c r="M113" s="317">
        <f t="shared" si="48"/>
        <v>0</v>
      </c>
      <c r="N113" s="317">
        <f t="shared" si="83"/>
        <v>0</v>
      </c>
      <c r="O113" s="317">
        <f t="shared" si="84"/>
        <v>0</v>
      </c>
      <c r="P113" s="317">
        <f t="shared" si="49"/>
        <v>0</v>
      </c>
      <c r="Q113" s="317">
        <f t="shared" si="50"/>
        <v>0</v>
      </c>
      <c r="R113" s="317">
        <f t="shared" si="51"/>
        <v>0</v>
      </c>
      <c r="S113" s="317">
        <f t="shared" si="52"/>
        <v>0</v>
      </c>
      <c r="T113" s="317">
        <f t="shared" si="85"/>
        <v>0</v>
      </c>
      <c r="U113" s="317">
        <f t="shared" si="86"/>
        <v>0</v>
      </c>
      <c r="V113" s="317">
        <f t="shared" si="53"/>
        <v>0</v>
      </c>
      <c r="W113" s="317">
        <f t="shared" si="54"/>
        <v>0</v>
      </c>
      <c r="X113" s="317">
        <f t="shared" si="55"/>
        <v>0</v>
      </c>
      <c r="Y113" s="317">
        <f t="shared" si="56"/>
        <v>0</v>
      </c>
      <c r="Z113" s="317">
        <f t="shared" si="57"/>
        <v>0</v>
      </c>
      <c r="AA113" s="317">
        <f t="shared" si="58"/>
        <v>0</v>
      </c>
      <c r="AB113" s="317">
        <f t="shared" si="59"/>
        <v>0</v>
      </c>
      <c r="AC113" s="317">
        <f t="shared" si="60"/>
        <v>0</v>
      </c>
      <c r="AD113" s="317">
        <f t="shared" si="61"/>
        <v>0</v>
      </c>
      <c r="AE113" s="317">
        <f t="shared" si="62"/>
        <v>0</v>
      </c>
      <c r="AF113" s="317">
        <f t="shared" si="87"/>
        <v>0</v>
      </c>
      <c r="AG113" s="317">
        <f t="shared" si="88"/>
        <v>0</v>
      </c>
      <c r="AH113" s="317">
        <f t="shared" si="63"/>
        <v>0</v>
      </c>
      <c r="AI113" s="317">
        <f t="shared" si="64"/>
        <v>0</v>
      </c>
      <c r="AJ113" s="317">
        <f t="shared" si="65"/>
        <v>0</v>
      </c>
      <c r="AK113" s="317">
        <f t="shared" si="66"/>
        <v>0</v>
      </c>
      <c r="AL113" s="317">
        <f t="shared" si="67"/>
        <v>0</v>
      </c>
      <c r="AM113" s="317">
        <f t="shared" si="68"/>
        <v>0</v>
      </c>
      <c r="AN113" s="317">
        <f t="shared" si="69"/>
        <v>0</v>
      </c>
      <c r="AO113" s="317">
        <f t="shared" si="70"/>
        <v>0</v>
      </c>
      <c r="AP113" s="317">
        <f t="shared" si="71"/>
        <v>0</v>
      </c>
      <c r="AQ113" s="317">
        <f t="shared" si="72"/>
        <v>0</v>
      </c>
      <c r="AR113" s="317">
        <f t="shared" si="73"/>
        <v>0</v>
      </c>
      <c r="AS113" s="317">
        <f t="shared" si="74"/>
        <v>0</v>
      </c>
      <c r="AT113" s="317">
        <f t="shared" si="75"/>
        <v>0</v>
      </c>
      <c r="AU113" s="317">
        <f t="shared" si="76"/>
        <v>0</v>
      </c>
      <c r="AV113" s="317">
        <f t="shared" si="77"/>
        <v>0</v>
      </c>
      <c r="AW113" s="317">
        <f t="shared" si="78"/>
        <v>0</v>
      </c>
      <c r="AX113" s="317">
        <f t="shared" si="79"/>
        <v>0</v>
      </c>
      <c r="AY113" s="317">
        <f t="shared" si="80"/>
        <v>0</v>
      </c>
      <c r="AZ113" s="317">
        <f t="shared" si="81"/>
        <v>0</v>
      </c>
      <c r="BA113" s="317">
        <f t="shared" si="82"/>
        <v>0</v>
      </c>
    </row>
    <row r="114" spans="1:53" s="314" customFormat="1" ht="16.5" customHeight="1">
      <c r="A114" s="63" t="str">
        <f t="array" ref="A114">IF(C114&lt;&gt;0,SUM(($C$11:C114&lt;&gt;0)*1),"")</f>
        <v/>
      </c>
      <c r="B114" s="315"/>
      <c r="C114" s="315"/>
      <c r="D114" s="315"/>
      <c r="E114" s="432"/>
      <c r="F114" s="371"/>
      <c r="G114" s="373"/>
      <c r="H114" s="373"/>
      <c r="I114" s="63" t="str">
        <f>A114</f>
        <v/>
      </c>
      <c r="J114" s="317">
        <f>IF($G114="1111",$F114,0)</f>
        <v>0</v>
      </c>
      <c r="K114" s="317">
        <f>IF($H114="1111",$F114,0)</f>
        <v>0</v>
      </c>
      <c r="L114" s="317">
        <f>IF($G114="1121",$F114,0)</f>
        <v>0</v>
      </c>
      <c r="M114" s="317">
        <f>IF($H114="1121",$F114,0)</f>
        <v>0</v>
      </c>
      <c r="N114" s="317">
        <f t="shared" si="83"/>
        <v>0</v>
      </c>
      <c r="O114" s="317">
        <f t="shared" si="84"/>
        <v>0</v>
      </c>
      <c r="P114" s="317">
        <f>IF($G114="1331",$F114,0)</f>
        <v>0</v>
      </c>
      <c r="Q114" s="317">
        <f>IF($H114="1331",$F114,0)</f>
        <v>0</v>
      </c>
      <c r="R114" s="317">
        <f>IF($G114="1388",$F114,0)</f>
        <v>0</v>
      </c>
      <c r="S114" s="317">
        <f>IF($H114="1388",$F114,0)</f>
        <v>0</v>
      </c>
      <c r="T114" s="317">
        <f t="shared" si="85"/>
        <v>0</v>
      </c>
      <c r="U114" s="317">
        <f t="shared" si="86"/>
        <v>0</v>
      </c>
      <c r="V114" s="317">
        <f>IF($G114="331",$F114,0)</f>
        <v>0</v>
      </c>
      <c r="W114" s="317">
        <f>IF($H114="331",$F114,0)</f>
        <v>0</v>
      </c>
      <c r="X114" s="317">
        <f>IF($G114="3334",$F114,0)</f>
        <v>0</v>
      </c>
      <c r="Y114" s="317">
        <f>IF($H114="3334",$F114,0)</f>
        <v>0</v>
      </c>
      <c r="Z114" s="317">
        <f>IF($G114="33382",$F114,0)</f>
        <v>0</v>
      </c>
      <c r="AA114" s="317">
        <f>IF($H114="33382",$F114,0)</f>
        <v>0</v>
      </c>
      <c r="AB114" s="317">
        <f>IF($G114="3388",$F114,0)</f>
        <v>0</v>
      </c>
      <c r="AC114" s="317">
        <f>IF($H114="3388",$F114,0)</f>
        <v>0</v>
      </c>
      <c r="AD114" s="317">
        <f>IF($G114="3411",$F114,0)</f>
        <v>0</v>
      </c>
      <c r="AE114" s="317">
        <f>IF($H114="3411",$F114,0)</f>
        <v>0</v>
      </c>
      <c r="AF114" s="317">
        <f t="shared" si="87"/>
        <v>0</v>
      </c>
      <c r="AG114" s="317">
        <f t="shared" si="88"/>
        <v>0</v>
      </c>
      <c r="AH114" s="317">
        <f>IF($G114="4111",$F114,0)</f>
        <v>0</v>
      </c>
      <c r="AI114" s="317">
        <f>IF($H114="4111",$F114,0)</f>
        <v>0</v>
      </c>
      <c r="AJ114" s="317">
        <f>IF($G114="4211",$F114,0)</f>
        <v>0</v>
      </c>
      <c r="AK114" s="317">
        <f>IF($H114="4211",$F114,0)</f>
        <v>0</v>
      </c>
      <c r="AL114" s="317">
        <f>IF($G114="4212",$F114,0)</f>
        <v>0</v>
      </c>
      <c r="AM114" s="317">
        <f>IF($H114="4212",$F114,0)</f>
        <v>0</v>
      </c>
      <c r="AN114" s="317">
        <f>IF($G114="515",$F114,0)</f>
        <v>0</v>
      </c>
      <c r="AO114" s="317">
        <f>IF($H114="515",$F114,0)</f>
        <v>0</v>
      </c>
      <c r="AP114" s="317">
        <f>IF($G114="635",$F114,0)</f>
        <v>0</v>
      </c>
      <c r="AQ114" s="317">
        <f>IF($H114="635",$F114,0)</f>
        <v>0</v>
      </c>
      <c r="AR114" s="317">
        <f>IF($G114="642",$F114,0)</f>
        <v>0</v>
      </c>
      <c r="AS114" s="317">
        <f>IF($H114="642",$F114,0)</f>
        <v>0</v>
      </c>
      <c r="AT114" s="317">
        <f>IF($G114="711",$F114,0)</f>
        <v>0</v>
      </c>
      <c r="AU114" s="317">
        <f>IF($H114="711",$F114,0)</f>
        <v>0</v>
      </c>
      <c r="AV114" s="317">
        <f>IF($G114="811",$F114,0)</f>
        <v>0</v>
      </c>
      <c r="AW114" s="317">
        <f>IF($H114="811",$F114,0)</f>
        <v>0</v>
      </c>
      <c r="AX114" s="317">
        <f>IF($G114="821",$F114,0)</f>
        <v>0</v>
      </c>
      <c r="AY114" s="317">
        <f>IF($H114="821",$F114,0)</f>
        <v>0</v>
      </c>
      <c r="AZ114" s="317">
        <f>IF($G114="911",$F114,0)</f>
        <v>0</v>
      </c>
      <c r="BA114" s="317">
        <f>IF($H114="911",$F114,0)</f>
        <v>0</v>
      </c>
    </row>
    <row r="115" spans="1:53" s="314" customFormat="1" ht="16.5" customHeight="1">
      <c r="A115" s="63" t="str">
        <f t="array" ref="A115">IF(C115&lt;&gt;0,SUM(($C$11:C115&lt;&gt;0)*1),"")</f>
        <v/>
      </c>
      <c r="B115" s="315"/>
      <c r="C115" s="315"/>
      <c r="D115" s="315"/>
      <c r="E115" s="432"/>
      <c r="F115" s="371"/>
      <c r="G115" s="373"/>
      <c r="H115" s="373"/>
      <c r="I115" s="63" t="str">
        <f>A115</f>
        <v/>
      </c>
      <c r="J115" s="317">
        <f>IF($G115="1111",$F115,0)</f>
        <v>0</v>
      </c>
      <c r="K115" s="317">
        <f>IF($H115="1111",$F115,0)</f>
        <v>0</v>
      </c>
      <c r="L115" s="317">
        <f>IF($G115="1121",$F115,0)</f>
        <v>0</v>
      </c>
      <c r="M115" s="317">
        <f>IF($H115="1121",$F115,0)</f>
        <v>0</v>
      </c>
      <c r="N115" s="317">
        <f t="shared" si="83"/>
        <v>0</v>
      </c>
      <c r="O115" s="317">
        <f t="shared" si="84"/>
        <v>0</v>
      </c>
      <c r="P115" s="317">
        <f>IF($G115="1331",$F115,0)</f>
        <v>0</v>
      </c>
      <c r="Q115" s="317">
        <f>IF($H115="1331",$F115,0)</f>
        <v>0</v>
      </c>
      <c r="R115" s="317">
        <f>IF($G115="1388",$F115,0)</f>
        <v>0</v>
      </c>
      <c r="S115" s="317">
        <f>IF($H115="1388",$F115,0)</f>
        <v>0</v>
      </c>
      <c r="T115" s="317">
        <f t="shared" si="85"/>
        <v>0</v>
      </c>
      <c r="U115" s="317">
        <f t="shared" si="86"/>
        <v>0</v>
      </c>
      <c r="V115" s="317">
        <f>IF($G115="331",$F115,0)</f>
        <v>0</v>
      </c>
      <c r="W115" s="317">
        <f>IF($H115="331",$F115,0)</f>
        <v>0</v>
      </c>
      <c r="X115" s="317">
        <f>IF($G115="3334",$F115,0)</f>
        <v>0</v>
      </c>
      <c r="Y115" s="317">
        <f>IF($H115="3334",$F115,0)</f>
        <v>0</v>
      </c>
      <c r="Z115" s="317">
        <f>IF($G115="33382",$F115,0)</f>
        <v>0</v>
      </c>
      <c r="AA115" s="317">
        <f>IF($H115="33382",$F115,0)</f>
        <v>0</v>
      </c>
      <c r="AB115" s="317">
        <f>IF($G115="3388",$F115,0)</f>
        <v>0</v>
      </c>
      <c r="AC115" s="317">
        <f>IF($H115="3388",$F115,0)</f>
        <v>0</v>
      </c>
      <c r="AD115" s="317">
        <f>IF($G115="3411",$F115,0)</f>
        <v>0</v>
      </c>
      <c r="AE115" s="317">
        <f>IF($H115="3411",$F115,0)</f>
        <v>0</v>
      </c>
      <c r="AF115" s="317">
        <f t="shared" si="87"/>
        <v>0</v>
      </c>
      <c r="AG115" s="317">
        <f t="shared" si="88"/>
        <v>0</v>
      </c>
      <c r="AH115" s="317">
        <f>IF($G115="4111",$F115,0)</f>
        <v>0</v>
      </c>
      <c r="AI115" s="317">
        <f>IF($H115="4111",$F115,0)</f>
        <v>0</v>
      </c>
      <c r="AJ115" s="317">
        <f>IF($G115="4211",$F115,0)</f>
        <v>0</v>
      </c>
      <c r="AK115" s="317">
        <f>IF($H115="4211",$F115,0)</f>
        <v>0</v>
      </c>
      <c r="AL115" s="317">
        <f>IF($G115="4212",$F115,0)</f>
        <v>0</v>
      </c>
      <c r="AM115" s="317">
        <f>IF($H115="4212",$F115,0)</f>
        <v>0</v>
      </c>
      <c r="AN115" s="317">
        <f>IF($G115="515",$F115,0)</f>
        <v>0</v>
      </c>
      <c r="AO115" s="317">
        <f>IF($H115="515",$F115,0)</f>
        <v>0</v>
      </c>
      <c r="AP115" s="317">
        <f>IF($G115="635",$F115,0)</f>
        <v>0</v>
      </c>
      <c r="AQ115" s="317">
        <f>IF($H115="635",$F115,0)</f>
        <v>0</v>
      </c>
      <c r="AR115" s="317">
        <f>IF($G115="642",$F115,0)</f>
        <v>0</v>
      </c>
      <c r="AS115" s="317">
        <f>IF($H115="642",$F115,0)</f>
        <v>0</v>
      </c>
      <c r="AT115" s="317">
        <f>IF($G115="711",$F115,0)</f>
        <v>0</v>
      </c>
      <c r="AU115" s="317">
        <f>IF($H115="711",$F115,0)</f>
        <v>0</v>
      </c>
      <c r="AV115" s="317">
        <f>IF($G115="811",$F115,0)</f>
        <v>0</v>
      </c>
      <c r="AW115" s="317">
        <f>IF($H115="811",$F115,0)</f>
        <v>0</v>
      </c>
      <c r="AX115" s="317">
        <f>IF($G115="821",$F115,0)</f>
        <v>0</v>
      </c>
      <c r="AY115" s="317">
        <f>IF($H115="821",$F115,0)</f>
        <v>0</v>
      </c>
      <c r="AZ115" s="317">
        <f>IF($G115="911",$F115,0)</f>
        <v>0</v>
      </c>
      <c r="BA115" s="317">
        <f>IF($H115="911",$F115,0)</f>
        <v>0</v>
      </c>
    </row>
    <row r="116" spans="1:53" s="314" customFormat="1" ht="16.5" customHeight="1">
      <c r="A116" s="63" t="str">
        <f t="array" ref="A116">IF(C116&lt;&gt;0,SUM(($C$11:C116&lt;&gt;0)*1),"")</f>
        <v/>
      </c>
      <c r="B116" s="315"/>
      <c r="C116" s="315"/>
      <c r="D116" s="315"/>
      <c r="E116" s="432"/>
      <c r="F116" s="371"/>
      <c r="G116" s="373"/>
      <c r="H116" s="373"/>
      <c r="I116" s="63" t="str">
        <f>A116</f>
        <v/>
      </c>
      <c r="J116" s="317">
        <f>IF($G116="1111",$F116,0)</f>
        <v>0</v>
      </c>
      <c r="K116" s="317">
        <f>IF($H116="1111",$F116,0)</f>
        <v>0</v>
      </c>
      <c r="L116" s="317">
        <f>IF($G116="1121",$F116,0)</f>
        <v>0</v>
      </c>
      <c r="M116" s="317">
        <f>IF($H116="1121",$F116,0)</f>
        <v>0</v>
      </c>
      <c r="N116" s="317">
        <f t="shared" si="83"/>
        <v>0</v>
      </c>
      <c r="O116" s="317">
        <f t="shared" si="84"/>
        <v>0</v>
      </c>
      <c r="P116" s="317">
        <f>IF($G116="1331",$F116,0)</f>
        <v>0</v>
      </c>
      <c r="Q116" s="317">
        <f>IF($H116="1331",$F116,0)</f>
        <v>0</v>
      </c>
      <c r="R116" s="317">
        <f>IF($G116="1388",$F116,0)</f>
        <v>0</v>
      </c>
      <c r="S116" s="317">
        <f>IF($H116="1388",$F116,0)</f>
        <v>0</v>
      </c>
      <c r="T116" s="317">
        <f t="shared" si="85"/>
        <v>0</v>
      </c>
      <c r="U116" s="317">
        <f t="shared" si="86"/>
        <v>0</v>
      </c>
      <c r="V116" s="317">
        <f>IF($G116="331",$F116,0)</f>
        <v>0</v>
      </c>
      <c r="W116" s="317">
        <f>IF($H116="331",$F116,0)</f>
        <v>0</v>
      </c>
      <c r="X116" s="317">
        <f>IF($G116="3334",$F116,0)</f>
        <v>0</v>
      </c>
      <c r="Y116" s="317">
        <f>IF($H116="3334",$F116,0)</f>
        <v>0</v>
      </c>
      <c r="Z116" s="317">
        <f>IF($G116="33382",$F116,0)</f>
        <v>0</v>
      </c>
      <c r="AA116" s="317">
        <f>IF($H116="33382",$F116,0)</f>
        <v>0</v>
      </c>
      <c r="AB116" s="317">
        <f>IF($G116="3388",$F116,0)</f>
        <v>0</v>
      </c>
      <c r="AC116" s="317">
        <f>IF($H116="3388",$F116,0)</f>
        <v>0</v>
      </c>
      <c r="AD116" s="317">
        <f>IF($G116="3411",$F116,0)</f>
        <v>0</v>
      </c>
      <c r="AE116" s="317">
        <f>IF($H116="3411",$F116,0)</f>
        <v>0</v>
      </c>
      <c r="AF116" s="317">
        <f t="shared" si="87"/>
        <v>0</v>
      </c>
      <c r="AG116" s="317">
        <f t="shared" si="88"/>
        <v>0</v>
      </c>
      <c r="AH116" s="317">
        <f>IF($G116="4111",$F116,0)</f>
        <v>0</v>
      </c>
      <c r="AI116" s="317">
        <f>IF($H116="4111",$F116,0)</f>
        <v>0</v>
      </c>
      <c r="AJ116" s="317">
        <f>IF($G116="4211",$F116,0)</f>
        <v>0</v>
      </c>
      <c r="AK116" s="317">
        <f>IF($H116="4211",$F116,0)</f>
        <v>0</v>
      </c>
      <c r="AL116" s="317">
        <f>IF($G116="4212",$F116,0)</f>
        <v>0</v>
      </c>
      <c r="AM116" s="317">
        <f>IF($H116="4212",$F116,0)</f>
        <v>0</v>
      </c>
      <c r="AN116" s="317">
        <f>IF($G116="515",$F116,0)</f>
        <v>0</v>
      </c>
      <c r="AO116" s="317">
        <f>IF($H116="515",$F116,0)</f>
        <v>0</v>
      </c>
      <c r="AP116" s="317">
        <f>IF($G116="635",$F116,0)</f>
        <v>0</v>
      </c>
      <c r="AQ116" s="317">
        <f>IF($H116="635",$F116,0)</f>
        <v>0</v>
      </c>
      <c r="AR116" s="317">
        <f>IF($G116="642",$F116,0)</f>
        <v>0</v>
      </c>
      <c r="AS116" s="317">
        <f>IF($H116="642",$F116,0)</f>
        <v>0</v>
      </c>
      <c r="AT116" s="317">
        <f>IF($G116="711",$F116,0)</f>
        <v>0</v>
      </c>
      <c r="AU116" s="317">
        <f>IF($H116="711",$F116,0)</f>
        <v>0</v>
      </c>
      <c r="AV116" s="317">
        <f>IF($G116="811",$F116,0)</f>
        <v>0</v>
      </c>
      <c r="AW116" s="317">
        <f>IF($H116="811",$F116,0)</f>
        <v>0</v>
      </c>
      <c r="AX116" s="317">
        <f>IF($G116="821",$F116,0)</f>
        <v>0</v>
      </c>
      <c r="AY116" s="317">
        <f>IF($H116="821",$F116,0)</f>
        <v>0</v>
      </c>
      <c r="AZ116" s="317">
        <f>IF($G116="911",$F116,0)</f>
        <v>0</v>
      </c>
      <c r="BA116" s="317">
        <f>IF($H116="911",$F116,0)</f>
        <v>0</v>
      </c>
    </row>
    <row r="117" spans="1:53" s="314" customFormat="1" ht="16.5" customHeight="1">
      <c r="A117" s="63" t="str">
        <f t="array" ref="A117">IF(C117&lt;&gt;0,SUM(($C$11:C117&lt;&gt;0)*1),"")</f>
        <v/>
      </c>
      <c r="B117" s="315"/>
      <c r="C117" s="315"/>
      <c r="D117" s="315"/>
      <c r="E117" s="432"/>
      <c r="F117" s="371"/>
      <c r="G117" s="373"/>
      <c r="H117" s="373"/>
      <c r="I117" s="63" t="str">
        <f>A117</f>
        <v/>
      </c>
      <c r="J117" s="317">
        <f>IF($G117="1111",$F117,0)</f>
        <v>0</v>
      </c>
      <c r="K117" s="317">
        <f>IF($H117="1111",$F117,0)</f>
        <v>0</v>
      </c>
      <c r="L117" s="317">
        <f>IF($G117="1121",$F117,0)</f>
        <v>0</v>
      </c>
      <c r="M117" s="317">
        <f>IF($H117="1121",$F117,0)</f>
        <v>0</v>
      </c>
      <c r="N117" s="317">
        <f t="shared" si="83"/>
        <v>0</v>
      </c>
      <c r="O117" s="317">
        <f t="shared" si="84"/>
        <v>0</v>
      </c>
      <c r="P117" s="317">
        <f>IF($G117="1331",$F117,0)</f>
        <v>0</v>
      </c>
      <c r="Q117" s="317">
        <f>IF($H117="1331",$F117,0)</f>
        <v>0</v>
      </c>
      <c r="R117" s="317">
        <f>IF($G117="1388",$F117,0)</f>
        <v>0</v>
      </c>
      <c r="S117" s="317">
        <f>IF($H117="1388",$F117,0)</f>
        <v>0</v>
      </c>
      <c r="T117" s="317">
        <f t="shared" si="85"/>
        <v>0</v>
      </c>
      <c r="U117" s="317">
        <f t="shared" si="86"/>
        <v>0</v>
      </c>
      <c r="V117" s="317">
        <f>IF($G117="331",$F117,0)</f>
        <v>0</v>
      </c>
      <c r="W117" s="317">
        <f>IF($H117="331",$F117,0)</f>
        <v>0</v>
      </c>
      <c r="X117" s="317">
        <f>IF($G117="3334",$F117,0)</f>
        <v>0</v>
      </c>
      <c r="Y117" s="317">
        <f>IF($H117="3334",$F117,0)</f>
        <v>0</v>
      </c>
      <c r="Z117" s="317">
        <f>IF($G117="33382",$F117,0)</f>
        <v>0</v>
      </c>
      <c r="AA117" s="317">
        <f>IF($H117="33382",$F117,0)</f>
        <v>0</v>
      </c>
      <c r="AB117" s="317">
        <f>IF($G117="3388",$F117,0)</f>
        <v>0</v>
      </c>
      <c r="AC117" s="317">
        <f>IF($H117="3388",$F117,0)</f>
        <v>0</v>
      </c>
      <c r="AD117" s="317">
        <f>IF($G117="3411",$F117,0)</f>
        <v>0</v>
      </c>
      <c r="AE117" s="317">
        <f>IF($H117="3411",$F117,0)</f>
        <v>0</v>
      </c>
      <c r="AF117" s="317">
        <f t="shared" si="87"/>
        <v>0</v>
      </c>
      <c r="AG117" s="317">
        <f t="shared" si="88"/>
        <v>0</v>
      </c>
      <c r="AH117" s="317">
        <f>IF($G117="4111",$F117,0)</f>
        <v>0</v>
      </c>
      <c r="AI117" s="317">
        <f>IF($H117="4111",$F117,0)</f>
        <v>0</v>
      </c>
      <c r="AJ117" s="317">
        <f>IF($G117="4211",$F117,0)</f>
        <v>0</v>
      </c>
      <c r="AK117" s="317">
        <f>IF($H117="4211",$F117,0)</f>
        <v>0</v>
      </c>
      <c r="AL117" s="317">
        <f>IF($G117="4212",$F117,0)</f>
        <v>0</v>
      </c>
      <c r="AM117" s="317">
        <f>IF($H117="4212",$F117,0)</f>
        <v>0</v>
      </c>
      <c r="AN117" s="317">
        <f>IF($G117="515",$F117,0)</f>
        <v>0</v>
      </c>
      <c r="AO117" s="317">
        <f>IF($H117="515",$F117,0)</f>
        <v>0</v>
      </c>
      <c r="AP117" s="317">
        <f>IF($G117="635",$F117,0)</f>
        <v>0</v>
      </c>
      <c r="AQ117" s="317">
        <f>IF($H117="635",$F117,0)</f>
        <v>0</v>
      </c>
      <c r="AR117" s="317">
        <f>IF($G117="642",$F117,0)</f>
        <v>0</v>
      </c>
      <c r="AS117" s="317">
        <f>IF($H117="642",$F117,0)</f>
        <v>0</v>
      </c>
      <c r="AT117" s="317">
        <f>IF($G117="711",$F117,0)</f>
        <v>0</v>
      </c>
      <c r="AU117" s="317">
        <f>IF($H117="711",$F117,0)</f>
        <v>0</v>
      </c>
      <c r="AV117" s="317">
        <f>IF($G117="811",$F117,0)</f>
        <v>0</v>
      </c>
      <c r="AW117" s="317">
        <f>IF($H117="811",$F117,0)</f>
        <v>0</v>
      </c>
      <c r="AX117" s="317">
        <f>IF($G117="821",$F117,0)</f>
        <v>0</v>
      </c>
      <c r="AY117" s="317">
        <f>IF($H117="821",$F117,0)</f>
        <v>0</v>
      </c>
      <c r="AZ117" s="317">
        <f>IF($G117="911",$F117,0)</f>
        <v>0</v>
      </c>
      <c r="BA117" s="317">
        <f>IF($H117="911",$F117,0)</f>
        <v>0</v>
      </c>
    </row>
    <row r="118" spans="1:53" s="314" customFormat="1" ht="16.5" customHeight="1">
      <c r="A118" s="63" t="str">
        <f t="array" ref="A118">IF(C118&lt;&gt;0,SUM(($C$11:C118&lt;&gt;0)*1),"")</f>
        <v/>
      </c>
      <c r="B118" s="315"/>
      <c r="C118" s="315"/>
      <c r="D118" s="315"/>
      <c r="E118" s="432"/>
      <c r="F118" s="371"/>
      <c r="G118" s="373"/>
      <c r="H118" s="373"/>
      <c r="I118" s="63" t="str">
        <f t="shared" ref="I118:I130" si="90">A118</f>
        <v/>
      </c>
      <c r="J118" s="317">
        <f t="shared" ref="J118:J130" si="91">IF($G118="1111",$F118,0)</f>
        <v>0</v>
      </c>
      <c r="K118" s="317">
        <f t="shared" ref="K118:K130" si="92">IF($H118="1111",$F118,0)</f>
        <v>0</v>
      </c>
      <c r="L118" s="317">
        <f t="shared" ref="L118:L130" si="93">IF($G118="1121",$F118,0)</f>
        <v>0</v>
      </c>
      <c r="M118" s="317">
        <f t="shared" ref="M118:M130" si="94">IF($H118="1121",$F118,0)</f>
        <v>0</v>
      </c>
      <c r="N118" s="317">
        <f t="shared" si="83"/>
        <v>0</v>
      </c>
      <c r="O118" s="317">
        <f t="shared" si="84"/>
        <v>0</v>
      </c>
      <c r="P118" s="317">
        <f t="shared" ref="P118:P130" si="95">IF($G118="1331",$F118,0)</f>
        <v>0</v>
      </c>
      <c r="Q118" s="317">
        <f t="shared" ref="Q118:Q130" si="96">IF($H118="1331",$F118,0)</f>
        <v>0</v>
      </c>
      <c r="R118" s="317">
        <f t="shared" ref="R118:R130" si="97">IF($G118="1388",$F118,0)</f>
        <v>0</v>
      </c>
      <c r="S118" s="317">
        <f t="shared" ref="S118:S130" si="98">IF($H118="1388",$F118,0)</f>
        <v>0</v>
      </c>
      <c r="T118" s="317">
        <f t="shared" si="85"/>
        <v>0</v>
      </c>
      <c r="U118" s="317">
        <f t="shared" si="86"/>
        <v>0</v>
      </c>
      <c r="V118" s="317">
        <f t="shared" ref="V118:V130" si="99">IF($G118="331",$F118,0)</f>
        <v>0</v>
      </c>
      <c r="W118" s="317">
        <f t="shared" ref="W118:W130" si="100">IF($H118="331",$F118,0)</f>
        <v>0</v>
      </c>
      <c r="X118" s="317">
        <f t="shared" ref="X118:X130" si="101">IF($G118="3334",$F118,0)</f>
        <v>0</v>
      </c>
      <c r="Y118" s="317">
        <f t="shared" ref="Y118:Y130" si="102">IF($H118="3334",$F118,0)</f>
        <v>0</v>
      </c>
      <c r="Z118" s="317">
        <f t="shared" ref="Z118:Z130" si="103">IF($G118="33382",$F118,0)</f>
        <v>0</v>
      </c>
      <c r="AA118" s="317">
        <f t="shared" ref="AA118:AA130" si="104">IF($H118="33382",$F118,0)</f>
        <v>0</v>
      </c>
      <c r="AB118" s="317">
        <f t="shared" ref="AB118:AB130" si="105">IF($G118="3388",$F118,0)</f>
        <v>0</v>
      </c>
      <c r="AC118" s="317">
        <f t="shared" ref="AC118:AC130" si="106">IF($H118="3388",$F118,0)</f>
        <v>0</v>
      </c>
      <c r="AD118" s="317">
        <f t="shared" ref="AD118:AD130" si="107">IF($G118="3411",$F118,0)</f>
        <v>0</v>
      </c>
      <c r="AE118" s="317">
        <f t="shared" ref="AE118:AE130" si="108">IF($H118="3411",$F118,0)</f>
        <v>0</v>
      </c>
      <c r="AF118" s="317">
        <f t="shared" si="87"/>
        <v>0</v>
      </c>
      <c r="AG118" s="317">
        <f t="shared" si="88"/>
        <v>0</v>
      </c>
      <c r="AH118" s="317">
        <f t="shared" ref="AH118:AH130" si="109">IF($G118="4111",$F118,0)</f>
        <v>0</v>
      </c>
      <c r="AI118" s="317">
        <f t="shared" ref="AI118:AI130" si="110">IF($H118="4111",$F118,0)</f>
        <v>0</v>
      </c>
      <c r="AJ118" s="317">
        <f t="shared" ref="AJ118:AJ130" si="111">IF($G118="4211",$F118,0)</f>
        <v>0</v>
      </c>
      <c r="AK118" s="317">
        <f t="shared" ref="AK118:AK130" si="112">IF($H118="4211",$F118,0)</f>
        <v>0</v>
      </c>
      <c r="AL118" s="317">
        <f t="shared" ref="AL118:AL130" si="113">IF($G118="4212",$F118,0)</f>
        <v>0</v>
      </c>
      <c r="AM118" s="317">
        <f t="shared" ref="AM118:AM130" si="114">IF($H118="4212",$F118,0)</f>
        <v>0</v>
      </c>
      <c r="AN118" s="317">
        <f t="shared" ref="AN118:AN130" si="115">IF($G118="515",$F118,0)</f>
        <v>0</v>
      </c>
      <c r="AO118" s="317">
        <f t="shared" ref="AO118:AO130" si="116">IF($H118="515",$F118,0)</f>
        <v>0</v>
      </c>
      <c r="AP118" s="317">
        <f t="shared" ref="AP118:AP130" si="117">IF($G118="635",$F118,0)</f>
        <v>0</v>
      </c>
      <c r="AQ118" s="317">
        <f t="shared" ref="AQ118:AQ130" si="118">IF($H118="635",$F118,0)</f>
        <v>0</v>
      </c>
      <c r="AR118" s="317">
        <f t="shared" ref="AR118:AR130" si="119">IF($G118="642",$F118,0)</f>
        <v>0</v>
      </c>
      <c r="AS118" s="317">
        <f t="shared" ref="AS118:AS130" si="120">IF($H118="642",$F118,0)</f>
        <v>0</v>
      </c>
      <c r="AT118" s="317">
        <f t="shared" ref="AT118:AT130" si="121">IF($G118="711",$F118,0)</f>
        <v>0</v>
      </c>
      <c r="AU118" s="317">
        <f t="shared" ref="AU118:AU130" si="122">IF($H118="711",$F118,0)</f>
        <v>0</v>
      </c>
      <c r="AV118" s="317">
        <f t="shared" ref="AV118:AV130" si="123">IF($G118="811",$F118,0)</f>
        <v>0</v>
      </c>
      <c r="AW118" s="317">
        <f t="shared" ref="AW118:AW130" si="124">IF($H118="811",$F118,0)</f>
        <v>0</v>
      </c>
      <c r="AX118" s="317">
        <f t="shared" ref="AX118:AX130" si="125">IF($G118="821",$F118,0)</f>
        <v>0</v>
      </c>
      <c r="AY118" s="317">
        <f t="shared" ref="AY118:AY130" si="126">IF($H118="821",$F118,0)</f>
        <v>0</v>
      </c>
      <c r="AZ118" s="317">
        <f t="shared" ref="AZ118:AZ130" si="127">IF($G118="911",$F118,0)</f>
        <v>0</v>
      </c>
      <c r="BA118" s="317">
        <f t="shared" ref="BA118:BA130" si="128">IF($H118="911",$F118,0)</f>
        <v>0</v>
      </c>
    </row>
    <row r="119" spans="1:53" s="314" customFormat="1" ht="16.5" customHeight="1">
      <c r="A119" s="63" t="str">
        <f t="array" ref="A119">IF(C119&lt;&gt;0,SUM(($C$11:C119&lt;&gt;0)*1),"")</f>
        <v/>
      </c>
      <c r="B119" s="315"/>
      <c r="C119" s="315"/>
      <c r="D119" s="315"/>
      <c r="E119" s="432"/>
      <c r="F119" s="371"/>
      <c r="G119" s="373"/>
      <c r="H119" s="373"/>
      <c r="I119" s="63" t="str">
        <f t="shared" si="90"/>
        <v/>
      </c>
      <c r="J119" s="317">
        <f t="shared" si="91"/>
        <v>0</v>
      </c>
      <c r="K119" s="317">
        <f t="shared" si="92"/>
        <v>0</v>
      </c>
      <c r="L119" s="317">
        <f t="shared" si="93"/>
        <v>0</v>
      </c>
      <c r="M119" s="317">
        <f t="shared" si="94"/>
        <v>0</v>
      </c>
      <c r="N119" s="317">
        <f t="shared" si="83"/>
        <v>0</v>
      </c>
      <c r="O119" s="317">
        <f t="shared" si="84"/>
        <v>0</v>
      </c>
      <c r="P119" s="317">
        <f t="shared" si="95"/>
        <v>0</v>
      </c>
      <c r="Q119" s="317">
        <f t="shared" si="96"/>
        <v>0</v>
      </c>
      <c r="R119" s="317">
        <f t="shared" si="97"/>
        <v>0</v>
      </c>
      <c r="S119" s="317">
        <f t="shared" si="98"/>
        <v>0</v>
      </c>
      <c r="T119" s="317">
        <f t="shared" si="85"/>
        <v>0</v>
      </c>
      <c r="U119" s="317">
        <f t="shared" si="86"/>
        <v>0</v>
      </c>
      <c r="V119" s="317">
        <f t="shared" si="99"/>
        <v>0</v>
      </c>
      <c r="W119" s="317">
        <f t="shared" si="100"/>
        <v>0</v>
      </c>
      <c r="X119" s="317">
        <f t="shared" si="101"/>
        <v>0</v>
      </c>
      <c r="Y119" s="317">
        <f t="shared" si="102"/>
        <v>0</v>
      </c>
      <c r="Z119" s="317">
        <f t="shared" si="103"/>
        <v>0</v>
      </c>
      <c r="AA119" s="317">
        <f t="shared" si="104"/>
        <v>0</v>
      </c>
      <c r="AB119" s="317">
        <f t="shared" si="105"/>
        <v>0</v>
      </c>
      <c r="AC119" s="317">
        <f t="shared" si="106"/>
        <v>0</v>
      </c>
      <c r="AD119" s="317">
        <f t="shared" si="107"/>
        <v>0</v>
      </c>
      <c r="AE119" s="317">
        <f t="shared" si="108"/>
        <v>0</v>
      </c>
      <c r="AF119" s="317">
        <f t="shared" si="87"/>
        <v>0</v>
      </c>
      <c r="AG119" s="317">
        <f t="shared" si="88"/>
        <v>0</v>
      </c>
      <c r="AH119" s="317">
        <f t="shared" si="109"/>
        <v>0</v>
      </c>
      <c r="AI119" s="317">
        <f t="shared" si="110"/>
        <v>0</v>
      </c>
      <c r="AJ119" s="317">
        <f t="shared" si="111"/>
        <v>0</v>
      </c>
      <c r="AK119" s="317">
        <f t="shared" si="112"/>
        <v>0</v>
      </c>
      <c r="AL119" s="317">
        <f t="shared" si="113"/>
        <v>0</v>
      </c>
      <c r="AM119" s="317">
        <f t="shared" si="114"/>
        <v>0</v>
      </c>
      <c r="AN119" s="317">
        <f t="shared" si="115"/>
        <v>0</v>
      </c>
      <c r="AO119" s="317">
        <f t="shared" si="116"/>
        <v>0</v>
      </c>
      <c r="AP119" s="317">
        <f t="shared" si="117"/>
        <v>0</v>
      </c>
      <c r="AQ119" s="317">
        <f t="shared" si="118"/>
        <v>0</v>
      </c>
      <c r="AR119" s="317">
        <f t="shared" si="119"/>
        <v>0</v>
      </c>
      <c r="AS119" s="317">
        <f t="shared" si="120"/>
        <v>0</v>
      </c>
      <c r="AT119" s="317">
        <f t="shared" si="121"/>
        <v>0</v>
      </c>
      <c r="AU119" s="317">
        <f t="shared" si="122"/>
        <v>0</v>
      </c>
      <c r="AV119" s="317">
        <f t="shared" si="123"/>
        <v>0</v>
      </c>
      <c r="AW119" s="317">
        <f t="shared" si="124"/>
        <v>0</v>
      </c>
      <c r="AX119" s="317">
        <f t="shared" si="125"/>
        <v>0</v>
      </c>
      <c r="AY119" s="317">
        <f t="shared" si="126"/>
        <v>0</v>
      </c>
      <c r="AZ119" s="317">
        <f t="shared" si="127"/>
        <v>0</v>
      </c>
      <c r="BA119" s="317">
        <f t="shared" si="128"/>
        <v>0</v>
      </c>
    </row>
    <row r="120" spans="1:53" s="314" customFormat="1" ht="16.5" customHeight="1">
      <c r="A120" s="63" t="str">
        <f t="array" ref="A120">IF(C120&lt;&gt;0,SUM(($C$11:C120&lt;&gt;0)*1),"")</f>
        <v/>
      </c>
      <c r="B120" s="315"/>
      <c r="C120" s="315"/>
      <c r="D120" s="315"/>
      <c r="E120" s="432"/>
      <c r="F120" s="371"/>
      <c r="G120" s="373"/>
      <c r="H120" s="373"/>
      <c r="I120" s="63" t="str">
        <f t="shared" si="90"/>
        <v/>
      </c>
      <c r="J120" s="317">
        <f t="shared" si="91"/>
        <v>0</v>
      </c>
      <c r="K120" s="317">
        <f t="shared" si="92"/>
        <v>0</v>
      </c>
      <c r="L120" s="317">
        <f t="shared" si="93"/>
        <v>0</v>
      </c>
      <c r="M120" s="317">
        <f t="shared" si="94"/>
        <v>0</v>
      </c>
      <c r="N120" s="317">
        <f t="shared" si="83"/>
        <v>0</v>
      </c>
      <c r="O120" s="317">
        <f t="shared" si="84"/>
        <v>0</v>
      </c>
      <c r="P120" s="317">
        <f t="shared" si="95"/>
        <v>0</v>
      </c>
      <c r="Q120" s="317">
        <f t="shared" si="96"/>
        <v>0</v>
      </c>
      <c r="R120" s="317">
        <f t="shared" si="97"/>
        <v>0</v>
      </c>
      <c r="S120" s="317">
        <f t="shared" si="98"/>
        <v>0</v>
      </c>
      <c r="T120" s="317">
        <f t="shared" si="85"/>
        <v>0</v>
      </c>
      <c r="U120" s="317">
        <f t="shared" si="86"/>
        <v>0</v>
      </c>
      <c r="V120" s="317">
        <f t="shared" si="99"/>
        <v>0</v>
      </c>
      <c r="W120" s="317">
        <f t="shared" si="100"/>
        <v>0</v>
      </c>
      <c r="X120" s="317">
        <f t="shared" si="101"/>
        <v>0</v>
      </c>
      <c r="Y120" s="317">
        <f t="shared" si="102"/>
        <v>0</v>
      </c>
      <c r="Z120" s="317">
        <f t="shared" si="103"/>
        <v>0</v>
      </c>
      <c r="AA120" s="317">
        <f t="shared" si="104"/>
        <v>0</v>
      </c>
      <c r="AB120" s="317">
        <f t="shared" si="105"/>
        <v>0</v>
      </c>
      <c r="AC120" s="317">
        <f t="shared" si="106"/>
        <v>0</v>
      </c>
      <c r="AD120" s="317">
        <f t="shared" si="107"/>
        <v>0</v>
      </c>
      <c r="AE120" s="317">
        <f t="shared" si="108"/>
        <v>0</v>
      </c>
      <c r="AF120" s="317">
        <f t="shared" si="87"/>
        <v>0</v>
      </c>
      <c r="AG120" s="317">
        <f t="shared" si="88"/>
        <v>0</v>
      </c>
      <c r="AH120" s="317">
        <f t="shared" si="109"/>
        <v>0</v>
      </c>
      <c r="AI120" s="317">
        <f t="shared" si="110"/>
        <v>0</v>
      </c>
      <c r="AJ120" s="317">
        <f t="shared" si="111"/>
        <v>0</v>
      </c>
      <c r="AK120" s="317">
        <f t="shared" si="112"/>
        <v>0</v>
      </c>
      <c r="AL120" s="317">
        <f t="shared" si="113"/>
        <v>0</v>
      </c>
      <c r="AM120" s="317">
        <f t="shared" si="114"/>
        <v>0</v>
      </c>
      <c r="AN120" s="317">
        <f t="shared" si="115"/>
        <v>0</v>
      </c>
      <c r="AO120" s="317">
        <f t="shared" si="116"/>
        <v>0</v>
      </c>
      <c r="AP120" s="317">
        <f t="shared" si="117"/>
        <v>0</v>
      </c>
      <c r="AQ120" s="317">
        <f t="shared" si="118"/>
        <v>0</v>
      </c>
      <c r="AR120" s="317">
        <f t="shared" si="119"/>
        <v>0</v>
      </c>
      <c r="AS120" s="317">
        <f t="shared" si="120"/>
        <v>0</v>
      </c>
      <c r="AT120" s="317">
        <f t="shared" si="121"/>
        <v>0</v>
      </c>
      <c r="AU120" s="317">
        <f t="shared" si="122"/>
        <v>0</v>
      </c>
      <c r="AV120" s="317">
        <f t="shared" si="123"/>
        <v>0</v>
      </c>
      <c r="AW120" s="317">
        <f t="shared" si="124"/>
        <v>0</v>
      </c>
      <c r="AX120" s="317">
        <f t="shared" si="125"/>
        <v>0</v>
      </c>
      <c r="AY120" s="317">
        <f t="shared" si="126"/>
        <v>0</v>
      </c>
      <c r="AZ120" s="317">
        <f t="shared" si="127"/>
        <v>0</v>
      </c>
      <c r="BA120" s="317">
        <f t="shared" si="128"/>
        <v>0</v>
      </c>
    </row>
    <row r="121" spans="1:53" s="314" customFormat="1" ht="16.5" customHeight="1">
      <c r="A121" s="63" t="str">
        <f t="array" ref="A121">IF(C121&lt;&gt;0,SUM(($C$11:C121&lt;&gt;0)*1),"")</f>
        <v/>
      </c>
      <c r="B121" s="315"/>
      <c r="C121" s="315"/>
      <c r="D121" s="315"/>
      <c r="E121" s="432"/>
      <c r="F121" s="371"/>
      <c r="G121" s="373"/>
      <c r="H121" s="373"/>
      <c r="I121" s="63" t="str">
        <f t="shared" si="90"/>
        <v/>
      </c>
      <c r="J121" s="317">
        <f t="shared" si="91"/>
        <v>0</v>
      </c>
      <c r="K121" s="317">
        <f t="shared" si="92"/>
        <v>0</v>
      </c>
      <c r="L121" s="317">
        <f t="shared" si="93"/>
        <v>0</v>
      </c>
      <c r="M121" s="317">
        <f t="shared" si="94"/>
        <v>0</v>
      </c>
      <c r="N121" s="317">
        <f t="shared" si="83"/>
        <v>0</v>
      </c>
      <c r="O121" s="317">
        <f t="shared" si="84"/>
        <v>0</v>
      </c>
      <c r="P121" s="317">
        <f t="shared" si="95"/>
        <v>0</v>
      </c>
      <c r="Q121" s="317">
        <f t="shared" si="96"/>
        <v>0</v>
      </c>
      <c r="R121" s="317">
        <f t="shared" si="97"/>
        <v>0</v>
      </c>
      <c r="S121" s="317">
        <f t="shared" si="98"/>
        <v>0</v>
      </c>
      <c r="T121" s="317">
        <f t="shared" si="85"/>
        <v>0</v>
      </c>
      <c r="U121" s="317">
        <f t="shared" si="86"/>
        <v>0</v>
      </c>
      <c r="V121" s="317">
        <f t="shared" si="99"/>
        <v>0</v>
      </c>
      <c r="W121" s="317">
        <f t="shared" si="100"/>
        <v>0</v>
      </c>
      <c r="X121" s="317">
        <f t="shared" si="101"/>
        <v>0</v>
      </c>
      <c r="Y121" s="317">
        <f t="shared" si="102"/>
        <v>0</v>
      </c>
      <c r="Z121" s="317">
        <f t="shared" si="103"/>
        <v>0</v>
      </c>
      <c r="AA121" s="317">
        <f t="shared" si="104"/>
        <v>0</v>
      </c>
      <c r="AB121" s="317">
        <f t="shared" si="105"/>
        <v>0</v>
      </c>
      <c r="AC121" s="317">
        <f t="shared" si="106"/>
        <v>0</v>
      </c>
      <c r="AD121" s="317">
        <f t="shared" si="107"/>
        <v>0</v>
      </c>
      <c r="AE121" s="317">
        <f t="shared" si="108"/>
        <v>0</v>
      </c>
      <c r="AF121" s="317">
        <f t="shared" si="87"/>
        <v>0</v>
      </c>
      <c r="AG121" s="317">
        <f t="shared" si="88"/>
        <v>0</v>
      </c>
      <c r="AH121" s="317">
        <f t="shared" si="109"/>
        <v>0</v>
      </c>
      <c r="AI121" s="317">
        <f t="shared" si="110"/>
        <v>0</v>
      </c>
      <c r="AJ121" s="317">
        <f t="shared" si="111"/>
        <v>0</v>
      </c>
      <c r="AK121" s="317">
        <f t="shared" si="112"/>
        <v>0</v>
      </c>
      <c r="AL121" s="317">
        <f t="shared" si="113"/>
        <v>0</v>
      </c>
      <c r="AM121" s="317">
        <f t="shared" si="114"/>
        <v>0</v>
      </c>
      <c r="AN121" s="317">
        <f t="shared" si="115"/>
        <v>0</v>
      </c>
      <c r="AO121" s="317">
        <f t="shared" si="116"/>
        <v>0</v>
      </c>
      <c r="AP121" s="317">
        <f t="shared" si="117"/>
        <v>0</v>
      </c>
      <c r="AQ121" s="317">
        <f t="shared" si="118"/>
        <v>0</v>
      </c>
      <c r="AR121" s="317">
        <f t="shared" si="119"/>
        <v>0</v>
      </c>
      <c r="AS121" s="317">
        <f t="shared" si="120"/>
        <v>0</v>
      </c>
      <c r="AT121" s="317">
        <f t="shared" si="121"/>
        <v>0</v>
      </c>
      <c r="AU121" s="317">
        <f t="shared" si="122"/>
        <v>0</v>
      </c>
      <c r="AV121" s="317">
        <f t="shared" si="123"/>
        <v>0</v>
      </c>
      <c r="AW121" s="317">
        <f t="shared" si="124"/>
        <v>0</v>
      </c>
      <c r="AX121" s="317">
        <f t="shared" si="125"/>
        <v>0</v>
      </c>
      <c r="AY121" s="317">
        <f t="shared" si="126"/>
        <v>0</v>
      </c>
      <c r="AZ121" s="317">
        <f t="shared" si="127"/>
        <v>0</v>
      </c>
      <c r="BA121" s="317">
        <f t="shared" si="128"/>
        <v>0</v>
      </c>
    </row>
    <row r="122" spans="1:53" s="314" customFormat="1" ht="16.5" customHeight="1">
      <c r="A122" s="63" t="str">
        <f t="array" ref="A122">IF(C122&lt;&gt;0,SUM(($C$11:C122&lt;&gt;0)*1),"")</f>
        <v/>
      </c>
      <c r="B122" s="315"/>
      <c r="C122" s="315"/>
      <c r="D122" s="315"/>
      <c r="E122" s="432"/>
      <c r="F122" s="371"/>
      <c r="G122" s="373"/>
      <c r="H122" s="373"/>
      <c r="I122" s="63" t="str">
        <f t="shared" si="90"/>
        <v/>
      </c>
      <c r="J122" s="317">
        <f t="shared" si="91"/>
        <v>0</v>
      </c>
      <c r="K122" s="317">
        <f t="shared" si="92"/>
        <v>0</v>
      </c>
      <c r="L122" s="317">
        <f t="shared" si="93"/>
        <v>0</v>
      </c>
      <c r="M122" s="317">
        <f t="shared" si="94"/>
        <v>0</v>
      </c>
      <c r="N122" s="317">
        <f t="shared" si="83"/>
        <v>0</v>
      </c>
      <c r="O122" s="317">
        <f t="shared" si="84"/>
        <v>0</v>
      </c>
      <c r="P122" s="317">
        <f t="shared" si="95"/>
        <v>0</v>
      </c>
      <c r="Q122" s="317">
        <f t="shared" si="96"/>
        <v>0</v>
      </c>
      <c r="R122" s="317">
        <f t="shared" si="97"/>
        <v>0</v>
      </c>
      <c r="S122" s="317">
        <f t="shared" si="98"/>
        <v>0</v>
      </c>
      <c r="T122" s="317">
        <f t="shared" si="85"/>
        <v>0</v>
      </c>
      <c r="U122" s="317">
        <f t="shared" si="86"/>
        <v>0</v>
      </c>
      <c r="V122" s="317">
        <f t="shared" si="99"/>
        <v>0</v>
      </c>
      <c r="W122" s="317">
        <f t="shared" si="100"/>
        <v>0</v>
      </c>
      <c r="X122" s="317">
        <f t="shared" si="101"/>
        <v>0</v>
      </c>
      <c r="Y122" s="317">
        <f t="shared" si="102"/>
        <v>0</v>
      </c>
      <c r="Z122" s="317">
        <f t="shared" si="103"/>
        <v>0</v>
      </c>
      <c r="AA122" s="317">
        <f t="shared" si="104"/>
        <v>0</v>
      </c>
      <c r="AB122" s="317">
        <f t="shared" si="105"/>
        <v>0</v>
      </c>
      <c r="AC122" s="317">
        <f t="shared" si="106"/>
        <v>0</v>
      </c>
      <c r="AD122" s="317">
        <f t="shared" si="107"/>
        <v>0</v>
      </c>
      <c r="AE122" s="317">
        <f t="shared" si="108"/>
        <v>0</v>
      </c>
      <c r="AF122" s="317">
        <f t="shared" si="87"/>
        <v>0</v>
      </c>
      <c r="AG122" s="317">
        <f t="shared" si="88"/>
        <v>0</v>
      </c>
      <c r="AH122" s="317">
        <f t="shared" si="109"/>
        <v>0</v>
      </c>
      <c r="AI122" s="317">
        <f t="shared" si="110"/>
        <v>0</v>
      </c>
      <c r="AJ122" s="317">
        <f t="shared" si="111"/>
        <v>0</v>
      </c>
      <c r="AK122" s="317">
        <f t="shared" si="112"/>
        <v>0</v>
      </c>
      <c r="AL122" s="317">
        <f t="shared" si="113"/>
        <v>0</v>
      </c>
      <c r="AM122" s="317">
        <f t="shared" si="114"/>
        <v>0</v>
      </c>
      <c r="AN122" s="317">
        <f t="shared" si="115"/>
        <v>0</v>
      </c>
      <c r="AO122" s="317">
        <f t="shared" si="116"/>
        <v>0</v>
      </c>
      <c r="AP122" s="317">
        <f t="shared" si="117"/>
        <v>0</v>
      </c>
      <c r="AQ122" s="317">
        <f t="shared" si="118"/>
        <v>0</v>
      </c>
      <c r="AR122" s="317">
        <f t="shared" si="119"/>
        <v>0</v>
      </c>
      <c r="AS122" s="317">
        <f t="shared" si="120"/>
        <v>0</v>
      </c>
      <c r="AT122" s="317">
        <f t="shared" si="121"/>
        <v>0</v>
      </c>
      <c r="AU122" s="317">
        <f t="shared" si="122"/>
        <v>0</v>
      </c>
      <c r="AV122" s="317">
        <f t="shared" si="123"/>
        <v>0</v>
      </c>
      <c r="AW122" s="317">
        <f t="shared" si="124"/>
        <v>0</v>
      </c>
      <c r="AX122" s="317">
        <f t="shared" si="125"/>
        <v>0</v>
      </c>
      <c r="AY122" s="317">
        <f t="shared" si="126"/>
        <v>0</v>
      </c>
      <c r="AZ122" s="317">
        <f t="shared" si="127"/>
        <v>0</v>
      </c>
      <c r="BA122" s="317">
        <f t="shared" si="128"/>
        <v>0</v>
      </c>
    </row>
    <row r="123" spans="1:53" s="314" customFormat="1" ht="16.5" customHeight="1">
      <c r="A123" s="63" t="str">
        <f t="array" ref="A123">IF(C123&lt;&gt;0,SUM(($C$11:C123&lt;&gt;0)*1),"")</f>
        <v/>
      </c>
      <c r="B123" s="315"/>
      <c r="C123" s="315"/>
      <c r="D123" s="315"/>
      <c r="E123" s="432"/>
      <c r="F123" s="371"/>
      <c r="G123" s="373"/>
      <c r="H123" s="373"/>
      <c r="I123" s="63" t="str">
        <f t="shared" si="90"/>
        <v/>
      </c>
      <c r="J123" s="317">
        <f t="shared" si="91"/>
        <v>0</v>
      </c>
      <c r="K123" s="317">
        <f t="shared" si="92"/>
        <v>0</v>
      </c>
      <c r="L123" s="317">
        <f t="shared" si="93"/>
        <v>0</v>
      </c>
      <c r="M123" s="317">
        <f t="shared" si="94"/>
        <v>0</v>
      </c>
      <c r="N123" s="317">
        <f t="shared" si="83"/>
        <v>0</v>
      </c>
      <c r="O123" s="317">
        <f t="shared" si="84"/>
        <v>0</v>
      </c>
      <c r="P123" s="317">
        <f t="shared" si="95"/>
        <v>0</v>
      </c>
      <c r="Q123" s="317">
        <f t="shared" si="96"/>
        <v>0</v>
      </c>
      <c r="R123" s="317">
        <f t="shared" si="97"/>
        <v>0</v>
      </c>
      <c r="S123" s="317">
        <f t="shared" si="98"/>
        <v>0</v>
      </c>
      <c r="T123" s="317">
        <f t="shared" si="85"/>
        <v>0</v>
      </c>
      <c r="U123" s="317">
        <f t="shared" si="86"/>
        <v>0</v>
      </c>
      <c r="V123" s="317">
        <f t="shared" si="99"/>
        <v>0</v>
      </c>
      <c r="W123" s="317">
        <f t="shared" si="100"/>
        <v>0</v>
      </c>
      <c r="X123" s="317">
        <f t="shared" si="101"/>
        <v>0</v>
      </c>
      <c r="Y123" s="317">
        <f t="shared" si="102"/>
        <v>0</v>
      </c>
      <c r="Z123" s="317">
        <f t="shared" si="103"/>
        <v>0</v>
      </c>
      <c r="AA123" s="317">
        <f t="shared" si="104"/>
        <v>0</v>
      </c>
      <c r="AB123" s="317">
        <f t="shared" si="105"/>
        <v>0</v>
      </c>
      <c r="AC123" s="317">
        <f t="shared" si="106"/>
        <v>0</v>
      </c>
      <c r="AD123" s="317">
        <f t="shared" si="107"/>
        <v>0</v>
      </c>
      <c r="AE123" s="317">
        <f t="shared" si="108"/>
        <v>0</v>
      </c>
      <c r="AF123" s="317">
        <f t="shared" si="87"/>
        <v>0</v>
      </c>
      <c r="AG123" s="317">
        <f t="shared" si="88"/>
        <v>0</v>
      </c>
      <c r="AH123" s="317">
        <f t="shared" si="109"/>
        <v>0</v>
      </c>
      <c r="AI123" s="317">
        <f t="shared" si="110"/>
        <v>0</v>
      </c>
      <c r="AJ123" s="317">
        <f t="shared" si="111"/>
        <v>0</v>
      </c>
      <c r="AK123" s="317">
        <f t="shared" si="112"/>
        <v>0</v>
      </c>
      <c r="AL123" s="317">
        <f t="shared" si="113"/>
        <v>0</v>
      </c>
      <c r="AM123" s="317">
        <f t="shared" si="114"/>
        <v>0</v>
      </c>
      <c r="AN123" s="317">
        <f t="shared" si="115"/>
        <v>0</v>
      </c>
      <c r="AO123" s="317">
        <f t="shared" si="116"/>
        <v>0</v>
      </c>
      <c r="AP123" s="317">
        <f t="shared" si="117"/>
        <v>0</v>
      </c>
      <c r="AQ123" s="317">
        <f t="shared" si="118"/>
        <v>0</v>
      </c>
      <c r="AR123" s="317">
        <f t="shared" si="119"/>
        <v>0</v>
      </c>
      <c r="AS123" s="317">
        <f t="shared" si="120"/>
        <v>0</v>
      </c>
      <c r="AT123" s="317">
        <f t="shared" si="121"/>
        <v>0</v>
      </c>
      <c r="AU123" s="317">
        <f t="shared" si="122"/>
        <v>0</v>
      </c>
      <c r="AV123" s="317">
        <f t="shared" si="123"/>
        <v>0</v>
      </c>
      <c r="AW123" s="317">
        <f t="shared" si="124"/>
        <v>0</v>
      </c>
      <c r="AX123" s="317">
        <f t="shared" si="125"/>
        <v>0</v>
      </c>
      <c r="AY123" s="317">
        <f t="shared" si="126"/>
        <v>0</v>
      </c>
      <c r="AZ123" s="317">
        <f t="shared" si="127"/>
        <v>0</v>
      </c>
      <c r="BA123" s="317">
        <f t="shared" si="128"/>
        <v>0</v>
      </c>
    </row>
    <row r="124" spans="1:53" s="314" customFormat="1" ht="16.5" customHeight="1">
      <c r="A124" s="63" t="str">
        <f t="array" ref="A124">IF(C124&lt;&gt;0,SUM(($C$11:C124&lt;&gt;0)*1),"")</f>
        <v/>
      </c>
      <c r="B124" s="315"/>
      <c r="C124" s="315"/>
      <c r="D124" s="315"/>
      <c r="E124" s="432"/>
      <c r="F124" s="371"/>
      <c r="G124" s="373"/>
      <c r="H124" s="373"/>
      <c r="I124" s="63" t="str">
        <f t="shared" si="90"/>
        <v/>
      </c>
      <c r="J124" s="317">
        <f t="shared" si="91"/>
        <v>0</v>
      </c>
      <c r="K124" s="317">
        <f t="shared" si="92"/>
        <v>0</v>
      </c>
      <c r="L124" s="317">
        <f t="shared" si="93"/>
        <v>0</v>
      </c>
      <c r="M124" s="317">
        <f t="shared" si="94"/>
        <v>0</v>
      </c>
      <c r="N124" s="317">
        <f t="shared" si="83"/>
        <v>0</v>
      </c>
      <c r="O124" s="317">
        <f t="shared" si="84"/>
        <v>0</v>
      </c>
      <c r="P124" s="317">
        <f t="shared" si="95"/>
        <v>0</v>
      </c>
      <c r="Q124" s="317">
        <f t="shared" si="96"/>
        <v>0</v>
      </c>
      <c r="R124" s="317">
        <f t="shared" si="97"/>
        <v>0</v>
      </c>
      <c r="S124" s="317">
        <f t="shared" si="98"/>
        <v>0</v>
      </c>
      <c r="T124" s="317">
        <f t="shared" si="85"/>
        <v>0</v>
      </c>
      <c r="U124" s="317">
        <f t="shared" si="86"/>
        <v>0</v>
      </c>
      <c r="V124" s="317">
        <f t="shared" si="99"/>
        <v>0</v>
      </c>
      <c r="W124" s="317">
        <f t="shared" si="100"/>
        <v>0</v>
      </c>
      <c r="X124" s="317">
        <f t="shared" si="101"/>
        <v>0</v>
      </c>
      <c r="Y124" s="317">
        <f t="shared" si="102"/>
        <v>0</v>
      </c>
      <c r="Z124" s="317">
        <f t="shared" si="103"/>
        <v>0</v>
      </c>
      <c r="AA124" s="317">
        <f t="shared" si="104"/>
        <v>0</v>
      </c>
      <c r="AB124" s="317">
        <f t="shared" si="105"/>
        <v>0</v>
      </c>
      <c r="AC124" s="317">
        <f t="shared" si="106"/>
        <v>0</v>
      </c>
      <c r="AD124" s="317">
        <f t="shared" si="107"/>
        <v>0</v>
      </c>
      <c r="AE124" s="317">
        <f t="shared" si="108"/>
        <v>0</v>
      </c>
      <c r="AF124" s="317">
        <f t="shared" si="87"/>
        <v>0</v>
      </c>
      <c r="AG124" s="317">
        <f t="shared" si="88"/>
        <v>0</v>
      </c>
      <c r="AH124" s="317">
        <f t="shared" si="109"/>
        <v>0</v>
      </c>
      <c r="AI124" s="317">
        <f t="shared" si="110"/>
        <v>0</v>
      </c>
      <c r="AJ124" s="317">
        <f t="shared" si="111"/>
        <v>0</v>
      </c>
      <c r="AK124" s="317">
        <f t="shared" si="112"/>
        <v>0</v>
      </c>
      <c r="AL124" s="317">
        <f t="shared" si="113"/>
        <v>0</v>
      </c>
      <c r="AM124" s="317">
        <f t="shared" si="114"/>
        <v>0</v>
      </c>
      <c r="AN124" s="317">
        <f t="shared" si="115"/>
        <v>0</v>
      </c>
      <c r="AO124" s="317">
        <f t="shared" si="116"/>
        <v>0</v>
      </c>
      <c r="AP124" s="317">
        <f t="shared" si="117"/>
        <v>0</v>
      </c>
      <c r="AQ124" s="317">
        <f t="shared" si="118"/>
        <v>0</v>
      </c>
      <c r="AR124" s="317">
        <f t="shared" si="119"/>
        <v>0</v>
      </c>
      <c r="AS124" s="317">
        <f t="shared" si="120"/>
        <v>0</v>
      </c>
      <c r="AT124" s="317">
        <f t="shared" si="121"/>
        <v>0</v>
      </c>
      <c r="AU124" s="317">
        <f t="shared" si="122"/>
        <v>0</v>
      </c>
      <c r="AV124" s="317">
        <f t="shared" si="123"/>
        <v>0</v>
      </c>
      <c r="AW124" s="317">
        <f t="shared" si="124"/>
        <v>0</v>
      </c>
      <c r="AX124" s="317">
        <f t="shared" si="125"/>
        <v>0</v>
      </c>
      <c r="AY124" s="317">
        <f t="shared" si="126"/>
        <v>0</v>
      </c>
      <c r="AZ124" s="317">
        <f t="shared" si="127"/>
        <v>0</v>
      </c>
      <c r="BA124" s="317">
        <f t="shared" si="128"/>
        <v>0</v>
      </c>
    </row>
    <row r="125" spans="1:53" s="314" customFormat="1" ht="16.5" customHeight="1">
      <c r="A125" s="63" t="str">
        <f t="array" ref="A125">IF(C125&lt;&gt;0,SUM(($C$11:C125&lt;&gt;0)*1),"")</f>
        <v/>
      </c>
      <c r="B125" s="315"/>
      <c r="C125" s="315"/>
      <c r="D125" s="315"/>
      <c r="E125" s="432"/>
      <c r="F125" s="371"/>
      <c r="G125" s="373"/>
      <c r="H125" s="373"/>
      <c r="I125" s="63" t="str">
        <f t="shared" si="90"/>
        <v/>
      </c>
      <c r="J125" s="317">
        <f t="shared" si="91"/>
        <v>0</v>
      </c>
      <c r="K125" s="317">
        <f t="shared" si="92"/>
        <v>0</v>
      </c>
      <c r="L125" s="317">
        <f t="shared" si="93"/>
        <v>0</v>
      </c>
      <c r="M125" s="317">
        <f t="shared" si="94"/>
        <v>0</v>
      </c>
      <c r="N125" s="317">
        <f t="shared" si="83"/>
        <v>0</v>
      </c>
      <c r="O125" s="317">
        <f t="shared" si="84"/>
        <v>0</v>
      </c>
      <c r="P125" s="317">
        <f t="shared" si="95"/>
        <v>0</v>
      </c>
      <c r="Q125" s="317">
        <f t="shared" si="96"/>
        <v>0</v>
      </c>
      <c r="R125" s="317">
        <f t="shared" si="97"/>
        <v>0</v>
      </c>
      <c r="S125" s="317">
        <f t="shared" si="98"/>
        <v>0</v>
      </c>
      <c r="T125" s="317">
        <f t="shared" si="85"/>
        <v>0</v>
      </c>
      <c r="U125" s="317">
        <f t="shared" si="86"/>
        <v>0</v>
      </c>
      <c r="V125" s="317">
        <f t="shared" si="99"/>
        <v>0</v>
      </c>
      <c r="W125" s="317">
        <f t="shared" si="100"/>
        <v>0</v>
      </c>
      <c r="X125" s="317">
        <f t="shared" si="101"/>
        <v>0</v>
      </c>
      <c r="Y125" s="317">
        <f t="shared" si="102"/>
        <v>0</v>
      </c>
      <c r="Z125" s="317">
        <f t="shared" si="103"/>
        <v>0</v>
      </c>
      <c r="AA125" s="317">
        <f t="shared" si="104"/>
        <v>0</v>
      </c>
      <c r="AB125" s="317">
        <f t="shared" si="105"/>
        <v>0</v>
      </c>
      <c r="AC125" s="317">
        <f t="shared" si="106"/>
        <v>0</v>
      </c>
      <c r="AD125" s="317">
        <f t="shared" si="107"/>
        <v>0</v>
      </c>
      <c r="AE125" s="317">
        <f t="shared" si="108"/>
        <v>0</v>
      </c>
      <c r="AF125" s="317">
        <f t="shared" si="87"/>
        <v>0</v>
      </c>
      <c r="AG125" s="317">
        <f t="shared" si="88"/>
        <v>0</v>
      </c>
      <c r="AH125" s="317">
        <f t="shared" si="109"/>
        <v>0</v>
      </c>
      <c r="AI125" s="317">
        <f t="shared" si="110"/>
        <v>0</v>
      </c>
      <c r="AJ125" s="317">
        <f t="shared" si="111"/>
        <v>0</v>
      </c>
      <c r="AK125" s="317">
        <f t="shared" si="112"/>
        <v>0</v>
      </c>
      <c r="AL125" s="317">
        <f t="shared" si="113"/>
        <v>0</v>
      </c>
      <c r="AM125" s="317">
        <f t="shared" si="114"/>
        <v>0</v>
      </c>
      <c r="AN125" s="317">
        <f t="shared" si="115"/>
        <v>0</v>
      </c>
      <c r="AO125" s="317">
        <f t="shared" si="116"/>
        <v>0</v>
      </c>
      <c r="AP125" s="317">
        <f t="shared" si="117"/>
        <v>0</v>
      </c>
      <c r="AQ125" s="317">
        <f t="shared" si="118"/>
        <v>0</v>
      </c>
      <c r="AR125" s="317">
        <f t="shared" si="119"/>
        <v>0</v>
      </c>
      <c r="AS125" s="317">
        <f t="shared" si="120"/>
        <v>0</v>
      </c>
      <c r="AT125" s="317">
        <f t="shared" si="121"/>
        <v>0</v>
      </c>
      <c r="AU125" s="317">
        <f t="shared" si="122"/>
        <v>0</v>
      </c>
      <c r="AV125" s="317">
        <f t="shared" si="123"/>
        <v>0</v>
      </c>
      <c r="AW125" s="317">
        <f t="shared" si="124"/>
        <v>0</v>
      </c>
      <c r="AX125" s="317">
        <f t="shared" si="125"/>
        <v>0</v>
      </c>
      <c r="AY125" s="317">
        <f t="shared" si="126"/>
        <v>0</v>
      </c>
      <c r="AZ125" s="317">
        <f t="shared" si="127"/>
        <v>0</v>
      </c>
      <c r="BA125" s="317">
        <f t="shared" si="128"/>
        <v>0</v>
      </c>
    </row>
    <row r="126" spans="1:53" s="314" customFormat="1" ht="16.5" customHeight="1">
      <c r="A126" s="63" t="str">
        <f t="array" ref="A126">IF(C126&lt;&gt;0,SUM(($C$11:C126&lt;&gt;0)*1),"")</f>
        <v/>
      </c>
      <c r="B126" s="315"/>
      <c r="C126" s="315"/>
      <c r="D126" s="315"/>
      <c r="E126" s="432"/>
      <c r="F126" s="371"/>
      <c r="G126" s="373"/>
      <c r="H126" s="373"/>
      <c r="I126" s="63" t="str">
        <f t="shared" si="90"/>
        <v/>
      </c>
      <c r="J126" s="317">
        <f t="shared" si="91"/>
        <v>0</v>
      </c>
      <c r="K126" s="317">
        <f t="shared" si="92"/>
        <v>0</v>
      </c>
      <c r="L126" s="317">
        <f t="shared" si="93"/>
        <v>0</v>
      </c>
      <c r="M126" s="317">
        <f t="shared" si="94"/>
        <v>0</v>
      </c>
      <c r="N126" s="317">
        <f t="shared" si="83"/>
        <v>0</v>
      </c>
      <c r="O126" s="317">
        <f t="shared" si="84"/>
        <v>0</v>
      </c>
      <c r="P126" s="317">
        <f t="shared" si="95"/>
        <v>0</v>
      </c>
      <c r="Q126" s="317">
        <f t="shared" si="96"/>
        <v>0</v>
      </c>
      <c r="R126" s="317">
        <f t="shared" si="97"/>
        <v>0</v>
      </c>
      <c r="S126" s="317">
        <f t="shared" si="98"/>
        <v>0</v>
      </c>
      <c r="T126" s="317">
        <f t="shared" si="85"/>
        <v>0</v>
      </c>
      <c r="U126" s="317">
        <f t="shared" si="86"/>
        <v>0</v>
      </c>
      <c r="V126" s="317">
        <f t="shared" si="99"/>
        <v>0</v>
      </c>
      <c r="W126" s="317">
        <f t="shared" si="100"/>
        <v>0</v>
      </c>
      <c r="X126" s="317">
        <f t="shared" si="101"/>
        <v>0</v>
      </c>
      <c r="Y126" s="317">
        <f t="shared" si="102"/>
        <v>0</v>
      </c>
      <c r="Z126" s="317">
        <f t="shared" si="103"/>
        <v>0</v>
      </c>
      <c r="AA126" s="317">
        <f t="shared" si="104"/>
        <v>0</v>
      </c>
      <c r="AB126" s="317">
        <f t="shared" si="105"/>
        <v>0</v>
      </c>
      <c r="AC126" s="317">
        <f t="shared" si="106"/>
        <v>0</v>
      </c>
      <c r="AD126" s="317">
        <f t="shared" si="107"/>
        <v>0</v>
      </c>
      <c r="AE126" s="317">
        <f t="shared" si="108"/>
        <v>0</v>
      </c>
      <c r="AF126" s="317">
        <f t="shared" si="87"/>
        <v>0</v>
      </c>
      <c r="AG126" s="317">
        <f t="shared" si="88"/>
        <v>0</v>
      </c>
      <c r="AH126" s="317">
        <f t="shared" si="109"/>
        <v>0</v>
      </c>
      <c r="AI126" s="317">
        <f t="shared" si="110"/>
        <v>0</v>
      </c>
      <c r="AJ126" s="317">
        <f t="shared" si="111"/>
        <v>0</v>
      </c>
      <c r="AK126" s="317">
        <f t="shared" si="112"/>
        <v>0</v>
      </c>
      <c r="AL126" s="317">
        <f t="shared" si="113"/>
        <v>0</v>
      </c>
      <c r="AM126" s="317">
        <f t="shared" si="114"/>
        <v>0</v>
      </c>
      <c r="AN126" s="317">
        <f t="shared" si="115"/>
        <v>0</v>
      </c>
      <c r="AO126" s="317">
        <f t="shared" si="116"/>
        <v>0</v>
      </c>
      <c r="AP126" s="317">
        <f t="shared" si="117"/>
        <v>0</v>
      </c>
      <c r="AQ126" s="317">
        <f t="shared" si="118"/>
        <v>0</v>
      </c>
      <c r="AR126" s="317">
        <f t="shared" si="119"/>
        <v>0</v>
      </c>
      <c r="AS126" s="317">
        <f t="shared" si="120"/>
        <v>0</v>
      </c>
      <c r="AT126" s="317">
        <f t="shared" si="121"/>
        <v>0</v>
      </c>
      <c r="AU126" s="317">
        <f t="shared" si="122"/>
        <v>0</v>
      </c>
      <c r="AV126" s="317">
        <f t="shared" si="123"/>
        <v>0</v>
      </c>
      <c r="AW126" s="317">
        <f t="shared" si="124"/>
        <v>0</v>
      </c>
      <c r="AX126" s="317">
        <f t="shared" si="125"/>
        <v>0</v>
      </c>
      <c r="AY126" s="317">
        <f t="shared" si="126"/>
        <v>0</v>
      </c>
      <c r="AZ126" s="317">
        <f t="shared" si="127"/>
        <v>0</v>
      </c>
      <c r="BA126" s="317">
        <f t="shared" si="128"/>
        <v>0</v>
      </c>
    </row>
    <row r="127" spans="1:53" s="314" customFormat="1" ht="16.5" customHeight="1">
      <c r="A127" s="63" t="str">
        <f t="array" ref="A127">IF(C127&lt;&gt;0,SUM(($C$11:C127&lt;&gt;0)*1),"")</f>
        <v/>
      </c>
      <c r="B127" s="315"/>
      <c r="C127" s="315"/>
      <c r="D127" s="315"/>
      <c r="E127" s="432"/>
      <c r="F127" s="371"/>
      <c r="G127" s="373"/>
      <c r="H127" s="373"/>
      <c r="I127" s="63" t="str">
        <f t="shared" si="90"/>
        <v/>
      </c>
      <c r="J127" s="317">
        <f t="shared" si="91"/>
        <v>0</v>
      </c>
      <c r="K127" s="317">
        <f t="shared" si="92"/>
        <v>0</v>
      </c>
      <c r="L127" s="317">
        <f t="shared" si="93"/>
        <v>0</v>
      </c>
      <c r="M127" s="317">
        <f t="shared" si="94"/>
        <v>0</v>
      </c>
      <c r="N127" s="317">
        <f t="shared" si="83"/>
        <v>0</v>
      </c>
      <c r="O127" s="317">
        <f t="shared" si="84"/>
        <v>0</v>
      </c>
      <c r="P127" s="317">
        <f t="shared" si="95"/>
        <v>0</v>
      </c>
      <c r="Q127" s="317">
        <f t="shared" si="96"/>
        <v>0</v>
      </c>
      <c r="R127" s="317">
        <f t="shared" si="97"/>
        <v>0</v>
      </c>
      <c r="S127" s="317">
        <f t="shared" si="98"/>
        <v>0</v>
      </c>
      <c r="T127" s="317">
        <f t="shared" si="85"/>
        <v>0</v>
      </c>
      <c r="U127" s="317">
        <f t="shared" si="86"/>
        <v>0</v>
      </c>
      <c r="V127" s="317">
        <f t="shared" si="99"/>
        <v>0</v>
      </c>
      <c r="W127" s="317">
        <f t="shared" si="100"/>
        <v>0</v>
      </c>
      <c r="X127" s="317">
        <f t="shared" si="101"/>
        <v>0</v>
      </c>
      <c r="Y127" s="317">
        <f t="shared" si="102"/>
        <v>0</v>
      </c>
      <c r="Z127" s="317">
        <f t="shared" si="103"/>
        <v>0</v>
      </c>
      <c r="AA127" s="317">
        <f t="shared" si="104"/>
        <v>0</v>
      </c>
      <c r="AB127" s="317">
        <f t="shared" si="105"/>
        <v>0</v>
      </c>
      <c r="AC127" s="317">
        <f t="shared" si="106"/>
        <v>0</v>
      </c>
      <c r="AD127" s="317">
        <f t="shared" si="107"/>
        <v>0</v>
      </c>
      <c r="AE127" s="317">
        <f t="shared" si="108"/>
        <v>0</v>
      </c>
      <c r="AF127" s="317">
        <f t="shared" si="87"/>
        <v>0</v>
      </c>
      <c r="AG127" s="317">
        <f t="shared" si="88"/>
        <v>0</v>
      </c>
      <c r="AH127" s="317">
        <f t="shared" si="109"/>
        <v>0</v>
      </c>
      <c r="AI127" s="317">
        <f t="shared" si="110"/>
        <v>0</v>
      </c>
      <c r="AJ127" s="317">
        <f t="shared" si="111"/>
        <v>0</v>
      </c>
      <c r="AK127" s="317">
        <f t="shared" si="112"/>
        <v>0</v>
      </c>
      <c r="AL127" s="317">
        <f t="shared" si="113"/>
        <v>0</v>
      </c>
      <c r="AM127" s="317">
        <f t="shared" si="114"/>
        <v>0</v>
      </c>
      <c r="AN127" s="317">
        <f t="shared" si="115"/>
        <v>0</v>
      </c>
      <c r="AO127" s="317">
        <f t="shared" si="116"/>
        <v>0</v>
      </c>
      <c r="AP127" s="317">
        <f t="shared" si="117"/>
        <v>0</v>
      </c>
      <c r="AQ127" s="317">
        <f t="shared" si="118"/>
        <v>0</v>
      </c>
      <c r="AR127" s="317">
        <f t="shared" si="119"/>
        <v>0</v>
      </c>
      <c r="AS127" s="317">
        <f t="shared" si="120"/>
        <v>0</v>
      </c>
      <c r="AT127" s="317">
        <f t="shared" si="121"/>
        <v>0</v>
      </c>
      <c r="AU127" s="317">
        <f t="shared" si="122"/>
        <v>0</v>
      </c>
      <c r="AV127" s="317">
        <f t="shared" si="123"/>
        <v>0</v>
      </c>
      <c r="AW127" s="317">
        <f t="shared" si="124"/>
        <v>0</v>
      </c>
      <c r="AX127" s="317">
        <f t="shared" si="125"/>
        <v>0</v>
      </c>
      <c r="AY127" s="317">
        <f t="shared" si="126"/>
        <v>0</v>
      </c>
      <c r="AZ127" s="317">
        <f t="shared" si="127"/>
        <v>0</v>
      </c>
      <c r="BA127" s="317">
        <f t="shared" si="128"/>
        <v>0</v>
      </c>
    </row>
    <row r="128" spans="1:53" s="314" customFormat="1" ht="16.5" customHeight="1">
      <c r="A128" s="63" t="str">
        <f t="array" ref="A128">IF(C128&lt;&gt;0,SUM(($C$11:C128&lt;&gt;0)*1),"")</f>
        <v/>
      </c>
      <c r="B128" s="315"/>
      <c r="C128" s="315"/>
      <c r="D128" s="315"/>
      <c r="E128" s="432"/>
      <c r="F128" s="371"/>
      <c r="G128" s="373"/>
      <c r="H128" s="373"/>
      <c r="I128" s="63" t="str">
        <f t="shared" si="90"/>
        <v/>
      </c>
      <c r="J128" s="317">
        <f t="shared" si="91"/>
        <v>0</v>
      </c>
      <c r="K128" s="317">
        <f t="shared" si="92"/>
        <v>0</v>
      </c>
      <c r="L128" s="317">
        <f t="shared" si="93"/>
        <v>0</v>
      </c>
      <c r="M128" s="317">
        <f t="shared" si="94"/>
        <v>0</v>
      </c>
      <c r="N128" s="317">
        <f t="shared" si="83"/>
        <v>0</v>
      </c>
      <c r="O128" s="317">
        <f t="shared" si="84"/>
        <v>0</v>
      </c>
      <c r="P128" s="317">
        <f t="shared" si="95"/>
        <v>0</v>
      </c>
      <c r="Q128" s="317">
        <f t="shared" si="96"/>
        <v>0</v>
      </c>
      <c r="R128" s="317">
        <f t="shared" si="97"/>
        <v>0</v>
      </c>
      <c r="S128" s="317">
        <f t="shared" si="98"/>
        <v>0</v>
      </c>
      <c r="T128" s="317">
        <f t="shared" si="85"/>
        <v>0</v>
      </c>
      <c r="U128" s="317">
        <f t="shared" si="86"/>
        <v>0</v>
      </c>
      <c r="V128" s="317">
        <f t="shared" si="99"/>
        <v>0</v>
      </c>
      <c r="W128" s="317">
        <f t="shared" si="100"/>
        <v>0</v>
      </c>
      <c r="X128" s="317">
        <f t="shared" si="101"/>
        <v>0</v>
      </c>
      <c r="Y128" s="317">
        <f t="shared" si="102"/>
        <v>0</v>
      </c>
      <c r="Z128" s="317">
        <f t="shared" si="103"/>
        <v>0</v>
      </c>
      <c r="AA128" s="317">
        <f t="shared" si="104"/>
        <v>0</v>
      </c>
      <c r="AB128" s="317">
        <f t="shared" si="105"/>
        <v>0</v>
      </c>
      <c r="AC128" s="317">
        <f t="shared" si="106"/>
        <v>0</v>
      </c>
      <c r="AD128" s="317">
        <f t="shared" si="107"/>
        <v>0</v>
      </c>
      <c r="AE128" s="317">
        <f t="shared" si="108"/>
        <v>0</v>
      </c>
      <c r="AF128" s="317">
        <f t="shared" si="87"/>
        <v>0</v>
      </c>
      <c r="AG128" s="317">
        <f t="shared" si="88"/>
        <v>0</v>
      </c>
      <c r="AH128" s="317">
        <f t="shared" si="109"/>
        <v>0</v>
      </c>
      <c r="AI128" s="317">
        <f t="shared" si="110"/>
        <v>0</v>
      </c>
      <c r="AJ128" s="317">
        <f t="shared" si="111"/>
        <v>0</v>
      </c>
      <c r="AK128" s="317">
        <f t="shared" si="112"/>
        <v>0</v>
      </c>
      <c r="AL128" s="317">
        <f t="shared" si="113"/>
        <v>0</v>
      </c>
      <c r="AM128" s="317">
        <f t="shared" si="114"/>
        <v>0</v>
      </c>
      <c r="AN128" s="317">
        <f t="shared" si="115"/>
        <v>0</v>
      </c>
      <c r="AO128" s="317">
        <f t="shared" si="116"/>
        <v>0</v>
      </c>
      <c r="AP128" s="317">
        <f t="shared" si="117"/>
        <v>0</v>
      </c>
      <c r="AQ128" s="317">
        <f t="shared" si="118"/>
        <v>0</v>
      </c>
      <c r="AR128" s="317">
        <f t="shared" si="119"/>
        <v>0</v>
      </c>
      <c r="AS128" s="317">
        <f t="shared" si="120"/>
        <v>0</v>
      </c>
      <c r="AT128" s="317">
        <f t="shared" si="121"/>
        <v>0</v>
      </c>
      <c r="AU128" s="317">
        <f t="shared" si="122"/>
        <v>0</v>
      </c>
      <c r="AV128" s="317">
        <f t="shared" si="123"/>
        <v>0</v>
      </c>
      <c r="AW128" s="317">
        <f t="shared" si="124"/>
        <v>0</v>
      </c>
      <c r="AX128" s="317">
        <f t="shared" si="125"/>
        <v>0</v>
      </c>
      <c r="AY128" s="317">
        <f t="shared" si="126"/>
        <v>0</v>
      </c>
      <c r="AZ128" s="317">
        <f t="shared" si="127"/>
        <v>0</v>
      </c>
      <c r="BA128" s="317">
        <f t="shared" si="128"/>
        <v>0</v>
      </c>
    </row>
    <row r="129" spans="1:53" s="314" customFormat="1" ht="16.5" customHeight="1">
      <c r="A129" s="63" t="str">
        <f t="array" ref="A129">IF(C129&lt;&gt;0,SUM(($C$11:C129&lt;&gt;0)*1),"")</f>
        <v/>
      </c>
      <c r="B129" s="315"/>
      <c r="C129" s="315"/>
      <c r="D129" s="315"/>
      <c r="E129" s="432"/>
      <c r="F129" s="371"/>
      <c r="G129" s="373"/>
      <c r="H129" s="373"/>
      <c r="I129" s="63" t="str">
        <f t="shared" si="90"/>
        <v/>
      </c>
      <c r="J129" s="317">
        <f t="shared" si="91"/>
        <v>0</v>
      </c>
      <c r="K129" s="317">
        <f t="shared" si="92"/>
        <v>0</v>
      </c>
      <c r="L129" s="317">
        <f t="shared" si="93"/>
        <v>0</v>
      </c>
      <c r="M129" s="317">
        <f t="shared" si="94"/>
        <v>0</v>
      </c>
      <c r="N129" s="317">
        <f t="shared" si="83"/>
        <v>0</v>
      </c>
      <c r="O129" s="317">
        <f t="shared" si="84"/>
        <v>0</v>
      </c>
      <c r="P129" s="317">
        <f t="shared" si="95"/>
        <v>0</v>
      </c>
      <c r="Q129" s="317">
        <f t="shared" si="96"/>
        <v>0</v>
      </c>
      <c r="R129" s="317">
        <f t="shared" si="97"/>
        <v>0</v>
      </c>
      <c r="S129" s="317">
        <f t="shared" si="98"/>
        <v>0</v>
      </c>
      <c r="T129" s="317">
        <f t="shared" si="85"/>
        <v>0</v>
      </c>
      <c r="U129" s="317">
        <f t="shared" si="86"/>
        <v>0</v>
      </c>
      <c r="V129" s="317">
        <f t="shared" si="99"/>
        <v>0</v>
      </c>
      <c r="W129" s="317">
        <f t="shared" si="100"/>
        <v>0</v>
      </c>
      <c r="X129" s="317">
        <f t="shared" si="101"/>
        <v>0</v>
      </c>
      <c r="Y129" s="317">
        <f t="shared" si="102"/>
        <v>0</v>
      </c>
      <c r="Z129" s="317">
        <f t="shared" si="103"/>
        <v>0</v>
      </c>
      <c r="AA129" s="317">
        <f t="shared" si="104"/>
        <v>0</v>
      </c>
      <c r="AB129" s="317">
        <f t="shared" si="105"/>
        <v>0</v>
      </c>
      <c r="AC129" s="317">
        <f t="shared" si="106"/>
        <v>0</v>
      </c>
      <c r="AD129" s="317">
        <f t="shared" si="107"/>
        <v>0</v>
      </c>
      <c r="AE129" s="317">
        <f t="shared" si="108"/>
        <v>0</v>
      </c>
      <c r="AF129" s="317">
        <f t="shared" si="87"/>
        <v>0</v>
      </c>
      <c r="AG129" s="317">
        <f t="shared" si="88"/>
        <v>0</v>
      </c>
      <c r="AH129" s="317">
        <f t="shared" si="109"/>
        <v>0</v>
      </c>
      <c r="AI129" s="317">
        <f t="shared" si="110"/>
        <v>0</v>
      </c>
      <c r="AJ129" s="317">
        <f t="shared" si="111"/>
        <v>0</v>
      </c>
      <c r="AK129" s="317">
        <f t="shared" si="112"/>
        <v>0</v>
      </c>
      <c r="AL129" s="317">
        <f t="shared" si="113"/>
        <v>0</v>
      </c>
      <c r="AM129" s="317">
        <f t="shared" si="114"/>
        <v>0</v>
      </c>
      <c r="AN129" s="317">
        <f t="shared" si="115"/>
        <v>0</v>
      </c>
      <c r="AO129" s="317">
        <f t="shared" si="116"/>
        <v>0</v>
      </c>
      <c r="AP129" s="317">
        <f t="shared" si="117"/>
        <v>0</v>
      </c>
      <c r="AQ129" s="317">
        <f t="shared" si="118"/>
        <v>0</v>
      </c>
      <c r="AR129" s="317">
        <f t="shared" si="119"/>
        <v>0</v>
      </c>
      <c r="AS129" s="317">
        <f t="shared" si="120"/>
        <v>0</v>
      </c>
      <c r="AT129" s="317">
        <f t="shared" si="121"/>
        <v>0</v>
      </c>
      <c r="AU129" s="317">
        <f t="shared" si="122"/>
        <v>0</v>
      </c>
      <c r="AV129" s="317">
        <f t="shared" si="123"/>
        <v>0</v>
      </c>
      <c r="AW129" s="317">
        <f t="shared" si="124"/>
        <v>0</v>
      </c>
      <c r="AX129" s="317">
        <f t="shared" si="125"/>
        <v>0</v>
      </c>
      <c r="AY129" s="317">
        <f t="shared" si="126"/>
        <v>0</v>
      </c>
      <c r="AZ129" s="317">
        <f t="shared" si="127"/>
        <v>0</v>
      </c>
      <c r="BA129" s="317">
        <f t="shared" si="128"/>
        <v>0</v>
      </c>
    </row>
    <row r="130" spans="1:53" s="314" customFormat="1" ht="16.5" customHeight="1">
      <c r="A130" s="63" t="str">
        <f t="array" ref="A130">IF(C130&lt;&gt;0,SUM(($C$11:C130&lt;&gt;0)*1),"")</f>
        <v/>
      </c>
      <c r="B130" s="315"/>
      <c r="C130" s="315"/>
      <c r="D130" s="315"/>
      <c r="E130" s="432"/>
      <c r="F130" s="371"/>
      <c r="G130" s="373"/>
      <c r="H130" s="373"/>
      <c r="I130" s="63" t="str">
        <f t="shared" si="90"/>
        <v/>
      </c>
      <c r="J130" s="317">
        <f t="shared" si="91"/>
        <v>0</v>
      </c>
      <c r="K130" s="317">
        <f t="shared" si="92"/>
        <v>0</v>
      </c>
      <c r="L130" s="317">
        <f t="shared" si="93"/>
        <v>0</v>
      </c>
      <c r="M130" s="317">
        <f t="shared" si="94"/>
        <v>0</v>
      </c>
      <c r="N130" s="317">
        <f t="shared" si="83"/>
        <v>0</v>
      </c>
      <c r="O130" s="317">
        <f t="shared" si="84"/>
        <v>0</v>
      </c>
      <c r="P130" s="317">
        <f t="shared" si="95"/>
        <v>0</v>
      </c>
      <c r="Q130" s="317">
        <f t="shared" si="96"/>
        <v>0</v>
      </c>
      <c r="R130" s="317">
        <f t="shared" si="97"/>
        <v>0</v>
      </c>
      <c r="S130" s="317">
        <f t="shared" si="98"/>
        <v>0</v>
      </c>
      <c r="T130" s="317">
        <f t="shared" si="85"/>
        <v>0</v>
      </c>
      <c r="U130" s="317">
        <f t="shared" si="86"/>
        <v>0</v>
      </c>
      <c r="V130" s="317">
        <f t="shared" si="99"/>
        <v>0</v>
      </c>
      <c r="W130" s="317">
        <f t="shared" si="100"/>
        <v>0</v>
      </c>
      <c r="X130" s="317">
        <f t="shared" si="101"/>
        <v>0</v>
      </c>
      <c r="Y130" s="317">
        <f t="shared" si="102"/>
        <v>0</v>
      </c>
      <c r="Z130" s="317">
        <f t="shared" si="103"/>
        <v>0</v>
      </c>
      <c r="AA130" s="317">
        <f t="shared" si="104"/>
        <v>0</v>
      </c>
      <c r="AB130" s="317">
        <f t="shared" si="105"/>
        <v>0</v>
      </c>
      <c r="AC130" s="317">
        <f t="shared" si="106"/>
        <v>0</v>
      </c>
      <c r="AD130" s="317">
        <f t="shared" si="107"/>
        <v>0</v>
      </c>
      <c r="AE130" s="317">
        <f t="shared" si="108"/>
        <v>0</v>
      </c>
      <c r="AF130" s="317">
        <f t="shared" si="87"/>
        <v>0</v>
      </c>
      <c r="AG130" s="317">
        <f t="shared" si="88"/>
        <v>0</v>
      </c>
      <c r="AH130" s="317">
        <f t="shared" si="109"/>
        <v>0</v>
      </c>
      <c r="AI130" s="317">
        <f t="shared" si="110"/>
        <v>0</v>
      </c>
      <c r="AJ130" s="317">
        <f t="shared" si="111"/>
        <v>0</v>
      </c>
      <c r="AK130" s="317">
        <f t="shared" si="112"/>
        <v>0</v>
      </c>
      <c r="AL130" s="317">
        <f t="shared" si="113"/>
        <v>0</v>
      </c>
      <c r="AM130" s="317">
        <f t="shared" si="114"/>
        <v>0</v>
      </c>
      <c r="AN130" s="317">
        <f t="shared" si="115"/>
        <v>0</v>
      </c>
      <c r="AO130" s="317">
        <f t="shared" si="116"/>
        <v>0</v>
      </c>
      <c r="AP130" s="317">
        <f t="shared" si="117"/>
        <v>0</v>
      </c>
      <c r="AQ130" s="317">
        <f t="shared" si="118"/>
        <v>0</v>
      </c>
      <c r="AR130" s="317">
        <f t="shared" si="119"/>
        <v>0</v>
      </c>
      <c r="AS130" s="317">
        <f t="shared" si="120"/>
        <v>0</v>
      </c>
      <c r="AT130" s="317">
        <f t="shared" si="121"/>
        <v>0</v>
      </c>
      <c r="AU130" s="317">
        <f t="shared" si="122"/>
        <v>0</v>
      </c>
      <c r="AV130" s="317">
        <f t="shared" si="123"/>
        <v>0</v>
      </c>
      <c r="AW130" s="317">
        <f t="shared" si="124"/>
        <v>0</v>
      </c>
      <c r="AX130" s="317">
        <f t="shared" si="125"/>
        <v>0</v>
      </c>
      <c r="AY130" s="317">
        <f t="shared" si="126"/>
        <v>0</v>
      </c>
      <c r="AZ130" s="317">
        <f t="shared" si="127"/>
        <v>0</v>
      </c>
      <c r="BA130" s="317">
        <f t="shared" si="128"/>
        <v>0</v>
      </c>
    </row>
    <row r="131" spans="1:53" s="314" customFormat="1" ht="16.5" customHeight="1">
      <c r="A131" s="63" t="str">
        <f t="array" ref="A131">IF(C131&lt;&gt;0,SUM(($C$11:C131&lt;&gt;0)*1),"")</f>
        <v/>
      </c>
      <c r="B131" s="315"/>
      <c r="C131" s="315"/>
      <c r="D131" s="315"/>
      <c r="E131" s="432"/>
      <c r="F131" s="371"/>
      <c r="G131" s="373"/>
      <c r="H131" s="373"/>
      <c r="I131" s="63" t="str">
        <f>A131</f>
        <v/>
      </c>
      <c r="J131" s="317">
        <f>IF($G131="1111",$F131,0)</f>
        <v>0</v>
      </c>
      <c r="K131" s="317">
        <f>IF($H131="1111",$F131,0)</f>
        <v>0</v>
      </c>
      <c r="L131" s="317">
        <f>IF($G131="1121",$F131,0)</f>
        <v>0</v>
      </c>
      <c r="M131" s="317">
        <f>IF($H131="1121",$F131,0)</f>
        <v>0</v>
      </c>
      <c r="N131" s="317">
        <f t="shared" si="83"/>
        <v>0</v>
      </c>
      <c r="O131" s="317">
        <f t="shared" si="84"/>
        <v>0</v>
      </c>
      <c r="P131" s="317">
        <f>IF($G131="1331",$F131,0)</f>
        <v>0</v>
      </c>
      <c r="Q131" s="317">
        <f>IF($H131="1331",$F131,0)</f>
        <v>0</v>
      </c>
      <c r="R131" s="317">
        <f>IF($G131="1388",$F131,0)</f>
        <v>0</v>
      </c>
      <c r="S131" s="317">
        <f>IF($H131="1388",$F131,0)</f>
        <v>0</v>
      </c>
      <c r="T131" s="317">
        <f t="shared" si="85"/>
        <v>0</v>
      </c>
      <c r="U131" s="317">
        <f t="shared" si="86"/>
        <v>0</v>
      </c>
      <c r="V131" s="317">
        <f>IF($G131="331",$F131,0)</f>
        <v>0</v>
      </c>
      <c r="W131" s="317">
        <f>IF($H131="331",$F131,0)</f>
        <v>0</v>
      </c>
      <c r="X131" s="317">
        <f>IF($G131="3334",$F131,0)</f>
        <v>0</v>
      </c>
      <c r="Y131" s="317">
        <f>IF($H131="3334",$F131,0)</f>
        <v>0</v>
      </c>
      <c r="Z131" s="317">
        <f>IF($G131="33382",$F131,0)</f>
        <v>0</v>
      </c>
      <c r="AA131" s="317">
        <f>IF($H131="33382",$F131,0)</f>
        <v>0</v>
      </c>
      <c r="AB131" s="317">
        <f>IF($G131="3388",$F131,0)</f>
        <v>0</v>
      </c>
      <c r="AC131" s="317">
        <f>IF($H131="3388",$F131,0)</f>
        <v>0</v>
      </c>
      <c r="AD131" s="317">
        <f>IF($G131="3411",$F131,0)</f>
        <v>0</v>
      </c>
      <c r="AE131" s="317">
        <f>IF($H131="3411",$F131,0)</f>
        <v>0</v>
      </c>
      <c r="AF131" s="317">
        <f t="shared" si="87"/>
        <v>0</v>
      </c>
      <c r="AG131" s="317">
        <f t="shared" si="88"/>
        <v>0</v>
      </c>
      <c r="AH131" s="317">
        <f>IF($G131="4111",$F131,0)</f>
        <v>0</v>
      </c>
      <c r="AI131" s="317">
        <f>IF($H131="4111",$F131,0)</f>
        <v>0</v>
      </c>
      <c r="AJ131" s="317">
        <f>IF($G131="4211",$F131,0)</f>
        <v>0</v>
      </c>
      <c r="AK131" s="317">
        <f>IF($H131="4211",$F131,0)</f>
        <v>0</v>
      </c>
      <c r="AL131" s="317">
        <f>IF($G131="4212",$F131,0)</f>
        <v>0</v>
      </c>
      <c r="AM131" s="317">
        <f>IF($H131="4212",$F131,0)</f>
        <v>0</v>
      </c>
      <c r="AN131" s="317">
        <f>IF($G131="515",$F131,0)</f>
        <v>0</v>
      </c>
      <c r="AO131" s="317">
        <f>IF($H131="515",$F131,0)</f>
        <v>0</v>
      </c>
      <c r="AP131" s="317">
        <f>IF($G131="635",$F131,0)</f>
        <v>0</v>
      </c>
      <c r="AQ131" s="317">
        <f>IF($H131="635",$F131,0)</f>
        <v>0</v>
      </c>
      <c r="AR131" s="317">
        <f>IF($G131="642",$F131,0)</f>
        <v>0</v>
      </c>
      <c r="AS131" s="317">
        <f>IF($H131="642",$F131,0)</f>
        <v>0</v>
      </c>
      <c r="AT131" s="317">
        <f>IF($G131="711",$F131,0)</f>
        <v>0</v>
      </c>
      <c r="AU131" s="317">
        <f>IF($H131="711",$F131,0)</f>
        <v>0</v>
      </c>
      <c r="AV131" s="317">
        <f>IF($G131="811",$F131,0)</f>
        <v>0</v>
      </c>
      <c r="AW131" s="317">
        <f>IF($H131="811",$F131,0)</f>
        <v>0</v>
      </c>
      <c r="AX131" s="317">
        <f>IF($G131="821",$F131,0)</f>
        <v>0</v>
      </c>
      <c r="AY131" s="317">
        <f>IF($H131="821",$F131,0)</f>
        <v>0</v>
      </c>
      <c r="AZ131" s="317">
        <f>IF($G131="911",$F131,0)</f>
        <v>0</v>
      </c>
      <c r="BA131" s="317">
        <f>IF($H131="911",$F131,0)</f>
        <v>0</v>
      </c>
    </row>
    <row r="132" spans="1:53" s="314" customFormat="1" ht="16.5" customHeight="1">
      <c r="A132" s="63" t="str">
        <f t="array" ref="A132">IF(C132&lt;&gt;0,SUM(($C$11:C132&lt;&gt;0)*1),"")</f>
        <v/>
      </c>
      <c r="B132" s="315"/>
      <c r="C132" s="315"/>
      <c r="D132" s="315"/>
      <c r="E132" s="432"/>
      <c r="F132" s="371"/>
      <c r="G132" s="373"/>
      <c r="H132" s="373"/>
      <c r="I132" s="63" t="str">
        <f>A132</f>
        <v/>
      </c>
      <c r="J132" s="317">
        <f>IF($G132="1111",$F132,0)</f>
        <v>0</v>
      </c>
      <c r="K132" s="317">
        <f>IF($H132="1111",$F132,0)</f>
        <v>0</v>
      </c>
      <c r="L132" s="317">
        <f>IF($G132="1121",$F132,0)</f>
        <v>0</v>
      </c>
      <c r="M132" s="317">
        <f>IF($H132="1121",$F132,0)</f>
        <v>0</v>
      </c>
      <c r="N132" s="317">
        <f t="shared" si="83"/>
        <v>0</v>
      </c>
      <c r="O132" s="317">
        <f t="shared" si="84"/>
        <v>0</v>
      </c>
      <c r="P132" s="317">
        <f>IF($G132="1331",$F132,0)</f>
        <v>0</v>
      </c>
      <c r="Q132" s="317">
        <f>IF($H132="1331",$F132,0)</f>
        <v>0</v>
      </c>
      <c r="R132" s="317">
        <f>IF($G132="1388",$F132,0)</f>
        <v>0</v>
      </c>
      <c r="S132" s="317">
        <f>IF($H132="1388",$F132,0)</f>
        <v>0</v>
      </c>
      <c r="T132" s="317">
        <f t="shared" si="85"/>
        <v>0</v>
      </c>
      <c r="U132" s="317">
        <f t="shared" si="86"/>
        <v>0</v>
      </c>
      <c r="V132" s="317">
        <f>IF($G132="331",$F132,0)</f>
        <v>0</v>
      </c>
      <c r="W132" s="317">
        <f>IF($H132="331",$F132,0)</f>
        <v>0</v>
      </c>
      <c r="X132" s="317">
        <f>IF($G132="3334",$F132,0)</f>
        <v>0</v>
      </c>
      <c r="Y132" s="317">
        <f>IF($H132="3334",$F132,0)</f>
        <v>0</v>
      </c>
      <c r="Z132" s="317">
        <f>IF($G132="33382",$F132,0)</f>
        <v>0</v>
      </c>
      <c r="AA132" s="317">
        <f>IF($H132="33382",$F132,0)</f>
        <v>0</v>
      </c>
      <c r="AB132" s="317">
        <f>IF($G132="3388",$F132,0)</f>
        <v>0</v>
      </c>
      <c r="AC132" s="317">
        <f>IF($H132="3388",$F132,0)</f>
        <v>0</v>
      </c>
      <c r="AD132" s="317">
        <f>IF($G132="3411",$F132,0)</f>
        <v>0</v>
      </c>
      <c r="AE132" s="317">
        <f>IF($H132="3411",$F132,0)</f>
        <v>0</v>
      </c>
      <c r="AF132" s="317">
        <f t="shared" si="87"/>
        <v>0</v>
      </c>
      <c r="AG132" s="317">
        <f t="shared" si="88"/>
        <v>0</v>
      </c>
      <c r="AH132" s="317">
        <f>IF($G132="4111",$F132,0)</f>
        <v>0</v>
      </c>
      <c r="AI132" s="317">
        <f>IF($H132="4111",$F132,0)</f>
        <v>0</v>
      </c>
      <c r="AJ132" s="317">
        <f>IF($G132="4211",$F132,0)</f>
        <v>0</v>
      </c>
      <c r="AK132" s="317">
        <f>IF($H132="4211",$F132,0)</f>
        <v>0</v>
      </c>
      <c r="AL132" s="317">
        <f>IF($G132="4212",$F132,0)</f>
        <v>0</v>
      </c>
      <c r="AM132" s="317">
        <f>IF($H132="4212",$F132,0)</f>
        <v>0</v>
      </c>
      <c r="AN132" s="317">
        <f>IF($G132="515",$F132,0)</f>
        <v>0</v>
      </c>
      <c r="AO132" s="317">
        <f>IF($H132="515",$F132,0)</f>
        <v>0</v>
      </c>
      <c r="AP132" s="317">
        <f>IF($G132="635",$F132,0)</f>
        <v>0</v>
      </c>
      <c r="AQ132" s="317">
        <f>IF($H132="635",$F132,0)</f>
        <v>0</v>
      </c>
      <c r="AR132" s="317">
        <f>IF($G132="642",$F132,0)</f>
        <v>0</v>
      </c>
      <c r="AS132" s="317">
        <f>IF($H132="642",$F132,0)</f>
        <v>0</v>
      </c>
      <c r="AT132" s="317">
        <f>IF($G132="711",$F132,0)</f>
        <v>0</v>
      </c>
      <c r="AU132" s="317">
        <f>IF($H132="711",$F132,0)</f>
        <v>0</v>
      </c>
      <c r="AV132" s="317">
        <f>IF($G132="811",$F132,0)</f>
        <v>0</v>
      </c>
      <c r="AW132" s="317">
        <f>IF($H132="811",$F132,0)</f>
        <v>0</v>
      </c>
      <c r="AX132" s="317">
        <f>IF($G132="821",$F132,0)</f>
        <v>0</v>
      </c>
      <c r="AY132" s="317">
        <f>IF($H132="821",$F132,0)</f>
        <v>0</v>
      </c>
      <c r="AZ132" s="317">
        <f>IF($G132="911",$F132,0)</f>
        <v>0</v>
      </c>
      <c r="BA132" s="317">
        <f>IF($H132="911",$F132,0)</f>
        <v>0</v>
      </c>
    </row>
    <row r="133" spans="1:53" s="314" customFormat="1" ht="16.5" customHeight="1">
      <c r="A133" s="63" t="str">
        <f t="array" ref="A133">IF(C133&lt;&gt;0,SUM(($C$11:C133&lt;&gt;0)*1),"")</f>
        <v/>
      </c>
      <c r="B133" s="315"/>
      <c r="C133" s="315"/>
      <c r="D133" s="315"/>
      <c r="E133" s="432"/>
      <c r="F133" s="371"/>
      <c r="G133" s="373"/>
      <c r="H133" s="373"/>
      <c r="I133" s="63" t="str">
        <f>A133</f>
        <v/>
      </c>
      <c r="J133" s="317">
        <f>IF($G133="1111",$F133,0)</f>
        <v>0</v>
      </c>
      <c r="K133" s="317">
        <f>IF($H133="1111",$F133,0)</f>
        <v>0</v>
      </c>
      <c r="L133" s="317">
        <f>IF($G133="1121",$F133,0)</f>
        <v>0</v>
      </c>
      <c r="M133" s="317">
        <f>IF($H133="1121",$F133,0)</f>
        <v>0</v>
      </c>
      <c r="N133" s="317">
        <f t="shared" si="83"/>
        <v>0</v>
      </c>
      <c r="O133" s="317">
        <f t="shared" si="84"/>
        <v>0</v>
      </c>
      <c r="P133" s="317">
        <f>IF($G133="1331",$F133,0)</f>
        <v>0</v>
      </c>
      <c r="Q133" s="317">
        <f>IF($H133="1331",$F133,0)</f>
        <v>0</v>
      </c>
      <c r="R133" s="317">
        <f>IF($G133="1388",$F133,0)</f>
        <v>0</v>
      </c>
      <c r="S133" s="317">
        <f>IF($H133="1388",$F133,0)</f>
        <v>0</v>
      </c>
      <c r="T133" s="317">
        <f t="shared" si="85"/>
        <v>0</v>
      </c>
      <c r="U133" s="317">
        <f t="shared" si="86"/>
        <v>0</v>
      </c>
      <c r="V133" s="317">
        <f>IF($G133="331",$F133,0)</f>
        <v>0</v>
      </c>
      <c r="W133" s="317">
        <f>IF($H133="331",$F133,0)</f>
        <v>0</v>
      </c>
      <c r="X133" s="317">
        <f>IF($G133="3334",$F133,0)</f>
        <v>0</v>
      </c>
      <c r="Y133" s="317">
        <f>IF($H133="3334",$F133,0)</f>
        <v>0</v>
      </c>
      <c r="Z133" s="317">
        <f>IF($G133="33382",$F133,0)</f>
        <v>0</v>
      </c>
      <c r="AA133" s="317">
        <f>IF($H133="33382",$F133,0)</f>
        <v>0</v>
      </c>
      <c r="AB133" s="317">
        <f>IF($G133="3388",$F133,0)</f>
        <v>0</v>
      </c>
      <c r="AC133" s="317">
        <f>IF($H133="3388",$F133,0)</f>
        <v>0</v>
      </c>
      <c r="AD133" s="317">
        <f>IF($G133="3411",$F133,0)</f>
        <v>0</v>
      </c>
      <c r="AE133" s="317">
        <f>IF($H133="3411",$F133,0)</f>
        <v>0</v>
      </c>
      <c r="AF133" s="317">
        <f t="shared" si="87"/>
        <v>0</v>
      </c>
      <c r="AG133" s="317">
        <f t="shared" si="88"/>
        <v>0</v>
      </c>
      <c r="AH133" s="317">
        <f>IF($G133="4111",$F133,0)</f>
        <v>0</v>
      </c>
      <c r="AI133" s="317">
        <f>IF($H133="4111",$F133,0)</f>
        <v>0</v>
      </c>
      <c r="AJ133" s="317">
        <f>IF($G133="4211",$F133,0)</f>
        <v>0</v>
      </c>
      <c r="AK133" s="317">
        <f>IF($H133="4211",$F133,0)</f>
        <v>0</v>
      </c>
      <c r="AL133" s="317">
        <f>IF($G133="4212",$F133,0)</f>
        <v>0</v>
      </c>
      <c r="AM133" s="317">
        <f>IF($H133="4212",$F133,0)</f>
        <v>0</v>
      </c>
      <c r="AN133" s="317">
        <f>IF($G133="515",$F133,0)</f>
        <v>0</v>
      </c>
      <c r="AO133" s="317">
        <f>IF($H133="515",$F133,0)</f>
        <v>0</v>
      </c>
      <c r="AP133" s="317">
        <f>IF($G133="635",$F133,0)</f>
        <v>0</v>
      </c>
      <c r="AQ133" s="317">
        <f>IF($H133="635",$F133,0)</f>
        <v>0</v>
      </c>
      <c r="AR133" s="317">
        <f>IF($G133="642",$F133,0)</f>
        <v>0</v>
      </c>
      <c r="AS133" s="317">
        <f>IF($H133="642",$F133,0)</f>
        <v>0</v>
      </c>
      <c r="AT133" s="317">
        <f>IF($G133="711",$F133,0)</f>
        <v>0</v>
      </c>
      <c r="AU133" s="317">
        <f>IF($H133="711",$F133,0)</f>
        <v>0</v>
      </c>
      <c r="AV133" s="317">
        <f>IF($G133="811",$F133,0)</f>
        <v>0</v>
      </c>
      <c r="AW133" s="317">
        <f>IF($H133="811",$F133,0)</f>
        <v>0</v>
      </c>
      <c r="AX133" s="317">
        <f>IF($G133="821",$F133,0)</f>
        <v>0</v>
      </c>
      <c r="AY133" s="317">
        <f>IF($H133="821",$F133,0)</f>
        <v>0</v>
      </c>
      <c r="AZ133" s="317">
        <f>IF($G133="911",$F133,0)</f>
        <v>0</v>
      </c>
      <c r="BA133" s="317">
        <f>IF($H133="911",$F133,0)</f>
        <v>0</v>
      </c>
    </row>
    <row r="134" spans="1:53" s="314" customFormat="1" ht="16.5" customHeight="1">
      <c r="A134" s="63" t="str">
        <f t="array" ref="A134">IF(C134&lt;&gt;0,SUM(($C$11:C134&lt;&gt;0)*1),"")</f>
        <v/>
      </c>
      <c r="B134" s="315"/>
      <c r="C134" s="315"/>
      <c r="D134" s="315"/>
      <c r="E134" s="432"/>
      <c r="F134" s="371"/>
      <c r="G134" s="373"/>
      <c r="H134" s="373"/>
      <c r="I134" s="63" t="str">
        <f>A134</f>
        <v/>
      </c>
      <c r="J134" s="317">
        <f>IF($G134="1111",$F134,0)</f>
        <v>0</v>
      </c>
      <c r="K134" s="317">
        <f>IF($H134="1111",$F134,0)</f>
        <v>0</v>
      </c>
      <c r="L134" s="317">
        <f>IF($G134="1121",$F134,0)</f>
        <v>0</v>
      </c>
      <c r="M134" s="317">
        <f>IF($H134="1121",$F134,0)</f>
        <v>0</v>
      </c>
      <c r="N134" s="317">
        <f t="shared" si="83"/>
        <v>0</v>
      </c>
      <c r="O134" s="317">
        <f t="shared" si="84"/>
        <v>0</v>
      </c>
      <c r="P134" s="317">
        <f>IF($G134="1331",$F134,0)</f>
        <v>0</v>
      </c>
      <c r="Q134" s="317">
        <f>IF($H134="1331",$F134,0)</f>
        <v>0</v>
      </c>
      <c r="R134" s="317">
        <f>IF($G134="1388",$F134,0)</f>
        <v>0</v>
      </c>
      <c r="S134" s="317">
        <f>IF($H134="1388",$F134,0)</f>
        <v>0</v>
      </c>
      <c r="T134" s="317">
        <f t="shared" si="85"/>
        <v>0</v>
      </c>
      <c r="U134" s="317">
        <f t="shared" si="86"/>
        <v>0</v>
      </c>
      <c r="V134" s="317">
        <f>IF($G134="331",$F134,0)</f>
        <v>0</v>
      </c>
      <c r="W134" s="317">
        <f>IF($H134="331",$F134,0)</f>
        <v>0</v>
      </c>
      <c r="X134" s="317">
        <f>IF($G134="3334",$F134,0)</f>
        <v>0</v>
      </c>
      <c r="Y134" s="317">
        <f>IF($H134="3334",$F134,0)</f>
        <v>0</v>
      </c>
      <c r="Z134" s="317">
        <f>IF($G134="33382",$F134,0)</f>
        <v>0</v>
      </c>
      <c r="AA134" s="317">
        <f>IF($H134="33382",$F134,0)</f>
        <v>0</v>
      </c>
      <c r="AB134" s="317">
        <f>IF($G134="3388",$F134,0)</f>
        <v>0</v>
      </c>
      <c r="AC134" s="317">
        <f>IF($H134="3388",$F134,0)</f>
        <v>0</v>
      </c>
      <c r="AD134" s="317">
        <f>IF($G134="3411",$F134,0)</f>
        <v>0</v>
      </c>
      <c r="AE134" s="317">
        <f>IF($H134="3411",$F134,0)</f>
        <v>0</v>
      </c>
      <c r="AF134" s="317">
        <f t="shared" si="87"/>
        <v>0</v>
      </c>
      <c r="AG134" s="317">
        <f t="shared" si="88"/>
        <v>0</v>
      </c>
      <c r="AH134" s="317">
        <f>IF($G134="4111",$F134,0)</f>
        <v>0</v>
      </c>
      <c r="AI134" s="317">
        <f>IF($H134="4111",$F134,0)</f>
        <v>0</v>
      </c>
      <c r="AJ134" s="317">
        <f>IF($G134="4211",$F134,0)</f>
        <v>0</v>
      </c>
      <c r="AK134" s="317">
        <f>IF($H134="4211",$F134,0)</f>
        <v>0</v>
      </c>
      <c r="AL134" s="317">
        <f>IF($G134="4212",$F134,0)</f>
        <v>0</v>
      </c>
      <c r="AM134" s="317">
        <f>IF($H134="4212",$F134,0)</f>
        <v>0</v>
      </c>
      <c r="AN134" s="317">
        <f>IF($G134="515",$F134,0)</f>
        <v>0</v>
      </c>
      <c r="AO134" s="317">
        <f>IF($H134="515",$F134,0)</f>
        <v>0</v>
      </c>
      <c r="AP134" s="317">
        <f>IF($G134="635",$F134,0)</f>
        <v>0</v>
      </c>
      <c r="AQ134" s="317">
        <f>IF($H134="635",$F134,0)</f>
        <v>0</v>
      </c>
      <c r="AR134" s="317">
        <f>IF($G134="642",$F134,0)</f>
        <v>0</v>
      </c>
      <c r="AS134" s="317">
        <f>IF($H134="642",$F134,0)</f>
        <v>0</v>
      </c>
      <c r="AT134" s="317">
        <f>IF($G134="711",$F134,0)</f>
        <v>0</v>
      </c>
      <c r="AU134" s="317">
        <f>IF($H134="711",$F134,0)</f>
        <v>0</v>
      </c>
      <c r="AV134" s="317">
        <f>IF($G134="811",$F134,0)</f>
        <v>0</v>
      </c>
      <c r="AW134" s="317">
        <f>IF($H134="811",$F134,0)</f>
        <v>0</v>
      </c>
      <c r="AX134" s="317">
        <f>IF($G134="821",$F134,0)</f>
        <v>0</v>
      </c>
      <c r="AY134" s="317">
        <f>IF($H134="821",$F134,0)</f>
        <v>0</v>
      </c>
      <c r="AZ134" s="317">
        <f>IF($G134="911",$F134,0)</f>
        <v>0</v>
      </c>
      <c r="BA134" s="317">
        <f>IF($H134="911",$F134,0)</f>
        <v>0</v>
      </c>
    </row>
    <row r="135" spans="1:53" s="314" customFormat="1" ht="16.5" customHeight="1">
      <c r="A135" s="63" t="str">
        <f t="array" ref="A135">IF(C135&lt;&gt;0,SUM(($C$11:C135&lt;&gt;0)*1),"")</f>
        <v/>
      </c>
      <c r="B135" s="315"/>
      <c r="C135" s="315"/>
      <c r="D135" s="315"/>
      <c r="E135" s="432"/>
      <c r="F135" s="371"/>
      <c r="G135" s="373"/>
      <c r="H135" s="373"/>
      <c r="I135" s="63" t="str">
        <f t="shared" ref="I135:I206" si="129">A135</f>
        <v/>
      </c>
      <c r="J135" s="317">
        <f t="shared" ref="J135:J206" si="130">IF($G135="1111",$F135,0)</f>
        <v>0</v>
      </c>
      <c r="K135" s="317">
        <f t="shared" ref="K135:K206" si="131">IF($H135="1111",$F135,0)</f>
        <v>0</v>
      </c>
      <c r="L135" s="317">
        <f t="shared" ref="L135:L207" si="132">IF($G135="1121",$F135,0)</f>
        <v>0</v>
      </c>
      <c r="M135" s="317">
        <f t="shared" ref="M135:M207" si="133">IF($H135="1121",$F135,0)</f>
        <v>0</v>
      </c>
      <c r="N135" s="317">
        <f t="shared" si="83"/>
        <v>0</v>
      </c>
      <c r="O135" s="317">
        <f t="shared" si="84"/>
        <v>0</v>
      </c>
      <c r="P135" s="317">
        <f t="shared" ref="P135:P207" si="134">IF($G135="1331",$F135,0)</f>
        <v>0</v>
      </c>
      <c r="Q135" s="317">
        <f t="shared" ref="Q135:Q207" si="135">IF($H135="1331",$F135,0)</f>
        <v>0</v>
      </c>
      <c r="R135" s="317">
        <f t="shared" ref="R135:R207" si="136">IF($G135="1388",$F135,0)</f>
        <v>0</v>
      </c>
      <c r="S135" s="317">
        <f t="shared" ref="S135:S207" si="137">IF($H135="1388",$F135,0)</f>
        <v>0</v>
      </c>
      <c r="T135" s="317">
        <f t="shared" si="85"/>
        <v>0</v>
      </c>
      <c r="U135" s="317">
        <f t="shared" si="86"/>
        <v>0</v>
      </c>
      <c r="V135" s="317">
        <f t="shared" ref="V135:V207" si="138">IF($G135="331",$F135,0)</f>
        <v>0</v>
      </c>
      <c r="W135" s="317">
        <f t="shared" ref="W135:W207" si="139">IF($H135="331",$F135,0)</f>
        <v>0</v>
      </c>
      <c r="X135" s="317">
        <f t="shared" ref="X135:X207" si="140">IF($G135="3334",$F135,0)</f>
        <v>0</v>
      </c>
      <c r="Y135" s="317">
        <f t="shared" ref="Y135:Y207" si="141">IF($H135="3334",$F135,0)</f>
        <v>0</v>
      </c>
      <c r="Z135" s="317">
        <f t="shared" ref="Z135:Z206" si="142">IF($G135="33382",$F135,0)</f>
        <v>0</v>
      </c>
      <c r="AA135" s="317">
        <f t="shared" ref="AA135:AA206" si="143">IF($H135="33382",$F135,0)</f>
        <v>0</v>
      </c>
      <c r="AB135" s="317">
        <f t="shared" ref="AB135:AB207" si="144">IF($G135="3388",$F135,0)</f>
        <v>0</v>
      </c>
      <c r="AC135" s="317">
        <f t="shared" ref="AC135:AC207" si="145">IF($H135="3388",$F135,0)</f>
        <v>0</v>
      </c>
      <c r="AD135" s="317">
        <f t="shared" ref="AD135:AD206" si="146">IF($G135="3411",$F135,0)</f>
        <v>0</v>
      </c>
      <c r="AE135" s="317">
        <f t="shared" ref="AE135:AE206" si="147">IF($H135="3411",$F135,0)</f>
        <v>0</v>
      </c>
      <c r="AF135" s="317">
        <f t="shared" si="87"/>
        <v>0</v>
      </c>
      <c r="AG135" s="317">
        <f t="shared" si="88"/>
        <v>0</v>
      </c>
      <c r="AH135" s="317">
        <f t="shared" ref="AH135:AH207" si="148">IF($G135="4111",$F135,0)</f>
        <v>0</v>
      </c>
      <c r="AI135" s="317">
        <f t="shared" ref="AI135:AI207" si="149">IF($H135="4111",$F135,0)</f>
        <v>0</v>
      </c>
      <c r="AJ135" s="317">
        <f t="shared" ref="AJ135:AJ207" si="150">IF($G135="4211",$F135,0)</f>
        <v>0</v>
      </c>
      <c r="AK135" s="317">
        <f t="shared" ref="AK135:AK207" si="151">IF($H135="4211",$F135,0)</f>
        <v>0</v>
      </c>
      <c r="AL135" s="317">
        <f t="shared" ref="AL135:AL207" si="152">IF($G135="4212",$F135,0)</f>
        <v>0</v>
      </c>
      <c r="AM135" s="317">
        <f t="shared" ref="AM135:AM207" si="153">IF($H135="4212",$F135,0)</f>
        <v>0</v>
      </c>
      <c r="AN135" s="317">
        <f t="shared" ref="AN135:AN207" si="154">IF($G135="515",$F135,0)</f>
        <v>0</v>
      </c>
      <c r="AO135" s="317">
        <f t="shared" ref="AO135:AO207" si="155">IF($H135="515",$F135,0)</f>
        <v>0</v>
      </c>
      <c r="AP135" s="317">
        <f t="shared" ref="AP135:AP207" si="156">IF($G135="635",$F135,0)</f>
        <v>0</v>
      </c>
      <c r="AQ135" s="317">
        <f t="shared" ref="AQ135:AQ207" si="157">IF($H135="635",$F135,0)</f>
        <v>0</v>
      </c>
      <c r="AR135" s="317">
        <f t="shared" ref="AR135:AR206" si="158">IF($G135="642",$F135,0)</f>
        <v>0</v>
      </c>
      <c r="AS135" s="317">
        <f t="shared" ref="AS135:AS206" si="159">IF($H135="642",$F135,0)</f>
        <v>0</v>
      </c>
      <c r="AT135" s="317">
        <f t="shared" ref="AT135:AT207" si="160">IF($G135="711",$F135,0)</f>
        <v>0</v>
      </c>
      <c r="AU135" s="317">
        <f t="shared" ref="AU135:AU207" si="161">IF($H135="711",$F135,0)</f>
        <v>0</v>
      </c>
      <c r="AV135" s="317">
        <f t="shared" ref="AV135:AV207" si="162">IF($G135="811",$F135,0)</f>
        <v>0</v>
      </c>
      <c r="AW135" s="317">
        <f t="shared" ref="AW135:AW207" si="163">IF($H135="811",$F135,0)</f>
        <v>0</v>
      </c>
      <c r="AX135" s="317">
        <f t="shared" ref="AX135:AX206" si="164">IF($G135="821",$F135,0)</f>
        <v>0</v>
      </c>
      <c r="AY135" s="317">
        <f t="shared" ref="AY135:AY206" si="165">IF($H135="821",$F135,0)</f>
        <v>0</v>
      </c>
      <c r="AZ135" s="317">
        <f t="shared" ref="AZ135:AZ206" si="166">IF($G135="911",$F135,0)</f>
        <v>0</v>
      </c>
      <c r="BA135" s="317">
        <f t="shared" ref="BA135:BA206" si="167">IF($H135="911",$F135,0)</f>
        <v>0</v>
      </c>
    </row>
    <row r="136" spans="1:53" s="314" customFormat="1" ht="16.5" customHeight="1">
      <c r="A136" s="63" t="str">
        <f t="array" ref="A136">IF(C136&lt;&gt;0,SUM(($C$11:C136&lt;&gt;0)*1),"")</f>
        <v/>
      </c>
      <c r="B136" s="315"/>
      <c r="C136" s="315"/>
      <c r="D136" s="315"/>
      <c r="E136" s="432"/>
      <c r="F136" s="371"/>
      <c r="G136" s="373"/>
      <c r="H136" s="373"/>
      <c r="I136" s="63" t="str">
        <f t="shared" si="129"/>
        <v/>
      </c>
      <c r="J136" s="317">
        <f t="shared" si="130"/>
        <v>0</v>
      </c>
      <c r="K136" s="317">
        <f t="shared" si="131"/>
        <v>0</v>
      </c>
      <c r="L136" s="317">
        <f t="shared" si="132"/>
        <v>0</v>
      </c>
      <c r="M136" s="317">
        <f t="shared" si="133"/>
        <v>0</v>
      </c>
      <c r="N136" s="317">
        <f t="shared" si="83"/>
        <v>0</v>
      </c>
      <c r="O136" s="317">
        <f t="shared" si="84"/>
        <v>0</v>
      </c>
      <c r="P136" s="317">
        <f t="shared" si="134"/>
        <v>0</v>
      </c>
      <c r="Q136" s="317">
        <f t="shared" si="135"/>
        <v>0</v>
      </c>
      <c r="R136" s="317">
        <f t="shared" si="136"/>
        <v>0</v>
      </c>
      <c r="S136" s="317">
        <f t="shared" si="137"/>
        <v>0</v>
      </c>
      <c r="T136" s="317">
        <f t="shared" si="85"/>
        <v>0</v>
      </c>
      <c r="U136" s="317">
        <f t="shared" si="86"/>
        <v>0</v>
      </c>
      <c r="V136" s="317">
        <f t="shared" si="138"/>
        <v>0</v>
      </c>
      <c r="W136" s="317">
        <f t="shared" si="139"/>
        <v>0</v>
      </c>
      <c r="X136" s="317">
        <f t="shared" si="140"/>
        <v>0</v>
      </c>
      <c r="Y136" s="317">
        <f t="shared" si="141"/>
        <v>0</v>
      </c>
      <c r="Z136" s="317">
        <f t="shared" si="142"/>
        <v>0</v>
      </c>
      <c r="AA136" s="317">
        <f t="shared" si="143"/>
        <v>0</v>
      </c>
      <c r="AB136" s="317">
        <f t="shared" si="144"/>
        <v>0</v>
      </c>
      <c r="AC136" s="317">
        <f t="shared" si="145"/>
        <v>0</v>
      </c>
      <c r="AD136" s="317">
        <f t="shared" si="146"/>
        <v>0</v>
      </c>
      <c r="AE136" s="317">
        <f t="shared" si="147"/>
        <v>0</v>
      </c>
      <c r="AF136" s="317">
        <f t="shared" si="87"/>
        <v>0</v>
      </c>
      <c r="AG136" s="317">
        <f t="shared" si="88"/>
        <v>0</v>
      </c>
      <c r="AH136" s="317">
        <f t="shared" si="148"/>
        <v>0</v>
      </c>
      <c r="AI136" s="317">
        <f t="shared" si="149"/>
        <v>0</v>
      </c>
      <c r="AJ136" s="317">
        <f t="shared" si="150"/>
        <v>0</v>
      </c>
      <c r="AK136" s="317">
        <f t="shared" si="151"/>
        <v>0</v>
      </c>
      <c r="AL136" s="317">
        <f t="shared" si="152"/>
        <v>0</v>
      </c>
      <c r="AM136" s="317">
        <f t="shared" si="153"/>
        <v>0</v>
      </c>
      <c r="AN136" s="317">
        <f t="shared" si="154"/>
        <v>0</v>
      </c>
      <c r="AO136" s="317">
        <f t="shared" si="155"/>
        <v>0</v>
      </c>
      <c r="AP136" s="317">
        <f t="shared" si="156"/>
        <v>0</v>
      </c>
      <c r="AQ136" s="317">
        <f t="shared" si="157"/>
        <v>0</v>
      </c>
      <c r="AR136" s="317">
        <f t="shared" si="158"/>
        <v>0</v>
      </c>
      <c r="AS136" s="317">
        <f t="shared" si="159"/>
        <v>0</v>
      </c>
      <c r="AT136" s="317">
        <f t="shared" si="160"/>
        <v>0</v>
      </c>
      <c r="AU136" s="317">
        <f t="shared" si="161"/>
        <v>0</v>
      </c>
      <c r="AV136" s="317">
        <f t="shared" si="162"/>
        <v>0</v>
      </c>
      <c r="AW136" s="317">
        <f t="shared" si="163"/>
        <v>0</v>
      </c>
      <c r="AX136" s="317">
        <f t="shared" si="164"/>
        <v>0</v>
      </c>
      <c r="AY136" s="317">
        <f t="shared" si="165"/>
        <v>0</v>
      </c>
      <c r="AZ136" s="317">
        <f t="shared" si="166"/>
        <v>0</v>
      </c>
      <c r="BA136" s="317">
        <f t="shared" si="167"/>
        <v>0</v>
      </c>
    </row>
    <row r="137" spans="1:53" s="314" customFormat="1" ht="16.5" customHeight="1">
      <c r="A137" s="63" t="str">
        <f t="array" ref="A137">IF(C137&lt;&gt;0,SUM(($C$11:C137&lt;&gt;0)*1),"")</f>
        <v/>
      </c>
      <c r="B137" s="315"/>
      <c r="C137" s="315"/>
      <c r="D137" s="315"/>
      <c r="E137" s="432"/>
      <c r="F137" s="371"/>
      <c r="G137" s="373"/>
      <c r="H137" s="373"/>
      <c r="I137" s="63" t="str">
        <f t="shared" si="129"/>
        <v/>
      </c>
      <c r="J137" s="317">
        <f t="shared" si="130"/>
        <v>0</v>
      </c>
      <c r="K137" s="317">
        <f t="shared" si="131"/>
        <v>0</v>
      </c>
      <c r="L137" s="317">
        <f t="shared" si="132"/>
        <v>0</v>
      </c>
      <c r="M137" s="317">
        <f t="shared" si="133"/>
        <v>0</v>
      </c>
      <c r="N137" s="317">
        <f t="shared" si="83"/>
        <v>0</v>
      </c>
      <c r="O137" s="317">
        <f t="shared" si="84"/>
        <v>0</v>
      </c>
      <c r="P137" s="317">
        <f t="shared" si="134"/>
        <v>0</v>
      </c>
      <c r="Q137" s="317">
        <f t="shared" si="135"/>
        <v>0</v>
      </c>
      <c r="R137" s="317">
        <f t="shared" si="136"/>
        <v>0</v>
      </c>
      <c r="S137" s="317">
        <f t="shared" si="137"/>
        <v>0</v>
      </c>
      <c r="T137" s="317">
        <f t="shared" si="85"/>
        <v>0</v>
      </c>
      <c r="U137" s="317">
        <f t="shared" si="86"/>
        <v>0</v>
      </c>
      <c r="V137" s="317">
        <f t="shared" si="138"/>
        <v>0</v>
      </c>
      <c r="W137" s="317">
        <f t="shared" si="139"/>
        <v>0</v>
      </c>
      <c r="X137" s="317">
        <f t="shared" si="140"/>
        <v>0</v>
      </c>
      <c r="Y137" s="317">
        <f t="shared" si="141"/>
        <v>0</v>
      </c>
      <c r="Z137" s="317">
        <f t="shared" si="142"/>
        <v>0</v>
      </c>
      <c r="AA137" s="317">
        <f t="shared" si="143"/>
        <v>0</v>
      </c>
      <c r="AB137" s="317">
        <f t="shared" si="144"/>
        <v>0</v>
      </c>
      <c r="AC137" s="317">
        <f t="shared" si="145"/>
        <v>0</v>
      </c>
      <c r="AD137" s="317">
        <f t="shared" si="146"/>
        <v>0</v>
      </c>
      <c r="AE137" s="317">
        <f t="shared" si="147"/>
        <v>0</v>
      </c>
      <c r="AF137" s="317">
        <f t="shared" si="87"/>
        <v>0</v>
      </c>
      <c r="AG137" s="317">
        <f t="shared" si="88"/>
        <v>0</v>
      </c>
      <c r="AH137" s="317">
        <f t="shared" si="148"/>
        <v>0</v>
      </c>
      <c r="AI137" s="317">
        <f t="shared" si="149"/>
        <v>0</v>
      </c>
      <c r="AJ137" s="317">
        <f t="shared" si="150"/>
        <v>0</v>
      </c>
      <c r="AK137" s="317">
        <f t="shared" si="151"/>
        <v>0</v>
      </c>
      <c r="AL137" s="317">
        <f t="shared" si="152"/>
        <v>0</v>
      </c>
      <c r="AM137" s="317">
        <f t="shared" si="153"/>
        <v>0</v>
      </c>
      <c r="AN137" s="317">
        <f t="shared" si="154"/>
        <v>0</v>
      </c>
      <c r="AO137" s="317">
        <f t="shared" si="155"/>
        <v>0</v>
      </c>
      <c r="AP137" s="317">
        <f t="shared" si="156"/>
        <v>0</v>
      </c>
      <c r="AQ137" s="317">
        <f t="shared" si="157"/>
        <v>0</v>
      </c>
      <c r="AR137" s="317">
        <f t="shared" si="158"/>
        <v>0</v>
      </c>
      <c r="AS137" s="317">
        <f t="shared" si="159"/>
        <v>0</v>
      </c>
      <c r="AT137" s="317">
        <f t="shared" si="160"/>
        <v>0</v>
      </c>
      <c r="AU137" s="317">
        <f t="shared" si="161"/>
        <v>0</v>
      </c>
      <c r="AV137" s="317">
        <f t="shared" si="162"/>
        <v>0</v>
      </c>
      <c r="AW137" s="317">
        <f t="shared" si="163"/>
        <v>0</v>
      </c>
      <c r="AX137" s="317">
        <f t="shared" si="164"/>
        <v>0</v>
      </c>
      <c r="AY137" s="317">
        <f t="shared" si="165"/>
        <v>0</v>
      </c>
      <c r="AZ137" s="317">
        <f t="shared" si="166"/>
        <v>0</v>
      </c>
      <c r="BA137" s="317">
        <f t="shared" si="167"/>
        <v>0</v>
      </c>
    </row>
    <row r="138" spans="1:53" s="314" customFormat="1" ht="16.5" customHeight="1">
      <c r="A138" s="63" t="str">
        <f t="array" ref="A138">IF(C138&lt;&gt;0,SUM(($C$11:C138&lt;&gt;0)*1),"")</f>
        <v/>
      </c>
      <c r="B138" s="315"/>
      <c r="C138" s="315"/>
      <c r="D138" s="315"/>
      <c r="E138" s="432"/>
      <c r="F138" s="371"/>
      <c r="G138" s="373"/>
      <c r="H138" s="373"/>
      <c r="I138" s="63" t="str">
        <f t="shared" si="129"/>
        <v/>
      </c>
      <c r="J138" s="317">
        <f t="shared" si="130"/>
        <v>0</v>
      </c>
      <c r="K138" s="317">
        <f t="shared" si="131"/>
        <v>0</v>
      </c>
      <c r="L138" s="317">
        <f t="shared" si="132"/>
        <v>0</v>
      </c>
      <c r="M138" s="317">
        <f t="shared" si="133"/>
        <v>0</v>
      </c>
      <c r="N138" s="317">
        <f t="shared" si="83"/>
        <v>0</v>
      </c>
      <c r="O138" s="317">
        <f t="shared" si="84"/>
        <v>0</v>
      </c>
      <c r="P138" s="317">
        <f t="shared" si="134"/>
        <v>0</v>
      </c>
      <c r="Q138" s="317">
        <f t="shared" si="135"/>
        <v>0</v>
      </c>
      <c r="R138" s="317">
        <f t="shared" si="136"/>
        <v>0</v>
      </c>
      <c r="S138" s="317">
        <f t="shared" si="137"/>
        <v>0</v>
      </c>
      <c r="T138" s="317">
        <f t="shared" si="85"/>
        <v>0</v>
      </c>
      <c r="U138" s="317">
        <f t="shared" si="86"/>
        <v>0</v>
      </c>
      <c r="V138" s="317">
        <f t="shared" si="138"/>
        <v>0</v>
      </c>
      <c r="W138" s="317">
        <f t="shared" si="139"/>
        <v>0</v>
      </c>
      <c r="X138" s="317">
        <f t="shared" si="140"/>
        <v>0</v>
      </c>
      <c r="Y138" s="317">
        <f t="shared" si="141"/>
        <v>0</v>
      </c>
      <c r="Z138" s="317">
        <f t="shared" si="142"/>
        <v>0</v>
      </c>
      <c r="AA138" s="317">
        <f t="shared" si="143"/>
        <v>0</v>
      </c>
      <c r="AB138" s="317">
        <f t="shared" si="144"/>
        <v>0</v>
      </c>
      <c r="AC138" s="317">
        <f t="shared" si="145"/>
        <v>0</v>
      </c>
      <c r="AD138" s="317">
        <f t="shared" si="146"/>
        <v>0</v>
      </c>
      <c r="AE138" s="317">
        <f t="shared" si="147"/>
        <v>0</v>
      </c>
      <c r="AF138" s="317">
        <f t="shared" si="87"/>
        <v>0</v>
      </c>
      <c r="AG138" s="317">
        <f t="shared" si="88"/>
        <v>0</v>
      </c>
      <c r="AH138" s="317">
        <f t="shared" si="148"/>
        <v>0</v>
      </c>
      <c r="AI138" s="317">
        <f t="shared" si="149"/>
        <v>0</v>
      </c>
      <c r="AJ138" s="317">
        <f t="shared" si="150"/>
        <v>0</v>
      </c>
      <c r="AK138" s="317">
        <f t="shared" si="151"/>
        <v>0</v>
      </c>
      <c r="AL138" s="317">
        <f t="shared" si="152"/>
        <v>0</v>
      </c>
      <c r="AM138" s="317">
        <f t="shared" si="153"/>
        <v>0</v>
      </c>
      <c r="AN138" s="317">
        <f t="shared" si="154"/>
        <v>0</v>
      </c>
      <c r="AO138" s="317">
        <f t="shared" si="155"/>
        <v>0</v>
      </c>
      <c r="AP138" s="317">
        <f t="shared" si="156"/>
        <v>0</v>
      </c>
      <c r="AQ138" s="317">
        <f t="shared" si="157"/>
        <v>0</v>
      </c>
      <c r="AR138" s="317">
        <f t="shared" si="158"/>
        <v>0</v>
      </c>
      <c r="AS138" s="317">
        <f t="shared" si="159"/>
        <v>0</v>
      </c>
      <c r="AT138" s="317">
        <f t="shared" si="160"/>
        <v>0</v>
      </c>
      <c r="AU138" s="317">
        <f t="shared" si="161"/>
        <v>0</v>
      </c>
      <c r="AV138" s="317">
        <f t="shared" si="162"/>
        <v>0</v>
      </c>
      <c r="AW138" s="317">
        <f t="shared" si="163"/>
        <v>0</v>
      </c>
      <c r="AX138" s="317">
        <f t="shared" si="164"/>
        <v>0</v>
      </c>
      <c r="AY138" s="317">
        <f t="shared" si="165"/>
        <v>0</v>
      </c>
      <c r="AZ138" s="317">
        <f t="shared" si="166"/>
        <v>0</v>
      </c>
      <c r="BA138" s="317">
        <f t="shared" si="167"/>
        <v>0</v>
      </c>
    </row>
    <row r="139" spans="1:53" s="314" customFormat="1" ht="16.5" customHeight="1">
      <c r="A139" s="63" t="str">
        <f t="array" ref="A139">IF(C139&lt;&gt;0,SUM(($C$11:C139&lt;&gt;0)*1),"")</f>
        <v/>
      </c>
      <c r="B139" s="315"/>
      <c r="C139" s="315"/>
      <c r="D139" s="315"/>
      <c r="E139" s="432"/>
      <c r="F139" s="371"/>
      <c r="G139" s="373"/>
      <c r="H139" s="373"/>
      <c r="I139" s="63" t="str">
        <f t="shared" si="129"/>
        <v/>
      </c>
      <c r="J139" s="317">
        <f t="shared" si="130"/>
        <v>0</v>
      </c>
      <c r="K139" s="317">
        <f t="shared" si="131"/>
        <v>0</v>
      </c>
      <c r="L139" s="317">
        <f t="shared" si="132"/>
        <v>0</v>
      </c>
      <c r="M139" s="317">
        <f t="shared" si="133"/>
        <v>0</v>
      </c>
      <c r="N139" s="317">
        <f t="shared" si="83"/>
        <v>0</v>
      </c>
      <c r="O139" s="317">
        <f t="shared" si="84"/>
        <v>0</v>
      </c>
      <c r="P139" s="317">
        <f t="shared" si="134"/>
        <v>0</v>
      </c>
      <c r="Q139" s="317">
        <f t="shared" si="135"/>
        <v>0</v>
      </c>
      <c r="R139" s="317">
        <f t="shared" si="136"/>
        <v>0</v>
      </c>
      <c r="S139" s="317">
        <f t="shared" si="137"/>
        <v>0</v>
      </c>
      <c r="T139" s="317">
        <f t="shared" si="85"/>
        <v>0</v>
      </c>
      <c r="U139" s="317">
        <f t="shared" si="86"/>
        <v>0</v>
      </c>
      <c r="V139" s="317">
        <f t="shared" si="138"/>
        <v>0</v>
      </c>
      <c r="W139" s="317">
        <f t="shared" si="139"/>
        <v>0</v>
      </c>
      <c r="X139" s="317">
        <f t="shared" si="140"/>
        <v>0</v>
      </c>
      <c r="Y139" s="317">
        <f t="shared" si="141"/>
        <v>0</v>
      </c>
      <c r="Z139" s="317">
        <f t="shared" si="142"/>
        <v>0</v>
      </c>
      <c r="AA139" s="317">
        <f t="shared" si="143"/>
        <v>0</v>
      </c>
      <c r="AB139" s="317">
        <f t="shared" si="144"/>
        <v>0</v>
      </c>
      <c r="AC139" s="317">
        <f t="shared" si="145"/>
        <v>0</v>
      </c>
      <c r="AD139" s="317">
        <f t="shared" si="146"/>
        <v>0</v>
      </c>
      <c r="AE139" s="317">
        <f t="shared" si="147"/>
        <v>0</v>
      </c>
      <c r="AF139" s="317">
        <f t="shared" si="87"/>
        <v>0</v>
      </c>
      <c r="AG139" s="317">
        <f t="shared" si="88"/>
        <v>0</v>
      </c>
      <c r="AH139" s="317">
        <f t="shared" si="148"/>
        <v>0</v>
      </c>
      <c r="AI139" s="317">
        <f t="shared" si="149"/>
        <v>0</v>
      </c>
      <c r="AJ139" s="317">
        <f t="shared" si="150"/>
        <v>0</v>
      </c>
      <c r="AK139" s="317">
        <f t="shared" si="151"/>
        <v>0</v>
      </c>
      <c r="AL139" s="317">
        <f t="shared" si="152"/>
        <v>0</v>
      </c>
      <c r="AM139" s="317">
        <f t="shared" si="153"/>
        <v>0</v>
      </c>
      <c r="AN139" s="317">
        <f t="shared" si="154"/>
        <v>0</v>
      </c>
      <c r="AO139" s="317">
        <f t="shared" si="155"/>
        <v>0</v>
      </c>
      <c r="AP139" s="317">
        <f t="shared" si="156"/>
        <v>0</v>
      </c>
      <c r="AQ139" s="317">
        <f t="shared" si="157"/>
        <v>0</v>
      </c>
      <c r="AR139" s="317">
        <f t="shared" si="158"/>
        <v>0</v>
      </c>
      <c r="AS139" s="317">
        <f t="shared" si="159"/>
        <v>0</v>
      </c>
      <c r="AT139" s="317">
        <f t="shared" si="160"/>
        <v>0</v>
      </c>
      <c r="AU139" s="317">
        <f t="shared" si="161"/>
        <v>0</v>
      </c>
      <c r="AV139" s="317">
        <f t="shared" si="162"/>
        <v>0</v>
      </c>
      <c r="AW139" s="317">
        <f t="shared" si="163"/>
        <v>0</v>
      </c>
      <c r="AX139" s="317">
        <f t="shared" si="164"/>
        <v>0</v>
      </c>
      <c r="AY139" s="317">
        <f t="shared" si="165"/>
        <v>0</v>
      </c>
      <c r="AZ139" s="317">
        <f t="shared" si="166"/>
        <v>0</v>
      </c>
      <c r="BA139" s="317">
        <f t="shared" si="167"/>
        <v>0</v>
      </c>
    </row>
    <row r="140" spans="1:53" s="314" customFormat="1" ht="16.5" customHeight="1">
      <c r="A140" s="63" t="str">
        <f t="array" ref="A140">IF(C140&lt;&gt;0,SUM(($C$11:C140&lt;&gt;0)*1),"")</f>
        <v/>
      </c>
      <c r="B140" s="315"/>
      <c r="C140" s="315"/>
      <c r="D140" s="315"/>
      <c r="E140" s="432"/>
      <c r="F140" s="371"/>
      <c r="G140" s="373"/>
      <c r="H140" s="373"/>
      <c r="I140" s="63" t="str">
        <f t="shared" si="129"/>
        <v/>
      </c>
      <c r="J140" s="317">
        <f t="shared" si="130"/>
        <v>0</v>
      </c>
      <c r="K140" s="317">
        <f t="shared" si="131"/>
        <v>0</v>
      </c>
      <c r="L140" s="317">
        <f t="shared" si="132"/>
        <v>0</v>
      </c>
      <c r="M140" s="317">
        <f t="shared" si="133"/>
        <v>0</v>
      </c>
      <c r="N140" s="317">
        <f t="shared" ref="N140:N203" si="168">IF($G140="1122",$F140,0)</f>
        <v>0</v>
      </c>
      <c r="O140" s="317">
        <f t="shared" ref="O140:O203" si="169">IF($H140="1122",$F140,0)</f>
        <v>0</v>
      </c>
      <c r="P140" s="317">
        <f t="shared" si="134"/>
        <v>0</v>
      </c>
      <c r="Q140" s="317">
        <f t="shared" si="135"/>
        <v>0</v>
      </c>
      <c r="R140" s="317">
        <f t="shared" si="136"/>
        <v>0</v>
      </c>
      <c r="S140" s="317">
        <f t="shared" si="137"/>
        <v>0</v>
      </c>
      <c r="T140" s="317">
        <f t="shared" ref="T140:T203" si="170">IF($G140="2412",$F140,0)</f>
        <v>0</v>
      </c>
      <c r="U140" s="317">
        <f t="shared" ref="U140:U203" si="171">IF($H140="2412",$F140,0)</f>
        <v>0</v>
      </c>
      <c r="V140" s="317">
        <f t="shared" si="138"/>
        <v>0</v>
      </c>
      <c r="W140" s="317">
        <f t="shared" si="139"/>
        <v>0</v>
      </c>
      <c r="X140" s="317">
        <f t="shared" si="140"/>
        <v>0</v>
      </c>
      <c r="Y140" s="317">
        <f t="shared" si="141"/>
        <v>0</v>
      </c>
      <c r="Z140" s="317">
        <f t="shared" si="142"/>
        <v>0</v>
      </c>
      <c r="AA140" s="317">
        <f t="shared" si="143"/>
        <v>0</v>
      </c>
      <c r="AB140" s="317">
        <f t="shared" si="144"/>
        <v>0</v>
      </c>
      <c r="AC140" s="317">
        <f t="shared" si="145"/>
        <v>0</v>
      </c>
      <c r="AD140" s="317">
        <f t="shared" si="146"/>
        <v>0</v>
      </c>
      <c r="AE140" s="317">
        <f t="shared" si="147"/>
        <v>0</v>
      </c>
      <c r="AF140" s="317">
        <f t="shared" ref="AF140:AF203" si="172">IF($G140="3412",$F140,0)</f>
        <v>0</v>
      </c>
      <c r="AG140" s="317">
        <f t="shared" ref="AG140:AG203" si="173">IF($H140="3412",$F140,0)</f>
        <v>0</v>
      </c>
      <c r="AH140" s="317">
        <f t="shared" si="148"/>
        <v>0</v>
      </c>
      <c r="AI140" s="317">
        <f t="shared" si="149"/>
        <v>0</v>
      </c>
      <c r="AJ140" s="317">
        <f t="shared" si="150"/>
        <v>0</v>
      </c>
      <c r="AK140" s="317">
        <f t="shared" si="151"/>
        <v>0</v>
      </c>
      <c r="AL140" s="317">
        <f t="shared" si="152"/>
        <v>0</v>
      </c>
      <c r="AM140" s="317">
        <f t="shared" si="153"/>
        <v>0</v>
      </c>
      <c r="AN140" s="317">
        <f t="shared" si="154"/>
        <v>0</v>
      </c>
      <c r="AO140" s="317">
        <f t="shared" si="155"/>
        <v>0</v>
      </c>
      <c r="AP140" s="317">
        <f t="shared" si="156"/>
        <v>0</v>
      </c>
      <c r="AQ140" s="317">
        <f t="shared" si="157"/>
        <v>0</v>
      </c>
      <c r="AR140" s="317">
        <f t="shared" si="158"/>
        <v>0</v>
      </c>
      <c r="AS140" s="317">
        <f t="shared" si="159"/>
        <v>0</v>
      </c>
      <c r="AT140" s="317">
        <f t="shared" si="160"/>
        <v>0</v>
      </c>
      <c r="AU140" s="317">
        <f t="shared" si="161"/>
        <v>0</v>
      </c>
      <c r="AV140" s="317">
        <f t="shared" si="162"/>
        <v>0</v>
      </c>
      <c r="AW140" s="317">
        <f t="shared" si="163"/>
        <v>0</v>
      </c>
      <c r="AX140" s="317">
        <f t="shared" si="164"/>
        <v>0</v>
      </c>
      <c r="AY140" s="317">
        <f t="shared" si="165"/>
        <v>0</v>
      </c>
      <c r="AZ140" s="317">
        <f t="shared" si="166"/>
        <v>0</v>
      </c>
      <c r="BA140" s="317">
        <f t="shared" si="167"/>
        <v>0</v>
      </c>
    </row>
    <row r="141" spans="1:53" s="314" customFormat="1" ht="16.5" customHeight="1">
      <c r="A141" s="63" t="str">
        <f t="array" ref="A141">IF(C141&lt;&gt;0,SUM(($C$11:C141&lt;&gt;0)*1),"")</f>
        <v/>
      </c>
      <c r="B141" s="315"/>
      <c r="C141" s="315"/>
      <c r="D141" s="315"/>
      <c r="E141" s="432"/>
      <c r="F141" s="371"/>
      <c r="G141" s="373"/>
      <c r="H141" s="373"/>
      <c r="I141" s="63" t="str">
        <f t="shared" si="129"/>
        <v/>
      </c>
      <c r="J141" s="317">
        <f t="shared" si="130"/>
        <v>0</v>
      </c>
      <c r="K141" s="317">
        <f t="shared" si="131"/>
        <v>0</v>
      </c>
      <c r="L141" s="317">
        <f t="shared" si="132"/>
        <v>0</v>
      </c>
      <c r="M141" s="317">
        <f t="shared" si="133"/>
        <v>0</v>
      </c>
      <c r="N141" s="317">
        <f t="shared" si="168"/>
        <v>0</v>
      </c>
      <c r="O141" s="317">
        <f t="shared" si="169"/>
        <v>0</v>
      </c>
      <c r="P141" s="317">
        <f t="shared" si="134"/>
        <v>0</v>
      </c>
      <c r="Q141" s="317">
        <f t="shared" si="135"/>
        <v>0</v>
      </c>
      <c r="R141" s="317">
        <f t="shared" si="136"/>
        <v>0</v>
      </c>
      <c r="S141" s="317">
        <f t="shared" si="137"/>
        <v>0</v>
      </c>
      <c r="T141" s="317">
        <f t="shared" si="170"/>
        <v>0</v>
      </c>
      <c r="U141" s="317">
        <f t="shared" si="171"/>
        <v>0</v>
      </c>
      <c r="V141" s="317">
        <f t="shared" si="138"/>
        <v>0</v>
      </c>
      <c r="W141" s="317">
        <f t="shared" si="139"/>
        <v>0</v>
      </c>
      <c r="X141" s="317">
        <f t="shared" si="140"/>
        <v>0</v>
      </c>
      <c r="Y141" s="317">
        <f t="shared" si="141"/>
        <v>0</v>
      </c>
      <c r="Z141" s="317">
        <f t="shared" si="142"/>
        <v>0</v>
      </c>
      <c r="AA141" s="317">
        <f t="shared" si="143"/>
        <v>0</v>
      </c>
      <c r="AB141" s="317">
        <f t="shared" si="144"/>
        <v>0</v>
      </c>
      <c r="AC141" s="317">
        <f t="shared" si="145"/>
        <v>0</v>
      </c>
      <c r="AD141" s="317">
        <f t="shared" si="146"/>
        <v>0</v>
      </c>
      <c r="AE141" s="317">
        <f t="shared" si="147"/>
        <v>0</v>
      </c>
      <c r="AF141" s="317">
        <f t="shared" si="172"/>
        <v>0</v>
      </c>
      <c r="AG141" s="317">
        <f t="shared" si="173"/>
        <v>0</v>
      </c>
      <c r="AH141" s="317">
        <f t="shared" si="148"/>
        <v>0</v>
      </c>
      <c r="AI141" s="317">
        <f t="shared" si="149"/>
        <v>0</v>
      </c>
      <c r="AJ141" s="317">
        <f t="shared" si="150"/>
        <v>0</v>
      </c>
      <c r="AK141" s="317">
        <f t="shared" si="151"/>
        <v>0</v>
      </c>
      <c r="AL141" s="317">
        <f t="shared" si="152"/>
        <v>0</v>
      </c>
      <c r="AM141" s="317">
        <f t="shared" si="153"/>
        <v>0</v>
      </c>
      <c r="AN141" s="317">
        <f t="shared" si="154"/>
        <v>0</v>
      </c>
      <c r="AO141" s="317">
        <f t="shared" si="155"/>
        <v>0</v>
      </c>
      <c r="AP141" s="317">
        <f t="shared" si="156"/>
        <v>0</v>
      </c>
      <c r="AQ141" s="317">
        <f t="shared" si="157"/>
        <v>0</v>
      </c>
      <c r="AR141" s="317">
        <f t="shared" si="158"/>
        <v>0</v>
      </c>
      <c r="AS141" s="317">
        <f t="shared" si="159"/>
        <v>0</v>
      </c>
      <c r="AT141" s="317">
        <f t="shared" si="160"/>
        <v>0</v>
      </c>
      <c r="AU141" s="317">
        <f t="shared" si="161"/>
        <v>0</v>
      </c>
      <c r="AV141" s="317">
        <f t="shared" si="162"/>
        <v>0</v>
      </c>
      <c r="AW141" s="317">
        <f t="shared" si="163"/>
        <v>0</v>
      </c>
      <c r="AX141" s="317">
        <f t="shared" si="164"/>
        <v>0</v>
      </c>
      <c r="AY141" s="317">
        <f t="shared" si="165"/>
        <v>0</v>
      </c>
      <c r="AZ141" s="317">
        <f t="shared" si="166"/>
        <v>0</v>
      </c>
      <c r="BA141" s="317">
        <f t="shared" si="167"/>
        <v>0</v>
      </c>
    </row>
    <row r="142" spans="1:53" s="314" customFormat="1" ht="16.5" customHeight="1">
      <c r="A142" s="63" t="str">
        <f t="array" ref="A142">IF(C142&lt;&gt;0,SUM(($C$11:C142&lt;&gt;0)*1),"")</f>
        <v/>
      </c>
      <c r="B142" s="315"/>
      <c r="C142" s="315"/>
      <c r="D142" s="315"/>
      <c r="E142" s="432"/>
      <c r="F142" s="371"/>
      <c r="G142" s="373"/>
      <c r="H142" s="373"/>
      <c r="I142" s="63" t="str">
        <f t="shared" si="129"/>
        <v/>
      </c>
      <c r="J142" s="317">
        <f t="shared" si="130"/>
        <v>0</v>
      </c>
      <c r="K142" s="317">
        <f t="shared" si="131"/>
        <v>0</v>
      </c>
      <c r="L142" s="317">
        <f t="shared" si="132"/>
        <v>0</v>
      </c>
      <c r="M142" s="317">
        <f t="shared" si="133"/>
        <v>0</v>
      </c>
      <c r="N142" s="317">
        <f t="shared" si="168"/>
        <v>0</v>
      </c>
      <c r="O142" s="317">
        <f t="shared" si="169"/>
        <v>0</v>
      </c>
      <c r="P142" s="317">
        <f t="shared" si="134"/>
        <v>0</v>
      </c>
      <c r="Q142" s="317">
        <f t="shared" si="135"/>
        <v>0</v>
      </c>
      <c r="R142" s="317">
        <f t="shared" si="136"/>
        <v>0</v>
      </c>
      <c r="S142" s="317">
        <f t="shared" si="137"/>
        <v>0</v>
      </c>
      <c r="T142" s="317">
        <f t="shared" si="170"/>
        <v>0</v>
      </c>
      <c r="U142" s="317">
        <f t="shared" si="171"/>
        <v>0</v>
      </c>
      <c r="V142" s="317">
        <f t="shared" si="138"/>
        <v>0</v>
      </c>
      <c r="W142" s="317">
        <f t="shared" si="139"/>
        <v>0</v>
      </c>
      <c r="X142" s="317">
        <f t="shared" si="140"/>
        <v>0</v>
      </c>
      <c r="Y142" s="317">
        <f t="shared" si="141"/>
        <v>0</v>
      </c>
      <c r="Z142" s="317">
        <f t="shared" si="142"/>
        <v>0</v>
      </c>
      <c r="AA142" s="317">
        <f t="shared" si="143"/>
        <v>0</v>
      </c>
      <c r="AB142" s="317">
        <f t="shared" si="144"/>
        <v>0</v>
      </c>
      <c r="AC142" s="317">
        <f t="shared" si="145"/>
        <v>0</v>
      </c>
      <c r="AD142" s="317">
        <f t="shared" si="146"/>
        <v>0</v>
      </c>
      <c r="AE142" s="317">
        <f t="shared" si="147"/>
        <v>0</v>
      </c>
      <c r="AF142" s="317">
        <f t="shared" si="172"/>
        <v>0</v>
      </c>
      <c r="AG142" s="317">
        <f t="shared" si="173"/>
        <v>0</v>
      </c>
      <c r="AH142" s="317">
        <f t="shared" si="148"/>
        <v>0</v>
      </c>
      <c r="AI142" s="317">
        <f t="shared" si="149"/>
        <v>0</v>
      </c>
      <c r="AJ142" s="317">
        <f t="shared" si="150"/>
        <v>0</v>
      </c>
      <c r="AK142" s="317">
        <f t="shared" si="151"/>
        <v>0</v>
      </c>
      <c r="AL142" s="317">
        <f t="shared" si="152"/>
        <v>0</v>
      </c>
      <c r="AM142" s="317">
        <f t="shared" si="153"/>
        <v>0</v>
      </c>
      <c r="AN142" s="317">
        <f t="shared" si="154"/>
        <v>0</v>
      </c>
      <c r="AO142" s="317">
        <f t="shared" si="155"/>
        <v>0</v>
      </c>
      <c r="AP142" s="317">
        <f t="shared" si="156"/>
        <v>0</v>
      </c>
      <c r="AQ142" s="317">
        <f t="shared" si="157"/>
        <v>0</v>
      </c>
      <c r="AR142" s="317">
        <f t="shared" si="158"/>
        <v>0</v>
      </c>
      <c r="AS142" s="317">
        <f t="shared" si="159"/>
        <v>0</v>
      </c>
      <c r="AT142" s="317">
        <f t="shared" si="160"/>
        <v>0</v>
      </c>
      <c r="AU142" s="317">
        <f t="shared" si="161"/>
        <v>0</v>
      </c>
      <c r="AV142" s="317">
        <f t="shared" si="162"/>
        <v>0</v>
      </c>
      <c r="AW142" s="317">
        <f t="shared" si="163"/>
        <v>0</v>
      </c>
      <c r="AX142" s="317">
        <f t="shared" si="164"/>
        <v>0</v>
      </c>
      <c r="AY142" s="317">
        <f t="shared" si="165"/>
        <v>0</v>
      </c>
      <c r="AZ142" s="317">
        <f t="shared" si="166"/>
        <v>0</v>
      </c>
      <c r="BA142" s="317">
        <f t="shared" si="167"/>
        <v>0</v>
      </c>
    </row>
    <row r="143" spans="1:53" s="314" customFormat="1" ht="16.5" customHeight="1">
      <c r="A143" s="63" t="str">
        <f t="array" ref="A143">IF(C143&lt;&gt;0,SUM(($C$11:C143&lt;&gt;0)*1),"")</f>
        <v/>
      </c>
      <c r="B143" s="315"/>
      <c r="C143" s="315"/>
      <c r="D143" s="315"/>
      <c r="E143" s="432"/>
      <c r="F143" s="371"/>
      <c r="G143" s="373"/>
      <c r="H143" s="373"/>
      <c r="I143" s="63" t="str">
        <f t="shared" si="129"/>
        <v/>
      </c>
      <c r="J143" s="317">
        <f t="shared" si="130"/>
        <v>0</v>
      </c>
      <c r="K143" s="317">
        <f t="shared" si="131"/>
        <v>0</v>
      </c>
      <c r="L143" s="317">
        <f t="shared" si="132"/>
        <v>0</v>
      </c>
      <c r="M143" s="317">
        <f t="shared" si="133"/>
        <v>0</v>
      </c>
      <c r="N143" s="317">
        <f t="shared" si="168"/>
        <v>0</v>
      </c>
      <c r="O143" s="317">
        <f t="shared" si="169"/>
        <v>0</v>
      </c>
      <c r="P143" s="317">
        <f t="shared" si="134"/>
        <v>0</v>
      </c>
      <c r="Q143" s="317">
        <f t="shared" si="135"/>
        <v>0</v>
      </c>
      <c r="R143" s="317">
        <f t="shared" si="136"/>
        <v>0</v>
      </c>
      <c r="S143" s="317">
        <f t="shared" si="137"/>
        <v>0</v>
      </c>
      <c r="T143" s="317">
        <f t="shared" si="170"/>
        <v>0</v>
      </c>
      <c r="U143" s="317">
        <f t="shared" si="171"/>
        <v>0</v>
      </c>
      <c r="V143" s="317">
        <f t="shared" si="138"/>
        <v>0</v>
      </c>
      <c r="W143" s="317">
        <f t="shared" si="139"/>
        <v>0</v>
      </c>
      <c r="X143" s="317">
        <f t="shared" si="140"/>
        <v>0</v>
      </c>
      <c r="Y143" s="317">
        <f t="shared" si="141"/>
        <v>0</v>
      </c>
      <c r="Z143" s="317">
        <f t="shared" si="142"/>
        <v>0</v>
      </c>
      <c r="AA143" s="317">
        <f t="shared" si="143"/>
        <v>0</v>
      </c>
      <c r="AB143" s="317">
        <f t="shared" si="144"/>
        <v>0</v>
      </c>
      <c r="AC143" s="317">
        <f t="shared" si="145"/>
        <v>0</v>
      </c>
      <c r="AD143" s="317">
        <f t="shared" si="146"/>
        <v>0</v>
      </c>
      <c r="AE143" s="317">
        <f t="shared" si="147"/>
        <v>0</v>
      </c>
      <c r="AF143" s="317">
        <f t="shared" si="172"/>
        <v>0</v>
      </c>
      <c r="AG143" s="317">
        <f t="shared" si="173"/>
        <v>0</v>
      </c>
      <c r="AH143" s="317">
        <f t="shared" si="148"/>
        <v>0</v>
      </c>
      <c r="AI143" s="317">
        <f t="shared" si="149"/>
        <v>0</v>
      </c>
      <c r="AJ143" s="317">
        <f t="shared" si="150"/>
        <v>0</v>
      </c>
      <c r="AK143" s="317">
        <f t="shared" si="151"/>
        <v>0</v>
      </c>
      <c r="AL143" s="317">
        <f t="shared" si="152"/>
        <v>0</v>
      </c>
      <c r="AM143" s="317">
        <f t="shared" si="153"/>
        <v>0</v>
      </c>
      <c r="AN143" s="317">
        <f t="shared" si="154"/>
        <v>0</v>
      </c>
      <c r="AO143" s="317">
        <f t="shared" si="155"/>
        <v>0</v>
      </c>
      <c r="AP143" s="317">
        <f t="shared" si="156"/>
        <v>0</v>
      </c>
      <c r="AQ143" s="317">
        <f t="shared" si="157"/>
        <v>0</v>
      </c>
      <c r="AR143" s="317">
        <f t="shared" si="158"/>
        <v>0</v>
      </c>
      <c r="AS143" s="317">
        <f t="shared" si="159"/>
        <v>0</v>
      </c>
      <c r="AT143" s="317">
        <f t="shared" si="160"/>
        <v>0</v>
      </c>
      <c r="AU143" s="317">
        <f t="shared" si="161"/>
        <v>0</v>
      </c>
      <c r="AV143" s="317">
        <f t="shared" si="162"/>
        <v>0</v>
      </c>
      <c r="AW143" s="317">
        <f t="shared" si="163"/>
        <v>0</v>
      </c>
      <c r="AX143" s="317">
        <f t="shared" si="164"/>
        <v>0</v>
      </c>
      <c r="AY143" s="317">
        <f t="shared" si="165"/>
        <v>0</v>
      </c>
      <c r="AZ143" s="317">
        <f t="shared" si="166"/>
        <v>0</v>
      </c>
      <c r="BA143" s="317">
        <f t="shared" si="167"/>
        <v>0</v>
      </c>
    </row>
    <row r="144" spans="1:53" s="314" customFormat="1" ht="16.5" customHeight="1">
      <c r="A144" s="63" t="str">
        <f t="array" ref="A144">IF(C144&lt;&gt;0,SUM(($C$11:C144&lt;&gt;0)*1),"")</f>
        <v/>
      </c>
      <c r="B144" s="315"/>
      <c r="C144" s="315"/>
      <c r="D144" s="315"/>
      <c r="E144" s="432"/>
      <c r="F144" s="371"/>
      <c r="G144" s="373"/>
      <c r="H144" s="373"/>
      <c r="I144" s="63" t="str">
        <f t="shared" si="129"/>
        <v/>
      </c>
      <c r="J144" s="317">
        <f t="shared" si="130"/>
        <v>0</v>
      </c>
      <c r="K144" s="317">
        <f t="shared" si="131"/>
        <v>0</v>
      </c>
      <c r="L144" s="317">
        <f t="shared" si="132"/>
        <v>0</v>
      </c>
      <c r="M144" s="317">
        <f t="shared" si="133"/>
        <v>0</v>
      </c>
      <c r="N144" s="317">
        <f t="shared" si="168"/>
        <v>0</v>
      </c>
      <c r="O144" s="317">
        <f t="shared" si="169"/>
        <v>0</v>
      </c>
      <c r="P144" s="317">
        <f t="shared" si="134"/>
        <v>0</v>
      </c>
      <c r="Q144" s="317">
        <f t="shared" si="135"/>
        <v>0</v>
      </c>
      <c r="R144" s="317">
        <f t="shared" si="136"/>
        <v>0</v>
      </c>
      <c r="S144" s="317">
        <f t="shared" si="137"/>
        <v>0</v>
      </c>
      <c r="T144" s="317">
        <f t="shared" si="170"/>
        <v>0</v>
      </c>
      <c r="U144" s="317">
        <f t="shared" si="171"/>
        <v>0</v>
      </c>
      <c r="V144" s="317">
        <f t="shared" si="138"/>
        <v>0</v>
      </c>
      <c r="W144" s="317">
        <f t="shared" si="139"/>
        <v>0</v>
      </c>
      <c r="X144" s="317">
        <f t="shared" si="140"/>
        <v>0</v>
      </c>
      <c r="Y144" s="317">
        <f t="shared" si="141"/>
        <v>0</v>
      </c>
      <c r="Z144" s="317">
        <f t="shared" si="142"/>
        <v>0</v>
      </c>
      <c r="AA144" s="317">
        <f t="shared" si="143"/>
        <v>0</v>
      </c>
      <c r="AB144" s="317">
        <f t="shared" si="144"/>
        <v>0</v>
      </c>
      <c r="AC144" s="317">
        <f t="shared" si="145"/>
        <v>0</v>
      </c>
      <c r="AD144" s="317">
        <f t="shared" si="146"/>
        <v>0</v>
      </c>
      <c r="AE144" s="317">
        <f t="shared" si="147"/>
        <v>0</v>
      </c>
      <c r="AF144" s="317">
        <f t="shared" si="172"/>
        <v>0</v>
      </c>
      <c r="AG144" s="317">
        <f t="shared" si="173"/>
        <v>0</v>
      </c>
      <c r="AH144" s="317">
        <f t="shared" si="148"/>
        <v>0</v>
      </c>
      <c r="AI144" s="317">
        <f t="shared" si="149"/>
        <v>0</v>
      </c>
      <c r="AJ144" s="317">
        <f t="shared" si="150"/>
        <v>0</v>
      </c>
      <c r="AK144" s="317">
        <f t="shared" si="151"/>
        <v>0</v>
      </c>
      <c r="AL144" s="317">
        <f t="shared" si="152"/>
        <v>0</v>
      </c>
      <c r="AM144" s="317">
        <f t="shared" si="153"/>
        <v>0</v>
      </c>
      <c r="AN144" s="317">
        <f t="shared" si="154"/>
        <v>0</v>
      </c>
      <c r="AO144" s="317">
        <f t="shared" si="155"/>
        <v>0</v>
      </c>
      <c r="AP144" s="317">
        <f t="shared" si="156"/>
        <v>0</v>
      </c>
      <c r="AQ144" s="317">
        <f t="shared" si="157"/>
        <v>0</v>
      </c>
      <c r="AR144" s="317">
        <f t="shared" si="158"/>
        <v>0</v>
      </c>
      <c r="AS144" s="317">
        <f t="shared" si="159"/>
        <v>0</v>
      </c>
      <c r="AT144" s="317">
        <f t="shared" si="160"/>
        <v>0</v>
      </c>
      <c r="AU144" s="317">
        <f t="shared" si="161"/>
        <v>0</v>
      </c>
      <c r="AV144" s="317">
        <f t="shared" si="162"/>
        <v>0</v>
      </c>
      <c r="AW144" s="317">
        <f t="shared" si="163"/>
        <v>0</v>
      </c>
      <c r="AX144" s="317">
        <f t="shared" si="164"/>
        <v>0</v>
      </c>
      <c r="AY144" s="317">
        <f t="shared" si="165"/>
        <v>0</v>
      </c>
      <c r="AZ144" s="317">
        <f t="shared" si="166"/>
        <v>0</v>
      </c>
      <c r="BA144" s="317">
        <f t="shared" si="167"/>
        <v>0</v>
      </c>
    </row>
    <row r="145" spans="1:53" s="314" customFormat="1" ht="16.5" customHeight="1">
      <c r="A145" s="63" t="str">
        <f t="array" ref="A145">IF(C145&lt;&gt;0,SUM(($C$11:C145&lt;&gt;0)*1),"")</f>
        <v/>
      </c>
      <c r="B145" s="315"/>
      <c r="C145" s="315"/>
      <c r="D145" s="315"/>
      <c r="E145" s="432"/>
      <c r="F145" s="371"/>
      <c r="G145" s="373"/>
      <c r="H145" s="373"/>
      <c r="I145" s="63" t="str">
        <f t="shared" si="129"/>
        <v/>
      </c>
      <c r="J145" s="317">
        <f t="shared" si="130"/>
        <v>0</v>
      </c>
      <c r="K145" s="317">
        <f t="shared" si="131"/>
        <v>0</v>
      </c>
      <c r="L145" s="317">
        <f t="shared" si="132"/>
        <v>0</v>
      </c>
      <c r="M145" s="317">
        <f t="shared" si="133"/>
        <v>0</v>
      </c>
      <c r="N145" s="317">
        <f t="shared" si="168"/>
        <v>0</v>
      </c>
      <c r="O145" s="317">
        <f t="shared" si="169"/>
        <v>0</v>
      </c>
      <c r="P145" s="317">
        <f t="shared" si="134"/>
        <v>0</v>
      </c>
      <c r="Q145" s="317">
        <f t="shared" si="135"/>
        <v>0</v>
      </c>
      <c r="R145" s="317">
        <f t="shared" si="136"/>
        <v>0</v>
      </c>
      <c r="S145" s="317">
        <f t="shared" si="137"/>
        <v>0</v>
      </c>
      <c r="T145" s="317">
        <f t="shared" si="170"/>
        <v>0</v>
      </c>
      <c r="U145" s="317">
        <f t="shared" si="171"/>
        <v>0</v>
      </c>
      <c r="V145" s="317">
        <f t="shared" si="138"/>
        <v>0</v>
      </c>
      <c r="W145" s="317">
        <f t="shared" si="139"/>
        <v>0</v>
      </c>
      <c r="X145" s="317">
        <f t="shared" si="140"/>
        <v>0</v>
      </c>
      <c r="Y145" s="317">
        <f t="shared" si="141"/>
        <v>0</v>
      </c>
      <c r="Z145" s="317">
        <f t="shared" si="142"/>
        <v>0</v>
      </c>
      <c r="AA145" s="317">
        <f t="shared" si="143"/>
        <v>0</v>
      </c>
      <c r="AB145" s="317">
        <f t="shared" si="144"/>
        <v>0</v>
      </c>
      <c r="AC145" s="317">
        <f t="shared" si="145"/>
        <v>0</v>
      </c>
      <c r="AD145" s="317">
        <f t="shared" si="146"/>
        <v>0</v>
      </c>
      <c r="AE145" s="317">
        <f t="shared" si="147"/>
        <v>0</v>
      </c>
      <c r="AF145" s="317">
        <f t="shared" si="172"/>
        <v>0</v>
      </c>
      <c r="AG145" s="317">
        <f t="shared" si="173"/>
        <v>0</v>
      </c>
      <c r="AH145" s="317">
        <f t="shared" si="148"/>
        <v>0</v>
      </c>
      <c r="AI145" s="317">
        <f t="shared" si="149"/>
        <v>0</v>
      </c>
      <c r="AJ145" s="317">
        <f t="shared" si="150"/>
        <v>0</v>
      </c>
      <c r="AK145" s="317">
        <f t="shared" si="151"/>
        <v>0</v>
      </c>
      <c r="AL145" s="317">
        <f t="shared" si="152"/>
        <v>0</v>
      </c>
      <c r="AM145" s="317">
        <f t="shared" si="153"/>
        <v>0</v>
      </c>
      <c r="AN145" s="317">
        <f t="shared" si="154"/>
        <v>0</v>
      </c>
      <c r="AO145" s="317">
        <f t="shared" si="155"/>
        <v>0</v>
      </c>
      <c r="AP145" s="317">
        <f t="shared" si="156"/>
        <v>0</v>
      </c>
      <c r="AQ145" s="317">
        <f t="shared" si="157"/>
        <v>0</v>
      </c>
      <c r="AR145" s="317">
        <f t="shared" si="158"/>
        <v>0</v>
      </c>
      <c r="AS145" s="317">
        <f t="shared" si="159"/>
        <v>0</v>
      </c>
      <c r="AT145" s="317">
        <f t="shared" si="160"/>
        <v>0</v>
      </c>
      <c r="AU145" s="317">
        <f t="shared" si="161"/>
        <v>0</v>
      </c>
      <c r="AV145" s="317">
        <f t="shared" si="162"/>
        <v>0</v>
      </c>
      <c r="AW145" s="317">
        <f t="shared" si="163"/>
        <v>0</v>
      </c>
      <c r="AX145" s="317">
        <f t="shared" si="164"/>
        <v>0</v>
      </c>
      <c r="AY145" s="317">
        <f t="shared" si="165"/>
        <v>0</v>
      </c>
      <c r="AZ145" s="317">
        <f t="shared" si="166"/>
        <v>0</v>
      </c>
      <c r="BA145" s="317">
        <f t="shared" si="167"/>
        <v>0</v>
      </c>
    </row>
    <row r="146" spans="1:53" s="314" customFormat="1" ht="16.5" customHeight="1">
      <c r="A146" s="63" t="str">
        <f t="array" ref="A146">IF(C146&lt;&gt;0,SUM(($C$11:C146&lt;&gt;0)*1),"")</f>
        <v/>
      </c>
      <c r="B146" s="315"/>
      <c r="C146" s="315"/>
      <c r="D146" s="315"/>
      <c r="E146" s="432"/>
      <c r="F146" s="371"/>
      <c r="G146" s="373"/>
      <c r="H146" s="373"/>
      <c r="I146" s="63" t="str">
        <f t="shared" si="129"/>
        <v/>
      </c>
      <c r="J146" s="317">
        <f t="shared" si="130"/>
        <v>0</v>
      </c>
      <c r="K146" s="317">
        <f t="shared" si="131"/>
        <v>0</v>
      </c>
      <c r="L146" s="317">
        <f t="shared" si="132"/>
        <v>0</v>
      </c>
      <c r="M146" s="317">
        <f t="shared" si="133"/>
        <v>0</v>
      </c>
      <c r="N146" s="317">
        <f t="shared" si="168"/>
        <v>0</v>
      </c>
      <c r="O146" s="317">
        <f t="shared" si="169"/>
        <v>0</v>
      </c>
      <c r="P146" s="317">
        <f t="shared" si="134"/>
        <v>0</v>
      </c>
      <c r="Q146" s="317">
        <f t="shared" si="135"/>
        <v>0</v>
      </c>
      <c r="R146" s="317">
        <f t="shared" si="136"/>
        <v>0</v>
      </c>
      <c r="S146" s="317">
        <f t="shared" si="137"/>
        <v>0</v>
      </c>
      <c r="T146" s="317">
        <f t="shared" si="170"/>
        <v>0</v>
      </c>
      <c r="U146" s="317">
        <f t="shared" si="171"/>
        <v>0</v>
      </c>
      <c r="V146" s="317">
        <f t="shared" si="138"/>
        <v>0</v>
      </c>
      <c r="W146" s="317">
        <f t="shared" si="139"/>
        <v>0</v>
      </c>
      <c r="X146" s="317">
        <f t="shared" si="140"/>
        <v>0</v>
      </c>
      <c r="Y146" s="317">
        <f t="shared" si="141"/>
        <v>0</v>
      </c>
      <c r="Z146" s="317">
        <f t="shared" si="142"/>
        <v>0</v>
      </c>
      <c r="AA146" s="317">
        <f t="shared" si="143"/>
        <v>0</v>
      </c>
      <c r="AB146" s="317">
        <f t="shared" si="144"/>
        <v>0</v>
      </c>
      <c r="AC146" s="317">
        <f t="shared" si="145"/>
        <v>0</v>
      </c>
      <c r="AD146" s="317">
        <f t="shared" si="146"/>
        <v>0</v>
      </c>
      <c r="AE146" s="317">
        <f t="shared" si="147"/>
        <v>0</v>
      </c>
      <c r="AF146" s="317">
        <f t="shared" si="172"/>
        <v>0</v>
      </c>
      <c r="AG146" s="317">
        <f t="shared" si="173"/>
        <v>0</v>
      </c>
      <c r="AH146" s="317">
        <f t="shared" si="148"/>
        <v>0</v>
      </c>
      <c r="AI146" s="317">
        <f t="shared" si="149"/>
        <v>0</v>
      </c>
      <c r="AJ146" s="317">
        <f t="shared" si="150"/>
        <v>0</v>
      </c>
      <c r="AK146" s="317">
        <f t="shared" si="151"/>
        <v>0</v>
      </c>
      <c r="AL146" s="317">
        <f t="shared" si="152"/>
        <v>0</v>
      </c>
      <c r="AM146" s="317">
        <f t="shared" si="153"/>
        <v>0</v>
      </c>
      <c r="AN146" s="317">
        <f t="shared" si="154"/>
        <v>0</v>
      </c>
      <c r="AO146" s="317">
        <f t="shared" si="155"/>
        <v>0</v>
      </c>
      <c r="AP146" s="317">
        <f t="shared" si="156"/>
        <v>0</v>
      </c>
      <c r="AQ146" s="317">
        <f t="shared" si="157"/>
        <v>0</v>
      </c>
      <c r="AR146" s="317">
        <f t="shared" si="158"/>
        <v>0</v>
      </c>
      <c r="AS146" s="317">
        <f t="shared" si="159"/>
        <v>0</v>
      </c>
      <c r="AT146" s="317">
        <f t="shared" si="160"/>
        <v>0</v>
      </c>
      <c r="AU146" s="317">
        <f t="shared" si="161"/>
        <v>0</v>
      </c>
      <c r="AV146" s="317">
        <f t="shared" si="162"/>
        <v>0</v>
      </c>
      <c r="AW146" s="317">
        <f t="shared" si="163"/>
        <v>0</v>
      </c>
      <c r="AX146" s="317">
        <f t="shared" si="164"/>
        <v>0</v>
      </c>
      <c r="AY146" s="317">
        <f t="shared" si="165"/>
        <v>0</v>
      </c>
      <c r="AZ146" s="317">
        <f t="shared" si="166"/>
        <v>0</v>
      </c>
      <c r="BA146" s="317">
        <f t="shared" si="167"/>
        <v>0</v>
      </c>
    </row>
    <row r="147" spans="1:53" s="314" customFormat="1" ht="16.5" customHeight="1">
      <c r="A147" s="63" t="str">
        <f t="array" ref="A147">IF(C147&lt;&gt;0,SUM(($C$11:C147&lt;&gt;0)*1),"")</f>
        <v/>
      </c>
      <c r="B147" s="315"/>
      <c r="C147" s="315"/>
      <c r="D147" s="315"/>
      <c r="E147" s="432"/>
      <c r="F147" s="371"/>
      <c r="G147" s="373"/>
      <c r="H147" s="373"/>
      <c r="I147" s="63" t="str">
        <f t="shared" si="129"/>
        <v/>
      </c>
      <c r="J147" s="317">
        <f t="shared" si="130"/>
        <v>0</v>
      </c>
      <c r="K147" s="317">
        <f t="shared" si="131"/>
        <v>0</v>
      </c>
      <c r="L147" s="317">
        <f t="shared" si="132"/>
        <v>0</v>
      </c>
      <c r="M147" s="317">
        <f t="shared" si="133"/>
        <v>0</v>
      </c>
      <c r="N147" s="317">
        <f t="shared" si="168"/>
        <v>0</v>
      </c>
      <c r="O147" s="317">
        <f t="shared" si="169"/>
        <v>0</v>
      </c>
      <c r="P147" s="317">
        <f t="shared" si="134"/>
        <v>0</v>
      </c>
      <c r="Q147" s="317">
        <f t="shared" si="135"/>
        <v>0</v>
      </c>
      <c r="R147" s="317">
        <f t="shared" si="136"/>
        <v>0</v>
      </c>
      <c r="S147" s="317">
        <f t="shared" si="137"/>
        <v>0</v>
      </c>
      <c r="T147" s="317">
        <f t="shared" si="170"/>
        <v>0</v>
      </c>
      <c r="U147" s="317">
        <f t="shared" si="171"/>
        <v>0</v>
      </c>
      <c r="V147" s="317">
        <f t="shared" si="138"/>
        <v>0</v>
      </c>
      <c r="W147" s="317">
        <f t="shared" si="139"/>
        <v>0</v>
      </c>
      <c r="X147" s="317">
        <f t="shared" si="140"/>
        <v>0</v>
      </c>
      <c r="Y147" s="317">
        <f t="shared" si="141"/>
        <v>0</v>
      </c>
      <c r="Z147" s="317">
        <f t="shared" si="142"/>
        <v>0</v>
      </c>
      <c r="AA147" s="317">
        <f t="shared" si="143"/>
        <v>0</v>
      </c>
      <c r="AB147" s="317">
        <f t="shared" si="144"/>
        <v>0</v>
      </c>
      <c r="AC147" s="317">
        <f t="shared" si="145"/>
        <v>0</v>
      </c>
      <c r="AD147" s="317">
        <f t="shared" si="146"/>
        <v>0</v>
      </c>
      <c r="AE147" s="317">
        <f t="shared" si="147"/>
        <v>0</v>
      </c>
      <c r="AF147" s="317">
        <f t="shared" si="172"/>
        <v>0</v>
      </c>
      <c r="AG147" s="317">
        <f t="shared" si="173"/>
        <v>0</v>
      </c>
      <c r="AH147" s="317">
        <f t="shared" si="148"/>
        <v>0</v>
      </c>
      <c r="AI147" s="317">
        <f t="shared" si="149"/>
        <v>0</v>
      </c>
      <c r="AJ147" s="317">
        <f t="shared" si="150"/>
        <v>0</v>
      </c>
      <c r="AK147" s="317">
        <f t="shared" si="151"/>
        <v>0</v>
      </c>
      <c r="AL147" s="317">
        <f t="shared" si="152"/>
        <v>0</v>
      </c>
      <c r="AM147" s="317">
        <f t="shared" si="153"/>
        <v>0</v>
      </c>
      <c r="AN147" s="317">
        <f t="shared" si="154"/>
        <v>0</v>
      </c>
      <c r="AO147" s="317">
        <f t="shared" si="155"/>
        <v>0</v>
      </c>
      <c r="AP147" s="317">
        <f t="shared" si="156"/>
        <v>0</v>
      </c>
      <c r="AQ147" s="317">
        <f t="shared" si="157"/>
        <v>0</v>
      </c>
      <c r="AR147" s="317">
        <f t="shared" si="158"/>
        <v>0</v>
      </c>
      <c r="AS147" s="317">
        <f t="shared" si="159"/>
        <v>0</v>
      </c>
      <c r="AT147" s="317">
        <f t="shared" si="160"/>
        <v>0</v>
      </c>
      <c r="AU147" s="317">
        <f t="shared" si="161"/>
        <v>0</v>
      </c>
      <c r="AV147" s="317">
        <f t="shared" si="162"/>
        <v>0</v>
      </c>
      <c r="AW147" s="317">
        <f t="shared" si="163"/>
        <v>0</v>
      </c>
      <c r="AX147" s="317">
        <f t="shared" si="164"/>
        <v>0</v>
      </c>
      <c r="AY147" s="317">
        <f t="shared" si="165"/>
        <v>0</v>
      </c>
      <c r="AZ147" s="317">
        <f t="shared" si="166"/>
        <v>0</v>
      </c>
      <c r="BA147" s="317">
        <f t="shared" si="167"/>
        <v>0</v>
      </c>
    </row>
    <row r="148" spans="1:53" s="314" customFormat="1" ht="16.5" customHeight="1">
      <c r="A148" s="63" t="str">
        <f t="array" ref="A148">IF(C148&lt;&gt;0,SUM(($C$11:C148&lt;&gt;0)*1),"")</f>
        <v/>
      </c>
      <c r="B148" s="315"/>
      <c r="C148" s="315"/>
      <c r="D148" s="315"/>
      <c r="E148" s="432"/>
      <c r="F148" s="371"/>
      <c r="G148" s="373"/>
      <c r="H148" s="373"/>
      <c r="I148" s="63" t="str">
        <f t="shared" si="129"/>
        <v/>
      </c>
      <c r="J148" s="317">
        <f t="shared" si="130"/>
        <v>0</v>
      </c>
      <c r="K148" s="317">
        <f t="shared" si="131"/>
        <v>0</v>
      </c>
      <c r="L148" s="317">
        <f t="shared" si="132"/>
        <v>0</v>
      </c>
      <c r="M148" s="317">
        <f t="shared" si="133"/>
        <v>0</v>
      </c>
      <c r="N148" s="317">
        <f t="shared" si="168"/>
        <v>0</v>
      </c>
      <c r="O148" s="317">
        <f t="shared" si="169"/>
        <v>0</v>
      </c>
      <c r="P148" s="317">
        <f t="shared" si="134"/>
        <v>0</v>
      </c>
      <c r="Q148" s="317">
        <f t="shared" si="135"/>
        <v>0</v>
      </c>
      <c r="R148" s="317">
        <f t="shared" si="136"/>
        <v>0</v>
      </c>
      <c r="S148" s="317">
        <f t="shared" si="137"/>
        <v>0</v>
      </c>
      <c r="T148" s="317">
        <f t="shared" si="170"/>
        <v>0</v>
      </c>
      <c r="U148" s="317">
        <f t="shared" si="171"/>
        <v>0</v>
      </c>
      <c r="V148" s="317">
        <f t="shared" si="138"/>
        <v>0</v>
      </c>
      <c r="W148" s="317">
        <f t="shared" si="139"/>
        <v>0</v>
      </c>
      <c r="X148" s="317">
        <f t="shared" si="140"/>
        <v>0</v>
      </c>
      <c r="Y148" s="317">
        <f t="shared" si="141"/>
        <v>0</v>
      </c>
      <c r="Z148" s="317">
        <f t="shared" si="142"/>
        <v>0</v>
      </c>
      <c r="AA148" s="317">
        <f t="shared" si="143"/>
        <v>0</v>
      </c>
      <c r="AB148" s="317">
        <f t="shared" si="144"/>
        <v>0</v>
      </c>
      <c r="AC148" s="317">
        <f t="shared" si="145"/>
        <v>0</v>
      </c>
      <c r="AD148" s="317">
        <f t="shared" si="146"/>
        <v>0</v>
      </c>
      <c r="AE148" s="317">
        <f t="shared" si="147"/>
        <v>0</v>
      </c>
      <c r="AF148" s="317">
        <f t="shared" si="172"/>
        <v>0</v>
      </c>
      <c r="AG148" s="317">
        <f t="shared" si="173"/>
        <v>0</v>
      </c>
      <c r="AH148" s="317">
        <f t="shared" si="148"/>
        <v>0</v>
      </c>
      <c r="AI148" s="317">
        <f t="shared" si="149"/>
        <v>0</v>
      </c>
      <c r="AJ148" s="317">
        <f t="shared" si="150"/>
        <v>0</v>
      </c>
      <c r="AK148" s="317">
        <f t="shared" si="151"/>
        <v>0</v>
      </c>
      <c r="AL148" s="317">
        <f t="shared" si="152"/>
        <v>0</v>
      </c>
      <c r="AM148" s="317">
        <f t="shared" si="153"/>
        <v>0</v>
      </c>
      <c r="AN148" s="317">
        <f t="shared" si="154"/>
        <v>0</v>
      </c>
      <c r="AO148" s="317">
        <f t="shared" si="155"/>
        <v>0</v>
      </c>
      <c r="AP148" s="317">
        <f t="shared" si="156"/>
        <v>0</v>
      </c>
      <c r="AQ148" s="317">
        <f t="shared" si="157"/>
        <v>0</v>
      </c>
      <c r="AR148" s="317">
        <f t="shared" si="158"/>
        <v>0</v>
      </c>
      <c r="AS148" s="317">
        <f t="shared" si="159"/>
        <v>0</v>
      </c>
      <c r="AT148" s="317">
        <f t="shared" si="160"/>
        <v>0</v>
      </c>
      <c r="AU148" s="317">
        <f t="shared" si="161"/>
        <v>0</v>
      </c>
      <c r="AV148" s="317">
        <f t="shared" si="162"/>
        <v>0</v>
      </c>
      <c r="AW148" s="317">
        <f t="shared" si="163"/>
        <v>0</v>
      </c>
      <c r="AX148" s="317">
        <f t="shared" si="164"/>
        <v>0</v>
      </c>
      <c r="AY148" s="317">
        <f t="shared" si="165"/>
        <v>0</v>
      </c>
      <c r="AZ148" s="317">
        <f t="shared" si="166"/>
        <v>0</v>
      </c>
      <c r="BA148" s="317">
        <f t="shared" si="167"/>
        <v>0</v>
      </c>
    </row>
    <row r="149" spans="1:53" s="314" customFormat="1" ht="16.5" customHeight="1">
      <c r="A149" s="63" t="str">
        <f t="array" ref="A149">IF(C149&lt;&gt;0,SUM(($C$11:C149&lt;&gt;0)*1),"")</f>
        <v/>
      </c>
      <c r="B149" s="315"/>
      <c r="C149" s="315"/>
      <c r="D149" s="315"/>
      <c r="E149" s="432"/>
      <c r="F149" s="371"/>
      <c r="G149" s="373"/>
      <c r="H149" s="373"/>
      <c r="I149" s="63" t="str">
        <f t="shared" si="129"/>
        <v/>
      </c>
      <c r="J149" s="317">
        <f t="shared" si="130"/>
        <v>0</v>
      </c>
      <c r="K149" s="317">
        <f t="shared" si="131"/>
        <v>0</v>
      </c>
      <c r="L149" s="317">
        <f t="shared" si="132"/>
        <v>0</v>
      </c>
      <c r="M149" s="317">
        <f t="shared" si="133"/>
        <v>0</v>
      </c>
      <c r="N149" s="317">
        <f t="shared" si="168"/>
        <v>0</v>
      </c>
      <c r="O149" s="317">
        <f t="shared" si="169"/>
        <v>0</v>
      </c>
      <c r="P149" s="317">
        <f t="shared" si="134"/>
        <v>0</v>
      </c>
      <c r="Q149" s="317">
        <f t="shared" si="135"/>
        <v>0</v>
      </c>
      <c r="R149" s="317">
        <f t="shared" si="136"/>
        <v>0</v>
      </c>
      <c r="S149" s="317">
        <f t="shared" si="137"/>
        <v>0</v>
      </c>
      <c r="T149" s="317">
        <f t="shared" si="170"/>
        <v>0</v>
      </c>
      <c r="U149" s="317">
        <f t="shared" si="171"/>
        <v>0</v>
      </c>
      <c r="V149" s="317">
        <f t="shared" si="138"/>
        <v>0</v>
      </c>
      <c r="W149" s="317">
        <f t="shared" si="139"/>
        <v>0</v>
      </c>
      <c r="X149" s="317">
        <f t="shared" si="140"/>
        <v>0</v>
      </c>
      <c r="Y149" s="317">
        <f t="shared" si="141"/>
        <v>0</v>
      </c>
      <c r="Z149" s="317">
        <f t="shared" si="142"/>
        <v>0</v>
      </c>
      <c r="AA149" s="317">
        <f t="shared" si="143"/>
        <v>0</v>
      </c>
      <c r="AB149" s="317">
        <f t="shared" si="144"/>
        <v>0</v>
      </c>
      <c r="AC149" s="317">
        <f t="shared" si="145"/>
        <v>0</v>
      </c>
      <c r="AD149" s="317">
        <f t="shared" si="146"/>
        <v>0</v>
      </c>
      <c r="AE149" s="317">
        <f t="shared" si="147"/>
        <v>0</v>
      </c>
      <c r="AF149" s="317">
        <f t="shared" si="172"/>
        <v>0</v>
      </c>
      <c r="AG149" s="317">
        <f t="shared" si="173"/>
        <v>0</v>
      </c>
      <c r="AH149" s="317">
        <f t="shared" si="148"/>
        <v>0</v>
      </c>
      <c r="AI149" s="317">
        <f t="shared" si="149"/>
        <v>0</v>
      </c>
      <c r="AJ149" s="317">
        <f t="shared" si="150"/>
        <v>0</v>
      </c>
      <c r="AK149" s="317">
        <f t="shared" si="151"/>
        <v>0</v>
      </c>
      <c r="AL149" s="317">
        <f t="shared" si="152"/>
        <v>0</v>
      </c>
      <c r="AM149" s="317">
        <f t="shared" si="153"/>
        <v>0</v>
      </c>
      <c r="AN149" s="317">
        <f t="shared" si="154"/>
        <v>0</v>
      </c>
      <c r="AO149" s="317">
        <f t="shared" si="155"/>
        <v>0</v>
      </c>
      <c r="AP149" s="317">
        <f t="shared" si="156"/>
        <v>0</v>
      </c>
      <c r="AQ149" s="317">
        <f t="shared" si="157"/>
        <v>0</v>
      </c>
      <c r="AR149" s="317">
        <f t="shared" si="158"/>
        <v>0</v>
      </c>
      <c r="AS149" s="317">
        <f t="shared" si="159"/>
        <v>0</v>
      </c>
      <c r="AT149" s="317">
        <f t="shared" si="160"/>
        <v>0</v>
      </c>
      <c r="AU149" s="317">
        <f t="shared" si="161"/>
        <v>0</v>
      </c>
      <c r="AV149" s="317">
        <f t="shared" si="162"/>
        <v>0</v>
      </c>
      <c r="AW149" s="317">
        <f t="shared" si="163"/>
        <v>0</v>
      </c>
      <c r="AX149" s="317">
        <f t="shared" si="164"/>
        <v>0</v>
      </c>
      <c r="AY149" s="317">
        <f t="shared" si="165"/>
        <v>0</v>
      </c>
      <c r="AZ149" s="317">
        <f t="shared" si="166"/>
        <v>0</v>
      </c>
      <c r="BA149" s="317">
        <f t="shared" si="167"/>
        <v>0</v>
      </c>
    </row>
    <row r="150" spans="1:53" s="314" customFormat="1" ht="16.5" customHeight="1">
      <c r="A150" s="63" t="str">
        <f t="array" ref="A150">IF(C150&lt;&gt;0,SUM(($C$11:C150&lt;&gt;0)*1),"")</f>
        <v/>
      </c>
      <c r="B150" s="315"/>
      <c r="C150" s="315"/>
      <c r="D150" s="315"/>
      <c r="E150" s="432"/>
      <c r="F150" s="371"/>
      <c r="G150" s="373"/>
      <c r="H150" s="373"/>
      <c r="I150" s="63" t="str">
        <f t="shared" si="129"/>
        <v/>
      </c>
      <c r="J150" s="317">
        <f t="shared" si="130"/>
        <v>0</v>
      </c>
      <c r="K150" s="317">
        <f t="shared" si="131"/>
        <v>0</v>
      </c>
      <c r="L150" s="317">
        <f t="shared" si="132"/>
        <v>0</v>
      </c>
      <c r="M150" s="317">
        <f t="shared" si="133"/>
        <v>0</v>
      </c>
      <c r="N150" s="317">
        <f t="shared" si="168"/>
        <v>0</v>
      </c>
      <c r="O150" s="317">
        <f t="shared" si="169"/>
        <v>0</v>
      </c>
      <c r="P150" s="317">
        <f t="shared" si="134"/>
        <v>0</v>
      </c>
      <c r="Q150" s="317">
        <f t="shared" si="135"/>
        <v>0</v>
      </c>
      <c r="R150" s="317">
        <f t="shared" si="136"/>
        <v>0</v>
      </c>
      <c r="S150" s="317">
        <f t="shared" si="137"/>
        <v>0</v>
      </c>
      <c r="T150" s="317">
        <f t="shared" si="170"/>
        <v>0</v>
      </c>
      <c r="U150" s="317">
        <f t="shared" si="171"/>
        <v>0</v>
      </c>
      <c r="V150" s="317">
        <f t="shared" si="138"/>
        <v>0</v>
      </c>
      <c r="W150" s="317">
        <f t="shared" si="139"/>
        <v>0</v>
      </c>
      <c r="X150" s="317">
        <f t="shared" si="140"/>
        <v>0</v>
      </c>
      <c r="Y150" s="317">
        <f t="shared" si="141"/>
        <v>0</v>
      </c>
      <c r="Z150" s="317">
        <f t="shared" si="142"/>
        <v>0</v>
      </c>
      <c r="AA150" s="317">
        <f t="shared" si="143"/>
        <v>0</v>
      </c>
      <c r="AB150" s="317">
        <f t="shared" si="144"/>
        <v>0</v>
      </c>
      <c r="AC150" s="317">
        <f t="shared" si="145"/>
        <v>0</v>
      </c>
      <c r="AD150" s="317">
        <f t="shared" si="146"/>
        <v>0</v>
      </c>
      <c r="AE150" s="317">
        <f t="shared" si="147"/>
        <v>0</v>
      </c>
      <c r="AF150" s="317">
        <f t="shared" si="172"/>
        <v>0</v>
      </c>
      <c r="AG150" s="317">
        <f t="shared" si="173"/>
        <v>0</v>
      </c>
      <c r="AH150" s="317">
        <f t="shared" si="148"/>
        <v>0</v>
      </c>
      <c r="AI150" s="317">
        <f t="shared" si="149"/>
        <v>0</v>
      </c>
      <c r="AJ150" s="317">
        <f t="shared" si="150"/>
        <v>0</v>
      </c>
      <c r="AK150" s="317">
        <f t="shared" si="151"/>
        <v>0</v>
      </c>
      <c r="AL150" s="317">
        <f t="shared" si="152"/>
        <v>0</v>
      </c>
      <c r="AM150" s="317">
        <f t="shared" si="153"/>
        <v>0</v>
      </c>
      <c r="AN150" s="317">
        <f t="shared" si="154"/>
        <v>0</v>
      </c>
      <c r="AO150" s="317">
        <f t="shared" si="155"/>
        <v>0</v>
      </c>
      <c r="AP150" s="317">
        <f t="shared" si="156"/>
        <v>0</v>
      </c>
      <c r="AQ150" s="317">
        <f t="shared" si="157"/>
        <v>0</v>
      </c>
      <c r="AR150" s="317">
        <f t="shared" si="158"/>
        <v>0</v>
      </c>
      <c r="AS150" s="317">
        <f t="shared" si="159"/>
        <v>0</v>
      </c>
      <c r="AT150" s="317">
        <f t="shared" si="160"/>
        <v>0</v>
      </c>
      <c r="AU150" s="317">
        <f t="shared" si="161"/>
        <v>0</v>
      </c>
      <c r="AV150" s="317">
        <f t="shared" si="162"/>
        <v>0</v>
      </c>
      <c r="AW150" s="317">
        <f t="shared" si="163"/>
        <v>0</v>
      </c>
      <c r="AX150" s="317">
        <f t="shared" si="164"/>
        <v>0</v>
      </c>
      <c r="AY150" s="317">
        <f t="shared" si="165"/>
        <v>0</v>
      </c>
      <c r="AZ150" s="317">
        <f t="shared" si="166"/>
        <v>0</v>
      </c>
      <c r="BA150" s="317">
        <f t="shared" si="167"/>
        <v>0</v>
      </c>
    </row>
    <row r="151" spans="1:53" s="314" customFormat="1" ht="16.5" customHeight="1">
      <c r="A151" s="63" t="str">
        <f t="array" ref="A151">IF(C151&lt;&gt;0,SUM(($C$11:C151&lt;&gt;0)*1),"")</f>
        <v/>
      </c>
      <c r="B151" s="315"/>
      <c r="C151" s="315"/>
      <c r="D151" s="315"/>
      <c r="E151" s="432"/>
      <c r="F151" s="371"/>
      <c r="G151" s="373"/>
      <c r="H151" s="373"/>
      <c r="I151" s="63" t="str">
        <f t="shared" si="129"/>
        <v/>
      </c>
      <c r="J151" s="317">
        <f t="shared" si="130"/>
        <v>0</v>
      </c>
      <c r="K151" s="317">
        <f t="shared" si="131"/>
        <v>0</v>
      </c>
      <c r="L151" s="317">
        <f t="shared" si="132"/>
        <v>0</v>
      </c>
      <c r="M151" s="317">
        <f t="shared" si="133"/>
        <v>0</v>
      </c>
      <c r="N151" s="317">
        <f t="shared" si="168"/>
        <v>0</v>
      </c>
      <c r="O151" s="317">
        <f t="shared" si="169"/>
        <v>0</v>
      </c>
      <c r="P151" s="317">
        <f t="shared" si="134"/>
        <v>0</v>
      </c>
      <c r="Q151" s="317">
        <f t="shared" si="135"/>
        <v>0</v>
      </c>
      <c r="R151" s="317">
        <f t="shared" si="136"/>
        <v>0</v>
      </c>
      <c r="S151" s="317">
        <f t="shared" si="137"/>
        <v>0</v>
      </c>
      <c r="T151" s="317">
        <f t="shared" si="170"/>
        <v>0</v>
      </c>
      <c r="U151" s="317">
        <f t="shared" si="171"/>
        <v>0</v>
      </c>
      <c r="V151" s="317">
        <f t="shared" si="138"/>
        <v>0</v>
      </c>
      <c r="W151" s="317">
        <f t="shared" si="139"/>
        <v>0</v>
      </c>
      <c r="X151" s="317">
        <f t="shared" si="140"/>
        <v>0</v>
      </c>
      <c r="Y151" s="317">
        <f t="shared" si="141"/>
        <v>0</v>
      </c>
      <c r="Z151" s="317">
        <f t="shared" si="142"/>
        <v>0</v>
      </c>
      <c r="AA151" s="317">
        <f t="shared" si="143"/>
        <v>0</v>
      </c>
      <c r="AB151" s="317">
        <f t="shared" si="144"/>
        <v>0</v>
      </c>
      <c r="AC151" s="317">
        <f t="shared" si="145"/>
        <v>0</v>
      </c>
      <c r="AD151" s="317">
        <f t="shared" si="146"/>
        <v>0</v>
      </c>
      <c r="AE151" s="317">
        <f t="shared" si="147"/>
        <v>0</v>
      </c>
      <c r="AF151" s="317">
        <f t="shared" si="172"/>
        <v>0</v>
      </c>
      <c r="AG151" s="317">
        <f t="shared" si="173"/>
        <v>0</v>
      </c>
      <c r="AH151" s="317">
        <f t="shared" si="148"/>
        <v>0</v>
      </c>
      <c r="AI151" s="317">
        <f t="shared" si="149"/>
        <v>0</v>
      </c>
      <c r="AJ151" s="317">
        <f t="shared" si="150"/>
        <v>0</v>
      </c>
      <c r="AK151" s="317">
        <f t="shared" si="151"/>
        <v>0</v>
      </c>
      <c r="AL151" s="317">
        <f t="shared" si="152"/>
        <v>0</v>
      </c>
      <c r="AM151" s="317">
        <f t="shared" si="153"/>
        <v>0</v>
      </c>
      <c r="AN151" s="317">
        <f t="shared" si="154"/>
        <v>0</v>
      </c>
      <c r="AO151" s="317">
        <f t="shared" si="155"/>
        <v>0</v>
      </c>
      <c r="AP151" s="317">
        <f t="shared" si="156"/>
        <v>0</v>
      </c>
      <c r="AQ151" s="317">
        <f t="shared" si="157"/>
        <v>0</v>
      </c>
      <c r="AR151" s="317">
        <f t="shared" si="158"/>
        <v>0</v>
      </c>
      <c r="AS151" s="317">
        <f t="shared" si="159"/>
        <v>0</v>
      </c>
      <c r="AT151" s="317">
        <f t="shared" si="160"/>
        <v>0</v>
      </c>
      <c r="AU151" s="317">
        <f t="shared" si="161"/>
        <v>0</v>
      </c>
      <c r="AV151" s="317">
        <f t="shared" si="162"/>
        <v>0</v>
      </c>
      <c r="AW151" s="317">
        <f t="shared" si="163"/>
        <v>0</v>
      </c>
      <c r="AX151" s="317">
        <f t="shared" si="164"/>
        <v>0</v>
      </c>
      <c r="AY151" s="317">
        <f t="shared" si="165"/>
        <v>0</v>
      </c>
      <c r="AZ151" s="317">
        <f t="shared" si="166"/>
        <v>0</v>
      </c>
      <c r="BA151" s="317">
        <f t="shared" si="167"/>
        <v>0</v>
      </c>
    </row>
    <row r="152" spans="1:53" s="314" customFormat="1" ht="16.5" customHeight="1">
      <c r="A152" s="63" t="str">
        <f t="array" ref="A152">IF(C152&lt;&gt;0,SUM(($C$11:C152&lt;&gt;0)*1),"")</f>
        <v/>
      </c>
      <c r="B152" s="315"/>
      <c r="C152" s="315"/>
      <c r="D152" s="315"/>
      <c r="E152" s="432"/>
      <c r="F152" s="371"/>
      <c r="G152" s="373"/>
      <c r="H152" s="373"/>
      <c r="I152" s="63" t="str">
        <f t="shared" si="129"/>
        <v/>
      </c>
      <c r="J152" s="317">
        <f t="shared" si="130"/>
        <v>0</v>
      </c>
      <c r="K152" s="317">
        <f t="shared" si="131"/>
        <v>0</v>
      </c>
      <c r="L152" s="317">
        <f t="shared" si="132"/>
        <v>0</v>
      </c>
      <c r="M152" s="317">
        <f t="shared" si="133"/>
        <v>0</v>
      </c>
      <c r="N152" s="317">
        <f t="shared" si="168"/>
        <v>0</v>
      </c>
      <c r="O152" s="317">
        <f t="shared" si="169"/>
        <v>0</v>
      </c>
      <c r="P152" s="317">
        <f t="shared" si="134"/>
        <v>0</v>
      </c>
      <c r="Q152" s="317">
        <f t="shared" si="135"/>
        <v>0</v>
      </c>
      <c r="R152" s="317">
        <f t="shared" si="136"/>
        <v>0</v>
      </c>
      <c r="S152" s="317">
        <f t="shared" si="137"/>
        <v>0</v>
      </c>
      <c r="T152" s="317">
        <f t="shared" si="170"/>
        <v>0</v>
      </c>
      <c r="U152" s="317">
        <f t="shared" si="171"/>
        <v>0</v>
      </c>
      <c r="V152" s="317">
        <f t="shared" si="138"/>
        <v>0</v>
      </c>
      <c r="W152" s="317">
        <f t="shared" si="139"/>
        <v>0</v>
      </c>
      <c r="X152" s="317">
        <f t="shared" si="140"/>
        <v>0</v>
      </c>
      <c r="Y152" s="317">
        <f t="shared" si="141"/>
        <v>0</v>
      </c>
      <c r="Z152" s="317">
        <f t="shared" si="142"/>
        <v>0</v>
      </c>
      <c r="AA152" s="317">
        <f t="shared" si="143"/>
        <v>0</v>
      </c>
      <c r="AB152" s="317">
        <f t="shared" si="144"/>
        <v>0</v>
      </c>
      <c r="AC152" s="317">
        <f t="shared" si="145"/>
        <v>0</v>
      </c>
      <c r="AD152" s="317">
        <f t="shared" si="146"/>
        <v>0</v>
      </c>
      <c r="AE152" s="317">
        <f t="shared" si="147"/>
        <v>0</v>
      </c>
      <c r="AF152" s="317">
        <f t="shared" si="172"/>
        <v>0</v>
      </c>
      <c r="AG152" s="317">
        <f t="shared" si="173"/>
        <v>0</v>
      </c>
      <c r="AH152" s="317">
        <f t="shared" si="148"/>
        <v>0</v>
      </c>
      <c r="AI152" s="317">
        <f t="shared" si="149"/>
        <v>0</v>
      </c>
      <c r="AJ152" s="317">
        <f t="shared" si="150"/>
        <v>0</v>
      </c>
      <c r="AK152" s="317">
        <f t="shared" si="151"/>
        <v>0</v>
      </c>
      <c r="AL152" s="317">
        <f t="shared" si="152"/>
        <v>0</v>
      </c>
      <c r="AM152" s="317">
        <f t="shared" si="153"/>
        <v>0</v>
      </c>
      <c r="AN152" s="317">
        <f t="shared" si="154"/>
        <v>0</v>
      </c>
      <c r="AO152" s="317">
        <f t="shared" si="155"/>
        <v>0</v>
      </c>
      <c r="AP152" s="317">
        <f t="shared" si="156"/>
        <v>0</v>
      </c>
      <c r="AQ152" s="317">
        <f t="shared" si="157"/>
        <v>0</v>
      </c>
      <c r="AR152" s="317">
        <f t="shared" si="158"/>
        <v>0</v>
      </c>
      <c r="AS152" s="317">
        <f t="shared" si="159"/>
        <v>0</v>
      </c>
      <c r="AT152" s="317">
        <f t="shared" si="160"/>
        <v>0</v>
      </c>
      <c r="AU152" s="317">
        <f t="shared" si="161"/>
        <v>0</v>
      </c>
      <c r="AV152" s="317">
        <f t="shared" si="162"/>
        <v>0</v>
      </c>
      <c r="AW152" s="317">
        <f t="shared" si="163"/>
        <v>0</v>
      </c>
      <c r="AX152" s="317">
        <f t="shared" si="164"/>
        <v>0</v>
      </c>
      <c r="AY152" s="317">
        <f t="shared" si="165"/>
        <v>0</v>
      </c>
      <c r="AZ152" s="317">
        <f t="shared" si="166"/>
        <v>0</v>
      </c>
      <c r="BA152" s="317">
        <f t="shared" si="167"/>
        <v>0</v>
      </c>
    </row>
    <row r="153" spans="1:53" s="314" customFormat="1" ht="16.5" customHeight="1">
      <c r="A153" s="63" t="str">
        <f t="array" ref="A153">IF(C153&lt;&gt;0,SUM(($C$11:C153&lt;&gt;0)*1),"")</f>
        <v/>
      </c>
      <c r="B153" s="315"/>
      <c r="C153" s="315"/>
      <c r="D153" s="315"/>
      <c r="E153" s="432"/>
      <c r="F153" s="371"/>
      <c r="G153" s="373"/>
      <c r="H153" s="373"/>
      <c r="I153" s="63" t="str">
        <f t="shared" si="129"/>
        <v/>
      </c>
      <c r="J153" s="317">
        <f t="shared" si="130"/>
        <v>0</v>
      </c>
      <c r="K153" s="317">
        <f t="shared" si="131"/>
        <v>0</v>
      </c>
      <c r="L153" s="317">
        <f t="shared" si="132"/>
        <v>0</v>
      </c>
      <c r="M153" s="317">
        <f t="shared" si="133"/>
        <v>0</v>
      </c>
      <c r="N153" s="317">
        <f t="shared" si="168"/>
        <v>0</v>
      </c>
      <c r="O153" s="317">
        <f t="shared" si="169"/>
        <v>0</v>
      </c>
      <c r="P153" s="317">
        <f t="shared" si="134"/>
        <v>0</v>
      </c>
      <c r="Q153" s="317">
        <f t="shared" si="135"/>
        <v>0</v>
      </c>
      <c r="R153" s="317">
        <f t="shared" si="136"/>
        <v>0</v>
      </c>
      <c r="S153" s="317">
        <f t="shared" si="137"/>
        <v>0</v>
      </c>
      <c r="T153" s="317">
        <f t="shared" si="170"/>
        <v>0</v>
      </c>
      <c r="U153" s="317">
        <f t="shared" si="171"/>
        <v>0</v>
      </c>
      <c r="V153" s="317">
        <f t="shared" si="138"/>
        <v>0</v>
      </c>
      <c r="W153" s="317">
        <f t="shared" si="139"/>
        <v>0</v>
      </c>
      <c r="X153" s="317">
        <f t="shared" si="140"/>
        <v>0</v>
      </c>
      <c r="Y153" s="317">
        <f t="shared" si="141"/>
        <v>0</v>
      </c>
      <c r="Z153" s="317">
        <f t="shared" si="142"/>
        <v>0</v>
      </c>
      <c r="AA153" s="317">
        <f t="shared" si="143"/>
        <v>0</v>
      </c>
      <c r="AB153" s="317">
        <f t="shared" si="144"/>
        <v>0</v>
      </c>
      <c r="AC153" s="317">
        <f t="shared" si="145"/>
        <v>0</v>
      </c>
      <c r="AD153" s="317">
        <f t="shared" si="146"/>
        <v>0</v>
      </c>
      <c r="AE153" s="317">
        <f t="shared" si="147"/>
        <v>0</v>
      </c>
      <c r="AF153" s="317">
        <f t="shared" si="172"/>
        <v>0</v>
      </c>
      <c r="AG153" s="317">
        <f t="shared" si="173"/>
        <v>0</v>
      </c>
      <c r="AH153" s="317">
        <f t="shared" si="148"/>
        <v>0</v>
      </c>
      <c r="AI153" s="317">
        <f t="shared" si="149"/>
        <v>0</v>
      </c>
      <c r="AJ153" s="317">
        <f t="shared" si="150"/>
        <v>0</v>
      </c>
      <c r="AK153" s="317">
        <f t="shared" si="151"/>
        <v>0</v>
      </c>
      <c r="AL153" s="317">
        <f t="shared" si="152"/>
        <v>0</v>
      </c>
      <c r="AM153" s="317">
        <f t="shared" si="153"/>
        <v>0</v>
      </c>
      <c r="AN153" s="317">
        <f t="shared" si="154"/>
        <v>0</v>
      </c>
      <c r="AO153" s="317">
        <f t="shared" si="155"/>
        <v>0</v>
      </c>
      <c r="AP153" s="317">
        <f t="shared" si="156"/>
        <v>0</v>
      </c>
      <c r="AQ153" s="317">
        <f t="shared" si="157"/>
        <v>0</v>
      </c>
      <c r="AR153" s="317">
        <f t="shared" si="158"/>
        <v>0</v>
      </c>
      <c r="AS153" s="317">
        <f t="shared" si="159"/>
        <v>0</v>
      </c>
      <c r="AT153" s="317">
        <f t="shared" si="160"/>
        <v>0</v>
      </c>
      <c r="AU153" s="317">
        <f t="shared" si="161"/>
        <v>0</v>
      </c>
      <c r="AV153" s="317">
        <f t="shared" si="162"/>
        <v>0</v>
      </c>
      <c r="AW153" s="317">
        <f t="shared" si="163"/>
        <v>0</v>
      </c>
      <c r="AX153" s="317">
        <f t="shared" si="164"/>
        <v>0</v>
      </c>
      <c r="AY153" s="317">
        <f t="shared" si="165"/>
        <v>0</v>
      </c>
      <c r="AZ153" s="317">
        <f t="shared" si="166"/>
        <v>0</v>
      </c>
      <c r="BA153" s="317">
        <f t="shared" si="167"/>
        <v>0</v>
      </c>
    </row>
    <row r="154" spans="1:53" s="314" customFormat="1" ht="16.5" customHeight="1">
      <c r="A154" s="63" t="str">
        <f t="array" ref="A154">IF(C154&lt;&gt;0,SUM(($C$11:C154&lt;&gt;0)*1),"")</f>
        <v/>
      </c>
      <c r="B154" s="315"/>
      <c r="C154" s="315"/>
      <c r="D154" s="315"/>
      <c r="E154" s="432"/>
      <c r="F154" s="371"/>
      <c r="G154" s="373"/>
      <c r="H154" s="373"/>
      <c r="I154" s="63" t="str">
        <f t="shared" si="129"/>
        <v/>
      </c>
      <c r="J154" s="317">
        <f t="shared" si="130"/>
        <v>0</v>
      </c>
      <c r="K154" s="317">
        <f t="shared" si="131"/>
        <v>0</v>
      </c>
      <c r="L154" s="317">
        <f t="shared" si="132"/>
        <v>0</v>
      </c>
      <c r="M154" s="317">
        <f t="shared" si="133"/>
        <v>0</v>
      </c>
      <c r="N154" s="317">
        <f t="shared" si="168"/>
        <v>0</v>
      </c>
      <c r="O154" s="317">
        <f t="shared" si="169"/>
        <v>0</v>
      </c>
      <c r="P154" s="317">
        <f t="shared" si="134"/>
        <v>0</v>
      </c>
      <c r="Q154" s="317">
        <f t="shared" si="135"/>
        <v>0</v>
      </c>
      <c r="R154" s="317">
        <f t="shared" si="136"/>
        <v>0</v>
      </c>
      <c r="S154" s="317">
        <f t="shared" si="137"/>
        <v>0</v>
      </c>
      <c r="T154" s="317">
        <f t="shared" si="170"/>
        <v>0</v>
      </c>
      <c r="U154" s="317">
        <f t="shared" si="171"/>
        <v>0</v>
      </c>
      <c r="V154" s="317">
        <f t="shared" si="138"/>
        <v>0</v>
      </c>
      <c r="W154" s="317">
        <f t="shared" si="139"/>
        <v>0</v>
      </c>
      <c r="X154" s="317">
        <f t="shared" si="140"/>
        <v>0</v>
      </c>
      <c r="Y154" s="317">
        <f t="shared" si="141"/>
        <v>0</v>
      </c>
      <c r="Z154" s="317">
        <f t="shared" si="142"/>
        <v>0</v>
      </c>
      <c r="AA154" s="317">
        <f t="shared" si="143"/>
        <v>0</v>
      </c>
      <c r="AB154" s="317">
        <f t="shared" si="144"/>
        <v>0</v>
      </c>
      <c r="AC154" s="317">
        <f t="shared" si="145"/>
        <v>0</v>
      </c>
      <c r="AD154" s="317">
        <f t="shared" si="146"/>
        <v>0</v>
      </c>
      <c r="AE154" s="317">
        <f t="shared" si="147"/>
        <v>0</v>
      </c>
      <c r="AF154" s="317">
        <f t="shared" si="172"/>
        <v>0</v>
      </c>
      <c r="AG154" s="317">
        <f t="shared" si="173"/>
        <v>0</v>
      </c>
      <c r="AH154" s="317">
        <f t="shared" si="148"/>
        <v>0</v>
      </c>
      <c r="AI154" s="317">
        <f t="shared" si="149"/>
        <v>0</v>
      </c>
      <c r="AJ154" s="317">
        <f t="shared" si="150"/>
        <v>0</v>
      </c>
      <c r="AK154" s="317">
        <f t="shared" si="151"/>
        <v>0</v>
      </c>
      <c r="AL154" s="317">
        <f t="shared" si="152"/>
        <v>0</v>
      </c>
      <c r="AM154" s="317">
        <f t="shared" si="153"/>
        <v>0</v>
      </c>
      <c r="AN154" s="317">
        <f t="shared" si="154"/>
        <v>0</v>
      </c>
      <c r="AO154" s="317">
        <f t="shared" si="155"/>
        <v>0</v>
      </c>
      <c r="AP154" s="317">
        <f t="shared" si="156"/>
        <v>0</v>
      </c>
      <c r="AQ154" s="317">
        <f t="shared" si="157"/>
        <v>0</v>
      </c>
      <c r="AR154" s="317">
        <f t="shared" si="158"/>
        <v>0</v>
      </c>
      <c r="AS154" s="317">
        <f t="shared" si="159"/>
        <v>0</v>
      </c>
      <c r="AT154" s="317">
        <f t="shared" si="160"/>
        <v>0</v>
      </c>
      <c r="AU154" s="317">
        <f t="shared" si="161"/>
        <v>0</v>
      </c>
      <c r="AV154" s="317">
        <f t="shared" si="162"/>
        <v>0</v>
      </c>
      <c r="AW154" s="317">
        <f t="shared" si="163"/>
        <v>0</v>
      </c>
      <c r="AX154" s="317">
        <f t="shared" si="164"/>
        <v>0</v>
      </c>
      <c r="AY154" s="317">
        <f t="shared" si="165"/>
        <v>0</v>
      </c>
      <c r="AZ154" s="317">
        <f t="shared" si="166"/>
        <v>0</v>
      </c>
      <c r="BA154" s="317">
        <f t="shared" si="167"/>
        <v>0</v>
      </c>
    </row>
    <row r="155" spans="1:53" s="314" customFormat="1" ht="16.5" customHeight="1">
      <c r="A155" s="63" t="str">
        <f t="array" ref="A155">IF(C155&lt;&gt;0,SUM(($C$11:C155&lt;&gt;0)*1),"")</f>
        <v/>
      </c>
      <c r="B155" s="315"/>
      <c r="C155" s="315"/>
      <c r="D155" s="315"/>
      <c r="E155" s="432"/>
      <c r="F155" s="371"/>
      <c r="G155" s="373"/>
      <c r="H155" s="373"/>
      <c r="I155" s="63" t="str">
        <f t="shared" si="129"/>
        <v/>
      </c>
      <c r="J155" s="317">
        <f t="shared" si="130"/>
        <v>0</v>
      </c>
      <c r="K155" s="317">
        <f t="shared" si="131"/>
        <v>0</v>
      </c>
      <c r="L155" s="317">
        <f t="shared" si="132"/>
        <v>0</v>
      </c>
      <c r="M155" s="317">
        <f t="shared" si="133"/>
        <v>0</v>
      </c>
      <c r="N155" s="317">
        <f t="shared" si="168"/>
        <v>0</v>
      </c>
      <c r="O155" s="317">
        <f t="shared" si="169"/>
        <v>0</v>
      </c>
      <c r="P155" s="317">
        <f t="shared" si="134"/>
        <v>0</v>
      </c>
      <c r="Q155" s="317">
        <f t="shared" si="135"/>
        <v>0</v>
      </c>
      <c r="R155" s="317">
        <f t="shared" si="136"/>
        <v>0</v>
      </c>
      <c r="S155" s="317">
        <f t="shared" si="137"/>
        <v>0</v>
      </c>
      <c r="T155" s="317">
        <f t="shared" si="170"/>
        <v>0</v>
      </c>
      <c r="U155" s="317">
        <f t="shared" si="171"/>
        <v>0</v>
      </c>
      <c r="V155" s="317">
        <f t="shared" si="138"/>
        <v>0</v>
      </c>
      <c r="W155" s="317">
        <f t="shared" si="139"/>
        <v>0</v>
      </c>
      <c r="X155" s="317">
        <f t="shared" si="140"/>
        <v>0</v>
      </c>
      <c r="Y155" s="317">
        <f t="shared" si="141"/>
        <v>0</v>
      </c>
      <c r="Z155" s="317">
        <f t="shared" si="142"/>
        <v>0</v>
      </c>
      <c r="AA155" s="317">
        <f t="shared" si="143"/>
        <v>0</v>
      </c>
      <c r="AB155" s="317">
        <f t="shared" si="144"/>
        <v>0</v>
      </c>
      <c r="AC155" s="317">
        <f t="shared" si="145"/>
        <v>0</v>
      </c>
      <c r="AD155" s="317">
        <f t="shared" si="146"/>
        <v>0</v>
      </c>
      <c r="AE155" s="317">
        <f t="shared" si="147"/>
        <v>0</v>
      </c>
      <c r="AF155" s="317">
        <f t="shared" si="172"/>
        <v>0</v>
      </c>
      <c r="AG155" s="317">
        <f t="shared" si="173"/>
        <v>0</v>
      </c>
      <c r="AH155" s="317">
        <f t="shared" si="148"/>
        <v>0</v>
      </c>
      <c r="AI155" s="317">
        <f t="shared" si="149"/>
        <v>0</v>
      </c>
      <c r="AJ155" s="317">
        <f t="shared" si="150"/>
        <v>0</v>
      </c>
      <c r="AK155" s="317">
        <f t="shared" si="151"/>
        <v>0</v>
      </c>
      <c r="AL155" s="317">
        <f t="shared" si="152"/>
        <v>0</v>
      </c>
      <c r="AM155" s="317">
        <f t="shared" si="153"/>
        <v>0</v>
      </c>
      <c r="AN155" s="317">
        <f t="shared" si="154"/>
        <v>0</v>
      </c>
      <c r="AO155" s="317">
        <f t="shared" si="155"/>
        <v>0</v>
      </c>
      <c r="AP155" s="317">
        <f t="shared" si="156"/>
        <v>0</v>
      </c>
      <c r="AQ155" s="317">
        <f t="shared" si="157"/>
        <v>0</v>
      </c>
      <c r="AR155" s="317">
        <f t="shared" si="158"/>
        <v>0</v>
      </c>
      <c r="AS155" s="317">
        <f t="shared" si="159"/>
        <v>0</v>
      </c>
      <c r="AT155" s="317">
        <f t="shared" si="160"/>
        <v>0</v>
      </c>
      <c r="AU155" s="317">
        <f t="shared" si="161"/>
        <v>0</v>
      </c>
      <c r="AV155" s="317">
        <f t="shared" si="162"/>
        <v>0</v>
      </c>
      <c r="AW155" s="317">
        <f t="shared" si="163"/>
        <v>0</v>
      </c>
      <c r="AX155" s="317">
        <f t="shared" si="164"/>
        <v>0</v>
      </c>
      <c r="AY155" s="317">
        <f t="shared" si="165"/>
        <v>0</v>
      </c>
      <c r="AZ155" s="317">
        <f t="shared" si="166"/>
        <v>0</v>
      </c>
      <c r="BA155" s="317">
        <f t="shared" si="167"/>
        <v>0</v>
      </c>
    </row>
    <row r="156" spans="1:53" s="314" customFormat="1" ht="16.5" customHeight="1">
      <c r="A156" s="63" t="str">
        <f t="array" ref="A156">IF(C156&lt;&gt;0,SUM(($C$11:C156&lt;&gt;0)*1),"")</f>
        <v/>
      </c>
      <c r="B156" s="315"/>
      <c r="C156" s="315"/>
      <c r="D156" s="315"/>
      <c r="E156" s="432"/>
      <c r="F156" s="371"/>
      <c r="G156" s="373"/>
      <c r="H156" s="373"/>
      <c r="I156" s="63" t="str">
        <f t="shared" si="129"/>
        <v/>
      </c>
      <c r="J156" s="317">
        <f t="shared" si="130"/>
        <v>0</v>
      </c>
      <c r="K156" s="317">
        <f t="shared" si="131"/>
        <v>0</v>
      </c>
      <c r="L156" s="317">
        <f t="shared" si="132"/>
        <v>0</v>
      </c>
      <c r="M156" s="317">
        <f t="shared" si="133"/>
        <v>0</v>
      </c>
      <c r="N156" s="317">
        <f t="shared" si="168"/>
        <v>0</v>
      </c>
      <c r="O156" s="317">
        <f t="shared" si="169"/>
        <v>0</v>
      </c>
      <c r="P156" s="317">
        <f t="shared" si="134"/>
        <v>0</v>
      </c>
      <c r="Q156" s="317">
        <f t="shared" si="135"/>
        <v>0</v>
      </c>
      <c r="R156" s="317">
        <f t="shared" si="136"/>
        <v>0</v>
      </c>
      <c r="S156" s="317">
        <f t="shared" si="137"/>
        <v>0</v>
      </c>
      <c r="T156" s="317">
        <f t="shared" si="170"/>
        <v>0</v>
      </c>
      <c r="U156" s="317">
        <f t="shared" si="171"/>
        <v>0</v>
      </c>
      <c r="V156" s="317">
        <f t="shared" si="138"/>
        <v>0</v>
      </c>
      <c r="W156" s="317">
        <f t="shared" si="139"/>
        <v>0</v>
      </c>
      <c r="X156" s="317">
        <f t="shared" si="140"/>
        <v>0</v>
      </c>
      <c r="Y156" s="317">
        <f t="shared" si="141"/>
        <v>0</v>
      </c>
      <c r="Z156" s="317">
        <f t="shared" si="142"/>
        <v>0</v>
      </c>
      <c r="AA156" s="317">
        <f t="shared" si="143"/>
        <v>0</v>
      </c>
      <c r="AB156" s="317">
        <f t="shared" si="144"/>
        <v>0</v>
      </c>
      <c r="AC156" s="317">
        <f t="shared" si="145"/>
        <v>0</v>
      </c>
      <c r="AD156" s="317">
        <f t="shared" si="146"/>
        <v>0</v>
      </c>
      <c r="AE156" s="317">
        <f t="shared" si="147"/>
        <v>0</v>
      </c>
      <c r="AF156" s="317">
        <f t="shared" si="172"/>
        <v>0</v>
      </c>
      <c r="AG156" s="317">
        <f t="shared" si="173"/>
        <v>0</v>
      </c>
      <c r="AH156" s="317">
        <f t="shared" si="148"/>
        <v>0</v>
      </c>
      <c r="AI156" s="317">
        <f t="shared" si="149"/>
        <v>0</v>
      </c>
      <c r="AJ156" s="317">
        <f t="shared" si="150"/>
        <v>0</v>
      </c>
      <c r="AK156" s="317">
        <f t="shared" si="151"/>
        <v>0</v>
      </c>
      <c r="AL156" s="317">
        <f t="shared" si="152"/>
        <v>0</v>
      </c>
      <c r="AM156" s="317">
        <f t="shared" si="153"/>
        <v>0</v>
      </c>
      <c r="AN156" s="317">
        <f t="shared" si="154"/>
        <v>0</v>
      </c>
      <c r="AO156" s="317">
        <f t="shared" si="155"/>
        <v>0</v>
      </c>
      <c r="AP156" s="317">
        <f t="shared" si="156"/>
        <v>0</v>
      </c>
      <c r="AQ156" s="317">
        <f t="shared" si="157"/>
        <v>0</v>
      </c>
      <c r="AR156" s="317">
        <f t="shared" si="158"/>
        <v>0</v>
      </c>
      <c r="AS156" s="317">
        <f t="shared" si="159"/>
        <v>0</v>
      </c>
      <c r="AT156" s="317">
        <f t="shared" si="160"/>
        <v>0</v>
      </c>
      <c r="AU156" s="317">
        <f t="shared" si="161"/>
        <v>0</v>
      </c>
      <c r="AV156" s="317">
        <f t="shared" si="162"/>
        <v>0</v>
      </c>
      <c r="AW156" s="317">
        <f t="shared" si="163"/>
        <v>0</v>
      </c>
      <c r="AX156" s="317">
        <f t="shared" si="164"/>
        <v>0</v>
      </c>
      <c r="AY156" s="317">
        <f t="shared" si="165"/>
        <v>0</v>
      </c>
      <c r="AZ156" s="317">
        <f t="shared" si="166"/>
        <v>0</v>
      </c>
      <c r="BA156" s="317">
        <f t="shared" si="167"/>
        <v>0</v>
      </c>
    </row>
    <row r="157" spans="1:53" s="314" customFormat="1" ht="16.5" customHeight="1">
      <c r="A157" s="63" t="str">
        <f t="array" ref="A157">IF(C157&lt;&gt;0,SUM(($C$11:C157&lt;&gt;0)*1),"")</f>
        <v/>
      </c>
      <c r="B157" s="315"/>
      <c r="C157" s="315"/>
      <c r="D157" s="315"/>
      <c r="E157" s="432"/>
      <c r="F157" s="371"/>
      <c r="G157" s="373"/>
      <c r="H157" s="373"/>
      <c r="I157" s="63" t="str">
        <f t="shared" si="129"/>
        <v/>
      </c>
      <c r="J157" s="317">
        <f t="shared" si="130"/>
        <v>0</v>
      </c>
      <c r="K157" s="317">
        <f t="shared" si="131"/>
        <v>0</v>
      </c>
      <c r="L157" s="317">
        <f t="shared" si="132"/>
        <v>0</v>
      </c>
      <c r="M157" s="317">
        <f t="shared" si="133"/>
        <v>0</v>
      </c>
      <c r="N157" s="317">
        <f t="shared" si="168"/>
        <v>0</v>
      </c>
      <c r="O157" s="317">
        <f t="shared" si="169"/>
        <v>0</v>
      </c>
      <c r="P157" s="317">
        <f t="shared" si="134"/>
        <v>0</v>
      </c>
      <c r="Q157" s="317">
        <f t="shared" si="135"/>
        <v>0</v>
      </c>
      <c r="R157" s="317">
        <f t="shared" si="136"/>
        <v>0</v>
      </c>
      <c r="S157" s="317">
        <f t="shared" si="137"/>
        <v>0</v>
      </c>
      <c r="T157" s="317">
        <f t="shared" si="170"/>
        <v>0</v>
      </c>
      <c r="U157" s="317">
        <f t="shared" si="171"/>
        <v>0</v>
      </c>
      <c r="V157" s="317">
        <f t="shared" si="138"/>
        <v>0</v>
      </c>
      <c r="W157" s="317">
        <f t="shared" si="139"/>
        <v>0</v>
      </c>
      <c r="X157" s="317">
        <f t="shared" si="140"/>
        <v>0</v>
      </c>
      <c r="Y157" s="317">
        <f t="shared" si="141"/>
        <v>0</v>
      </c>
      <c r="Z157" s="317">
        <f t="shared" si="142"/>
        <v>0</v>
      </c>
      <c r="AA157" s="317">
        <f t="shared" si="143"/>
        <v>0</v>
      </c>
      <c r="AB157" s="317">
        <f t="shared" si="144"/>
        <v>0</v>
      </c>
      <c r="AC157" s="317">
        <f t="shared" si="145"/>
        <v>0</v>
      </c>
      <c r="AD157" s="317">
        <f t="shared" si="146"/>
        <v>0</v>
      </c>
      <c r="AE157" s="317">
        <f t="shared" si="147"/>
        <v>0</v>
      </c>
      <c r="AF157" s="317">
        <f t="shared" si="172"/>
        <v>0</v>
      </c>
      <c r="AG157" s="317">
        <f t="shared" si="173"/>
        <v>0</v>
      </c>
      <c r="AH157" s="317">
        <f t="shared" si="148"/>
        <v>0</v>
      </c>
      <c r="AI157" s="317">
        <f t="shared" si="149"/>
        <v>0</v>
      </c>
      <c r="AJ157" s="317">
        <f t="shared" si="150"/>
        <v>0</v>
      </c>
      <c r="AK157" s="317">
        <f t="shared" si="151"/>
        <v>0</v>
      </c>
      <c r="AL157" s="317">
        <f t="shared" si="152"/>
        <v>0</v>
      </c>
      <c r="AM157" s="317">
        <f t="shared" si="153"/>
        <v>0</v>
      </c>
      <c r="AN157" s="317">
        <f t="shared" si="154"/>
        <v>0</v>
      </c>
      <c r="AO157" s="317">
        <f t="shared" si="155"/>
        <v>0</v>
      </c>
      <c r="AP157" s="317">
        <f t="shared" si="156"/>
        <v>0</v>
      </c>
      <c r="AQ157" s="317">
        <f t="shared" si="157"/>
        <v>0</v>
      </c>
      <c r="AR157" s="317">
        <f t="shared" si="158"/>
        <v>0</v>
      </c>
      <c r="AS157" s="317">
        <f t="shared" si="159"/>
        <v>0</v>
      </c>
      <c r="AT157" s="317">
        <f t="shared" si="160"/>
        <v>0</v>
      </c>
      <c r="AU157" s="317">
        <f t="shared" si="161"/>
        <v>0</v>
      </c>
      <c r="AV157" s="317">
        <f t="shared" si="162"/>
        <v>0</v>
      </c>
      <c r="AW157" s="317">
        <f t="shared" si="163"/>
        <v>0</v>
      </c>
      <c r="AX157" s="317">
        <f t="shared" si="164"/>
        <v>0</v>
      </c>
      <c r="AY157" s="317">
        <f t="shared" si="165"/>
        <v>0</v>
      </c>
      <c r="AZ157" s="317">
        <f t="shared" si="166"/>
        <v>0</v>
      </c>
      <c r="BA157" s="317">
        <f t="shared" si="167"/>
        <v>0</v>
      </c>
    </row>
    <row r="158" spans="1:53" s="314" customFormat="1" ht="16.5" customHeight="1">
      <c r="A158" s="63" t="str">
        <f t="array" ref="A158">IF(C158&lt;&gt;0,SUM(($C$11:C158&lt;&gt;0)*1),"")</f>
        <v/>
      </c>
      <c r="B158" s="315"/>
      <c r="C158" s="315"/>
      <c r="D158" s="315"/>
      <c r="E158" s="432"/>
      <c r="F158" s="371"/>
      <c r="G158" s="373"/>
      <c r="H158" s="373"/>
      <c r="I158" s="63" t="str">
        <f t="shared" si="129"/>
        <v/>
      </c>
      <c r="J158" s="317">
        <f t="shared" si="130"/>
        <v>0</v>
      </c>
      <c r="K158" s="317">
        <f t="shared" si="131"/>
        <v>0</v>
      </c>
      <c r="L158" s="317">
        <f t="shared" si="132"/>
        <v>0</v>
      </c>
      <c r="M158" s="317">
        <f t="shared" si="133"/>
        <v>0</v>
      </c>
      <c r="N158" s="317">
        <f t="shared" si="168"/>
        <v>0</v>
      </c>
      <c r="O158" s="317">
        <f t="shared" si="169"/>
        <v>0</v>
      </c>
      <c r="P158" s="317">
        <f t="shared" si="134"/>
        <v>0</v>
      </c>
      <c r="Q158" s="317">
        <f t="shared" si="135"/>
        <v>0</v>
      </c>
      <c r="R158" s="317">
        <f t="shared" si="136"/>
        <v>0</v>
      </c>
      <c r="S158" s="317">
        <f t="shared" si="137"/>
        <v>0</v>
      </c>
      <c r="T158" s="317">
        <f t="shared" si="170"/>
        <v>0</v>
      </c>
      <c r="U158" s="317">
        <f t="shared" si="171"/>
        <v>0</v>
      </c>
      <c r="V158" s="317">
        <f t="shared" si="138"/>
        <v>0</v>
      </c>
      <c r="W158" s="317">
        <f t="shared" si="139"/>
        <v>0</v>
      </c>
      <c r="X158" s="317">
        <f t="shared" si="140"/>
        <v>0</v>
      </c>
      <c r="Y158" s="317">
        <f t="shared" si="141"/>
        <v>0</v>
      </c>
      <c r="Z158" s="317">
        <f t="shared" si="142"/>
        <v>0</v>
      </c>
      <c r="AA158" s="317">
        <f t="shared" si="143"/>
        <v>0</v>
      </c>
      <c r="AB158" s="317">
        <f t="shared" si="144"/>
        <v>0</v>
      </c>
      <c r="AC158" s="317">
        <f t="shared" si="145"/>
        <v>0</v>
      </c>
      <c r="AD158" s="317">
        <f t="shared" si="146"/>
        <v>0</v>
      </c>
      <c r="AE158" s="317">
        <f t="shared" si="147"/>
        <v>0</v>
      </c>
      <c r="AF158" s="317">
        <f t="shared" si="172"/>
        <v>0</v>
      </c>
      <c r="AG158" s="317">
        <f t="shared" si="173"/>
        <v>0</v>
      </c>
      <c r="AH158" s="317">
        <f t="shared" si="148"/>
        <v>0</v>
      </c>
      <c r="AI158" s="317">
        <f t="shared" si="149"/>
        <v>0</v>
      </c>
      <c r="AJ158" s="317">
        <f t="shared" si="150"/>
        <v>0</v>
      </c>
      <c r="AK158" s="317">
        <f t="shared" si="151"/>
        <v>0</v>
      </c>
      <c r="AL158" s="317">
        <f t="shared" si="152"/>
        <v>0</v>
      </c>
      <c r="AM158" s="317">
        <f t="shared" si="153"/>
        <v>0</v>
      </c>
      <c r="AN158" s="317">
        <f t="shared" si="154"/>
        <v>0</v>
      </c>
      <c r="AO158" s="317">
        <f t="shared" si="155"/>
        <v>0</v>
      </c>
      <c r="AP158" s="317">
        <f t="shared" si="156"/>
        <v>0</v>
      </c>
      <c r="AQ158" s="317">
        <f t="shared" si="157"/>
        <v>0</v>
      </c>
      <c r="AR158" s="317">
        <f t="shared" si="158"/>
        <v>0</v>
      </c>
      <c r="AS158" s="317">
        <f t="shared" si="159"/>
        <v>0</v>
      </c>
      <c r="AT158" s="317">
        <f t="shared" si="160"/>
        <v>0</v>
      </c>
      <c r="AU158" s="317">
        <f t="shared" si="161"/>
        <v>0</v>
      </c>
      <c r="AV158" s="317">
        <f t="shared" si="162"/>
        <v>0</v>
      </c>
      <c r="AW158" s="317">
        <f t="shared" si="163"/>
        <v>0</v>
      </c>
      <c r="AX158" s="317">
        <f t="shared" si="164"/>
        <v>0</v>
      </c>
      <c r="AY158" s="317">
        <f t="shared" si="165"/>
        <v>0</v>
      </c>
      <c r="AZ158" s="317">
        <f t="shared" si="166"/>
        <v>0</v>
      </c>
      <c r="BA158" s="317">
        <f t="shared" si="167"/>
        <v>0</v>
      </c>
    </row>
    <row r="159" spans="1:53" s="314" customFormat="1" ht="16.5" customHeight="1">
      <c r="A159" s="63" t="str">
        <f t="array" ref="A159">IF(C159&lt;&gt;0,SUM(($C$11:C159&lt;&gt;0)*1),"")</f>
        <v/>
      </c>
      <c r="B159" s="315"/>
      <c r="C159" s="315"/>
      <c r="D159" s="315"/>
      <c r="E159" s="432"/>
      <c r="F159" s="371"/>
      <c r="G159" s="373"/>
      <c r="H159" s="373"/>
      <c r="I159" s="63" t="str">
        <f t="shared" si="129"/>
        <v/>
      </c>
      <c r="J159" s="317">
        <f t="shared" si="130"/>
        <v>0</v>
      </c>
      <c r="K159" s="317">
        <f t="shared" si="131"/>
        <v>0</v>
      </c>
      <c r="L159" s="317">
        <f t="shared" si="132"/>
        <v>0</v>
      </c>
      <c r="M159" s="317">
        <f t="shared" si="133"/>
        <v>0</v>
      </c>
      <c r="N159" s="317">
        <f t="shared" si="168"/>
        <v>0</v>
      </c>
      <c r="O159" s="317">
        <f t="shared" si="169"/>
        <v>0</v>
      </c>
      <c r="P159" s="317">
        <f t="shared" si="134"/>
        <v>0</v>
      </c>
      <c r="Q159" s="317">
        <f t="shared" si="135"/>
        <v>0</v>
      </c>
      <c r="R159" s="317">
        <f t="shared" si="136"/>
        <v>0</v>
      </c>
      <c r="S159" s="317">
        <f t="shared" si="137"/>
        <v>0</v>
      </c>
      <c r="T159" s="317">
        <f t="shared" si="170"/>
        <v>0</v>
      </c>
      <c r="U159" s="317">
        <f t="shared" si="171"/>
        <v>0</v>
      </c>
      <c r="V159" s="317">
        <f t="shared" si="138"/>
        <v>0</v>
      </c>
      <c r="W159" s="317">
        <f t="shared" si="139"/>
        <v>0</v>
      </c>
      <c r="X159" s="317">
        <f t="shared" si="140"/>
        <v>0</v>
      </c>
      <c r="Y159" s="317">
        <f t="shared" si="141"/>
        <v>0</v>
      </c>
      <c r="Z159" s="317">
        <f t="shared" si="142"/>
        <v>0</v>
      </c>
      <c r="AA159" s="317">
        <f t="shared" si="143"/>
        <v>0</v>
      </c>
      <c r="AB159" s="317">
        <f t="shared" si="144"/>
        <v>0</v>
      </c>
      <c r="AC159" s="317">
        <f t="shared" si="145"/>
        <v>0</v>
      </c>
      <c r="AD159" s="317">
        <f t="shared" si="146"/>
        <v>0</v>
      </c>
      <c r="AE159" s="317">
        <f t="shared" si="147"/>
        <v>0</v>
      </c>
      <c r="AF159" s="317">
        <f t="shared" si="172"/>
        <v>0</v>
      </c>
      <c r="AG159" s="317">
        <f t="shared" si="173"/>
        <v>0</v>
      </c>
      <c r="AH159" s="317">
        <f t="shared" si="148"/>
        <v>0</v>
      </c>
      <c r="AI159" s="317">
        <f t="shared" si="149"/>
        <v>0</v>
      </c>
      <c r="AJ159" s="317">
        <f t="shared" si="150"/>
        <v>0</v>
      </c>
      <c r="AK159" s="317">
        <f t="shared" si="151"/>
        <v>0</v>
      </c>
      <c r="AL159" s="317">
        <f t="shared" si="152"/>
        <v>0</v>
      </c>
      <c r="AM159" s="317">
        <f t="shared" si="153"/>
        <v>0</v>
      </c>
      <c r="AN159" s="317">
        <f t="shared" si="154"/>
        <v>0</v>
      </c>
      <c r="AO159" s="317">
        <f t="shared" si="155"/>
        <v>0</v>
      </c>
      <c r="AP159" s="317">
        <f t="shared" si="156"/>
        <v>0</v>
      </c>
      <c r="AQ159" s="317">
        <f t="shared" si="157"/>
        <v>0</v>
      </c>
      <c r="AR159" s="317">
        <f t="shared" si="158"/>
        <v>0</v>
      </c>
      <c r="AS159" s="317">
        <f t="shared" si="159"/>
        <v>0</v>
      </c>
      <c r="AT159" s="317">
        <f t="shared" si="160"/>
        <v>0</v>
      </c>
      <c r="AU159" s="317">
        <f t="shared" si="161"/>
        <v>0</v>
      </c>
      <c r="AV159" s="317">
        <f t="shared" si="162"/>
        <v>0</v>
      </c>
      <c r="AW159" s="317">
        <f t="shared" si="163"/>
        <v>0</v>
      </c>
      <c r="AX159" s="317">
        <f t="shared" si="164"/>
        <v>0</v>
      </c>
      <c r="AY159" s="317">
        <f t="shared" si="165"/>
        <v>0</v>
      </c>
      <c r="AZ159" s="317">
        <f t="shared" si="166"/>
        <v>0</v>
      </c>
      <c r="BA159" s="317">
        <f t="shared" si="167"/>
        <v>0</v>
      </c>
    </row>
    <row r="160" spans="1:53" s="314" customFormat="1" ht="16.5" customHeight="1">
      <c r="A160" s="63" t="str">
        <f t="array" ref="A160">IF(C160&lt;&gt;0,SUM(($C$11:C160&lt;&gt;0)*1),"")</f>
        <v/>
      </c>
      <c r="B160" s="315"/>
      <c r="C160" s="315"/>
      <c r="D160" s="315"/>
      <c r="E160" s="432"/>
      <c r="F160" s="371"/>
      <c r="G160" s="373"/>
      <c r="H160" s="373"/>
      <c r="I160" s="63" t="str">
        <f t="shared" si="129"/>
        <v/>
      </c>
      <c r="J160" s="317">
        <f t="shared" si="130"/>
        <v>0</v>
      </c>
      <c r="K160" s="317">
        <f t="shared" si="131"/>
        <v>0</v>
      </c>
      <c r="L160" s="317">
        <f t="shared" si="132"/>
        <v>0</v>
      </c>
      <c r="M160" s="317">
        <f t="shared" si="133"/>
        <v>0</v>
      </c>
      <c r="N160" s="317">
        <f t="shared" si="168"/>
        <v>0</v>
      </c>
      <c r="O160" s="317">
        <f t="shared" si="169"/>
        <v>0</v>
      </c>
      <c r="P160" s="317">
        <f t="shared" si="134"/>
        <v>0</v>
      </c>
      <c r="Q160" s="317">
        <f t="shared" si="135"/>
        <v>0</v>
      </c>
      <c r="R160" s="317">
        <f t="shared" si="136"/>
        <v>0</v>
      </c>
      <c r="S160" s="317">
        <f t="shared" si="137"/>
        <v>0</v>
      </c>
      <c r="T160" s="317">
        <f t="shared" si="170"/>
        <v>0</v>
      </c>
      <c r="U160" s="317">
        <f t="shared" si="171"/>
        <v>0</v>
      </c>
      <c r="V160" s="317">
        <f t="shared" si="138"/>
        <v>0</v>
      </c>
      <c r="W160" s="317">
        <f t="shared" si="139"/>
        <v>0</v>
      </c>
      <c r="X160" s="317">
        <f t="shared" si="140"/>
        <v>0</v>
      </c>
      <c r="Y160" s="317">
        <f t="shared" si="141"/>
        <v>0</v>
      </c>
      <c r="Z160" s="317">
        <f t="shared" si="142"/>
        <v>0</v>
      </c>
      <c r="AA160" s="317">
        <f t="shared" si="143"/>
        <v>0</v>
      </c>
      <c r="AB160" s="317">
        <f t="shared" si="144"/>
        <v>0</v>
      </c>
      <c r="AC160" s="317">
        <f t="shared" si="145"/>
        <v>0</v>
      </c>
      <c r="AD160" s="317">
        <f t="shared" si="146"/>
        <v>0</v>
      </c>
      <c r="AE160" s="317">
        <f t="shared" si="147"/>
        <v>0</v>
      </c>
      <c r="AF160" s="317">
        <f t="shared" si="172"/>
        <v>0</v>
      </c>
      <c r="AG160" s="317">
        <f t="shared" si="173"/>
        <v>0</v>
      </c>
      <c r="AH160" s="317">
        <f t="shared" si="148"/>
        <v>0</v>
      </c>
      <c r="AI160" s="317">
        <f t="shared" si="149"/>
        <v>0</v>
      </c>
      <c r="AJ160" s="317">
        <f t="shared" si="150"/>
        <v>0</v>
      </c>
      <c r="AK160" s="317">
        <f t="shared" si="151"/>
        <v>0</v>
      </c>
      <c r="AL160" s="317">
        <f t="shared" si="152"/>
        <v>0</v>
      </c>
      <c r="AM160" s="317">
        <f t="shared" si="153"/>
        <v>0</v>
      </c>
      <c r="AN160" s="317">
        <f t="shared" si="154"/>
        <v>0</v>
      </c>
      <c r="AO160" s="317">
        <f t="shared" si="155"/>
        <v>0</v>
      </c>
      <c r="AP160" s="317">
        <f t="shared" si="156"/>
        <v>0</v>
      </c>
      <c r="AQ160" s="317">
        <f t="shared" si="157"/>
        <v>0</v>
      </c>
      <c r="AR160" s="317">
        <f t="shared" si="158"/>
        <v>0</v>
      </c>
      <c r="AS160" s="317">
        <f t="shared" si="159"/>
        <v>0</v>
      </c>
      <c r="AT160" s="317">
        <f t="shared" si="160"/>
        <v>0</v>
      </c>
      <c r="AU160" s="317">
        <f t="shared" si="161"/>
        <v>0</v>
      </c>
      <c r="AV160" s="317">
        <f t="shared" si="162"/>
        <v>0</v>
      </c>
      <c r="AW160" s="317">
        <f t="shared" si="163"/>
        <v>0</v>
      </c>
      <c r="AX160" s="317">
        <f t="shared" si="164"/>
        <v>0</v>
      </c>
      <c r="AY160" s="317">
        <f t="shared" si="165"/>
        <v>0</v>
      </c>
      <c r="AZ160" s="317">
        <f t="shared" si="166"/>
        <v>0</v>
      </c>
      <c r="BA160" s="317">
        <f t="shared" si="167"/>
        <v>0</v>
      </c>
    </row>
    <row r="161" spans="1:53" s="314" customFormat="1" ht="16.5" customHeight="1">
      <c r="A161" s="63" t="str">
        <f t="array" ref="A161">IF(C161&lt;&gt;0,SUM(($C$11:C161&lt;&gt;0)*1),"")</f>
        <v/>
      </c>
      <c r="B161" s="315"/>
      <c r="C161" s="315"/>
      <c r="D161" s="315"/>
      <c r="E161" s="432"/>
      <c r="F161" s="371"/>
      <c r="G161" s="373"/>
      <c r="H161" s="373"/>
      <c r="I161" s="63" t="str">
        <f t="shared" si="129"/>
        <v/>
      </c>
      <c r="J161" s="317">
        <f t="shared" si="130"/>
        <v>0</v>
      </c>
      <c r="K161" s="317">
        <f t="shared" si="131"/>
        <v>0</v>
      </c>
      <c r="L161" s="317">
        <f t="shared" si="132"/>
        <v>0</v>
      </c>
      <c r="M161" s="317">
        <f t="shared" si="133"/>
        <v>0</v>
      </c>
      <c r="N161" s="317">
        <f t="shared" si="168"/>
        <v>0</v>
      </c>
      <c r="O161" s="317">
        <f t="shared" si="169"/>
        <v>0</v>
      </c>
      <c r="P161" s="317">
        <f t="shared" si="134"/>
        <v>0</v>
      </c>
      <c r="Q161" s="317">
        <f t="shared" si="135"/>
        <v>0</v>
      </c>
      <c r="R161" s="317">
        <f t="shared" si="136"/>
        <v>0</v>
      </c>
      <c r="S161" s="317">
        <f t="shared" si="137"/>
        <v>0</v>
      </c>
      <c r="T161" s="317">
        <f t="shared" si="170"/>
        <v>0</v>
      </c>
      <c r="U161" s="317">
        <f t="shared" si="171"/>
        <v>0</v>
      </c>
      <c r="V161" s="317">
        <f t="shared" si="138"/>
        <v>0</v>
      </c>
      <c r="W161" s="317">
        <f t="shared" si="139"/>
        <v>0</v>
      </c>
      <c r="X161" s="317">
        <f t="shared" si="140"/>
        <v>0</v>
      </c>
      <c r="Y161" s="317">
        <f t="shared" si="141"/>
        <v>0</v>
      </c>
      <c r="Z161" s="317">
        <f t="shared" si="142"/>
        <v>0</v>
      </c>
      <c r="AA161" s="317">
        <f t="shared" si="143"/>
        <v>0</v>
      </c>
      <c r="AB161" s="317">
        <f t="shared" si="144"/>
        <v>0</v>
      </c>
      <c r="AC161" s="317">
        <f t="shared" si="145"/>
        <v>0</v>
      </c>
      <c r="AD161" s="317">
        <f t="shared" si="146"/>
        <v>0</v>
      </c>
      <c r="AE161" s="317">
        <f t="shared" si="147"/>
        <v>0</v>
      </c>
      <c r="AF161" s="317">
        <f t="shared" si="172"/>
        <v>0</v>
      </c>
      <c r="AG161" s="317">
        <f t="shared" si="173"/>
        <v>0</v>
      </c>
      <c r="AH161" s="317">
        <f t="shared" si="148"/>
        <v>0</v>
      </c>
      <c r="AI161" s="317">
        <f t="shared" si="149"/>
        <v>0</v>
      </c>
      <c r="AJ161" s="317">
        <f t="shared" si="150"/>
        <v>0</v>
      </c>
      <c r="AK161" s="317">
        <f t="shared" si="151"/>
        <v>0</v>
      </c>
      <c r="AL161" s="317">
        <f t="shared" si="152"/>
        <v>0</v>
      </c>
      <c r="AM161" s="317">
        <f t="shared" si="153"/>
        <v>0</v>
      </c>
      <c r="AN161" s="317">
        <f t="shared" si="154"/>
        <v>0</v>
      </c>
      <c r="AO161" s="317">
        <f t="shared" si="155"/>
        <v>0</v>
      </c>
      <c r="AP161" s="317">
        <f t="shared" si="156"/>
        <v>0</v>
      </c>
      <c r="AQ161" s="317">
        <f t="shared" si="157"/>
        <v>0</v>
      </c>
      <c r="AR161" s="317">
        <f t="shared" si="158"/>
        <v>0</v>
      </c>
      <c r="AS161" s="317">
        <f t="shared" si="159"/>
        <v>0</v>
      </c>
      <c r="AT161" s="317">
        <f t="shared" si="160"/>
        <v>0</v>
      </c>
      <c r="AU161" s="317">
        <f t="shared" si="161"/>
        <v>0</v>
      </c>
      <c r="AV161" s="317">
        <f t="shared" si="162"/>
        <v>0</v>
      </c>
      <c r="AW161" s="317">
        <f t="shared" si="163"/>
        <v>0</v>
      </c>
      <c r="AX161" s="317">
        <f t="shared" si="164"/>
        <v>0</v>
      </c>
      <c r="AY161" s="317">
        <f t="shared" si="165"/>
        <v>0</v>
      </c>
      <c r="AZ161" s="317">
        <f t="shared" si="166"/>
        <v>0</v>
      </c>
      <c r="BA161" s="317">
        <f t="shared" si="167"/>
        <v>0</v>
      </c>
    </row>
    <row r="162" spans="1:53" s="314" customFormat="1" ht="16.5" customHeight="1">
      <c r="A162" s="63" t="str">
        <f t="array" ref="A162">IF(C162&lt;&gt;0,SUM(($C$11:C162&lt;&gt;0)*1),"")</f>
        <v/>
      </c>
      <c r="B162" s="315"/>
      <c r="C162" s="315"/>
      <c r="D162" s="315"/>
      <c r="E162" s="432"/>
      <c r="F162" s="371"/>
      <c r="G162" s="373"/>
      <c r="H162" s="373"/>
      <c r="I162" s="63" t="str">
        <f t="shared" si="129"/>
        <v/>
      </c>
      <c r="J162" s="317">
        <f t="shared" si="130"/>
        <v>0</v>
      </c>
      <c r="K162" s="317">
        <f t="shared" si="131"/>
        <v>0</v>
      </c>
      <c r="L162" s="317">
        <f t="shared" si="132"/>
        <v>0</v>
      </c>
      <c r="M162" s="317">
        <f t="shared" si="133"/>
        <v>0</v>
      </c>
      <c r="N162" s="317">
        <f t="shared" si="168"/>
        <v>0</v>
      </c>
      <c r="O162" s="317">
        <f t="shared" si="169"/>
        <v>0</v>
      </c>
      <c r="P162" s="317">
        <f t="shared" si="134"/>
        <v>0</v>
      </c>
      <c r="Q162" s="317">
        <f t="shared" si="135"/>
        <v>0</v>
      </c>
      <c r="R162" s="317">
        <f t="shared" si="136"/>
        <v>0</v>
      </c>
      <c r="S162" s="317">
        <f t="shared" si="137"/>
        <v>0</v>
      </c>
      <c r="T162" s="317">
        <f t="shared" si="170"/>
        <v>0</v>
      </c>
      <c r="U162" s="317">
        <f t="shared" si="171"/>
        <v>0</v>
      </c>
      <c r="V162" s="317">
        <f t="shared" si="138"/>
        <v>0</v>
      </c>
      <c r="W162" s="317">
        <f t="shared" si="139"/>
        <v>0</v>
      </c>
      <c r="X162" s="317">
        <f t="shared" si="140"/>
        <v>0</v>
      </c>
      <c r="Y162" s="317">
        <f t="shared" si="141"/>
        <v>0</v>
      </c>
      <c r="Z162" s="317">
        <f t="shared" si="142"/>
        <v>0</v>
      </c>
      <c r="AA162" s="317">
        <f t="shared" si="143"/>
        <v>0</v>
      </c>
      <c r="AB162" s="317">
        <f t="shared" si="144"/>
        <v>0</v>
      </c>
      <c r="AC162" s="317">
        <f t="shared" si="145"/>
        <v>0</v>
      </c>
      <c r="AD162" s="317">
        <f t="shared" si="146"/>
        <v>0</v>
      </c>
      <c r="AE162" s="317">
        <f t="shared" si="147"/>
        <v>0</v>
      </c>
      <c r="AF162" s="317">
        <f t="shared" si="172"/>
        <v>0</v>
      </c>
      <c r="AG162" s="317">
        <f t="shared" si="173"/>
        <v>0</v>
      </c>
      <c r="AH162" s="317">
        <f t="shared" si="148"/>
        <v>0</v>
      </c>
      <c r="AI162" s="317">
        <f t="shared" si="149"/>
        <v>0</v>
      </c>
      <c r="AJ162" s="317">
        <f t="shared" si="150"/>
        <v>0</v>
      </c>
      <c r="AK162" s="317">
        <f t="shared" si="151"/>
        <v>0</v>
      </c>
      <c r="AL162" s="317">
        <f t="shared" si="152"/>
        <v>0</v>
      </c>
      <c r="AM162" s="317">
        <f t="shared" si="153"/>
        <v>0</v>
      </c>
      <c r="AN162" s="317">
        <f t="shared" si="154"/>
        <v>0</v>
      </c>
      <c r="AO162" s="317">
        <f t="shared" si="155"/>
        <v>0</v>
      </c>
      <c r="AP162" s="317">
        <f t="shared" si="156"/>
        <v>0</v>
      </c>
      <c r="AQ162" s="317">
        <f t="shared" si="157"/>
        <v>0</v>
      </c>
      <c r="AR162" s="317">
        <f t="shared" si="158"/>
        <v>0</v>
      </c>
      <c r="AS162" s="317">
        <f t="shared" si="159"/>
        <v>0</v>
      </c>
      <c r="AT162" s="317">
        <f t="shared" si="160"/>
        <v>0</v>
      </c>
      <c r="AU162" s="317">
        <f t="shared" si="161"/>
        <v>0</v>
      </c>
      <c r="AV162" s="317">
        <f t="shared" si="162"/>
        <v>0</v>
      </c>
      <c r="AW162" s="317">
        <f t="shared" si="163"/>
        <v>0</v>
      </c>
      <c r="AX162" s="317">
        <f t="shared" si="164"/>
        <v>0</v>
      </c>
      <c r="AY162" s="317">
        <f t="shared" si="165"/>
        <v>0</v>
      </c>
      <c r="AZ162" s="317">
        <f t="shared" si="166"/>
        <v>0</v>
      </c>
      <c r="BA162" s="317">
        <f t="shared" si="167"/>
        <v>0</v>
      </c>
    </row>
    <row r="163" spans="1:53" s="314" customFormat="1" ht="16.5" customHeight="1">
      <c r="A163" s="63" t="str">
        <f t="array" ref="A163">IF(C163&lt;&gt;0,SUM(($C$11:C163&lt;&gt;0)*1),"")</f>
        <v/>
      </c>
      <c r="B163" s="315"/>
      <c r="C163" s="315"/>
      <c r="D163" s="315"/>
      <c r="E163" s="432"/>
      <c r="F163" s="371"/>
      <c r="G163" s="373"/>
      <c r="H163" s="373"/>
      <c r="I163" s="63" t="str">
        <f t="shared" si="129"/>
        <v/>
      </c>
      <c r="J163" s="317">
        <f t="shared" si="130"/>
        <v>0</v>
      </c>
      <c r="K163" s="317">
        <f t="shared" si="131"/>
        <v>0</v>
      </c>
      <c r="L163" s="317">
        <f t="shared" si="132"/>
        <v>0</v>
      </c>
      <c r="M163" s="317">
        <f t="shared" si="133"/>
        <v>0</v>
      </c>
      <c r="N163" s="317">
        <f t="shared" si="168"/>
        <v>0</v>
      </c>
      <c r="O163" s="317">
        <f t="shared" si="169"/>
        <v>0</v>
      </c>
      <c r="P163" s="317">
        <f t="shared" si="134"/>
        <v>0</v>
      </c>
      <c r="Q163" s="317">
        <f t="shared" si="135"/>
        <v>0</v>
      </c>
      <c r="R163" s="317">
        <f t="shared" si="136"/>
        <v>0</v>
      </c>
      <c r="S163" s="317">
        <f t="shared" si="137"/>
        <v>0</v>
      </c>
      <c r="T163" s="317">
        <f t="shared" si="170"/>
        <v>0</v>
      </c>
      <c r="U163" s="317">
        <f t="shared" si="171"/>
        <v>0</v>
      </c>
      <c r="V163" s="317">
        <f t="shared" si="138"/>
        <v>0</v>
      </c>
      <c r="W163" s="317">
        <f t="shared" si="139"/>
        <v>0</v>
      </c>
      <c r="X163" s="317">
        <f t="shared" si="140"/>
        <v>0</v>
      </c>
      <c r="Y163" s="317">
        <f t="shared" si="141"/>
        <v>0</v>
      </c>
      <c r="Z163" s="317">
        <f t="shared" si="142"/>
        <v>0</v>
      </c>
      <c r="AA163" s="317">
        <f t="shared" si="143"/>
        <v>0</v>
      </c>
      <c r="AB163" s="317">
        <f t="shared" si="144"/>
        <v>0</v>
      </c>
      <c r="AC163" s="317">
        <f t="shared" si="145"/>
        <v>0</v>
      </c>
      <c r="AD163" s="317">
        <f t="shared" si="146"/>
        <v>0</v>
      </c>
      <c r="AE163" s="317">
        <f t="shared" si="147"/>
        <v>0</v>
      </c>
      <c r="AF163" s="317">
        <f t="shared" si="172"/>
        <v>0</v>
      </c>
      <c r="AG163" s="317">
        <f t="shared" si="173"/>
        <v>0</v>
      </c>
      <c r="AH163" s="317">
        <f t="shared" si="148"/>
        <v>0</v>
      </c>
      <c r="AI163" s="317">
        <f t="shared" si="149"/>
        <v>0</v>
      </c>
      <c r="AJ163" s="317">
        <f t="shared" si="150"/>
        <v>0</v>
      </c>
      <c r="AK163" s="317">
        <f t="shared" si="151"/>
        <v>0</v>
      </c>
      <c r="AL163" s="317">
        <f t="shared" si="152"/>
        <v>0</v>
      </c>
      <c r="AM163" s="317">
        <f t="shared" si="153"/>
        <v>0</v>
      </c>
      <c r="AN163" s="317">
        <f t="shared" si="154"/>
        <v>0</v>
      </c>
      <c r="AO163" s="317">
        <f t="shared" si="155"/>
        <v>0</v>
      </c>
      <c r="AP163" s="317">
        <f t="shared" si="156"/>
        <v>0</v>
      </c>
      <c r="AQ163" s="317">
        <f t="shared" si="157"/>
        <v>0</v>
      </c>
      <c r="AR163" s="317">
        <f t="shared" si="158"/>
        <v>0</v>
      </c>
      <c r="AS163" s="317">
        <f t="shared" si="159"/>
        <v>0</v>
      </c>
      <c r="AT163" s="317">
        <f t="shared" si="160"/>
        <v>0</v>
      </c>
      <c r="AU163" s="317">
        <f t="shared" si="161"/>
        <v>0</v>
      </c>
      <c r="AV163" s="317">
        <f t="shared" si="162"/>
        <v>0</v>
      </c>
      <c r="AW163" s="317">
        <f t="shared" si="163"/>
        <v>0</v>
      </c>
      <c r="AX163" s="317">
        <f t="shared" si="164"/>
        <v>0</v>
      </c>
      <c r="AY163" s="317">
        <f t="shared" si="165"/>
        <v>0</v>
      </c>
      <c r="AZ163" s="317">
        <f t="shared" si="166"/>
        <v>0</v>
      </c>
      <c r="BA163" s="317">
        <f t="shared" si="167"/>
        <v>0</v>
      </c>
    </row>
    <row r="164" spans="1:53" s="314" customFormat="1" ht="16.5" customHeight="1">
      <c r="A164" s="63" t="str">
        <f t="array" ref="A164">IF(C164&lt;&gt;0,SUM(($C$11:C164&lt;&gt;0)*1),"")</f>
        <v/>
      </c>
      <c r="B164" s="315"/>
      <c r="C164" s="315"/>
      <c r="D164" s="315"/>
      <c r="E164" s="432"/>
      <c r="F164" s="371"/>
      <c r="G164" s="373"/>
      <c r="H164" s="373"/>
      <c r="I164" s="63" t="str">
        <f t="shared" si="129"/>
        <v/>
      </c>
      <c r="J164" s="317">
        <f t="shared" si="130"/>
        <v>0</v>
      </c>
      <c r="K164" s="317">
        <f t="shared" si="131"/>
        <v>0</v>
      </c>
      <c r="L164" s="317">
        <f t="shared" si="132"/>
        <v>0</v>
      </c>
      <c r="M164" s="317">
        <f t="shared" si="133"/>
        <v>0</v>
      </c>
      <c r="N164" s="317">
        <f t="shared" si="168"/>
        <v>0</v>
      </c>
      <c r="O164" s="317">
        <f t="shared" si="169"/>
        <v>0</v>
      </c>
      <c r="P164" s="317">
        <f t="shared" si="134"/>
        <v>0</v>
      </c>
      <c r="Q164" s="317">
        <f t="shared" si="135"/>
        <v>0</v>
      </c>
      <c r="R164" s="317">
        <f t="shared" si="136"/>
        <v>0</v>
      </c>
      <c r="S164" s="317">
        <f t="shared" si="137"/>
        <v>0</v>
      </c>
      <c r="T164" s="317">
        <f t="shared" si="170"/>
        <v>0</v>
      </c>
      <c r="U164" s="317">
        <f t="shared" si="171"/>
        <v>0</v>
      </c>
      <c r="V164" s="317">
        <f t="shared" si="138"/>
        <v>0</v>
      </c>
      <c r="W164" s="317">
        <f t="shared" si="139"/>
        <v>0</v>
      </c>
      <c r="X164" s="317">
        <f t="shared" si="140"/>
        <v>0</v>
      </c>
      <c r="Y164" s="317">
        <f t="shared" si="141"/>
        <v>0</v>
      </c>
      <c r="Z164" s="317">
        <f t="shared" si="142"/>
        <v>0</v>
      </c>
      <c r="AA164" s="317">
        <f t="shared" si="143"/>
        <v>0</v>
      </c>
      <c r="AB164" s="317">
        <f t="shared" si="144"/>
        <v>0</v>
      </c>
      <c r="AC164" s="317">
        <f t="shared" si="145"/>
        <v>0</v>
      </c>
      <c r="AD164" s="317">
        <f t="shared" si="146"/>
        <v>0</v>
      </c>
      <c r="AE164" s="317">
        <f t="shared" si="147"/>
        <v>0</v>
      </c>
      <c r="AF164" s="317">
        <f t="shared" si="172"/>
        <v>0</v>
      </c>
      <c r="AG164" s="317">
        <f t="shared" si="173"/>
        <v>0</v>
      </c>
      <c r="AH164" s="317">
        <f t="shared" si="148"/>
        <v>0</v>
      </c>
      <c r="AI164" s="317">
        <f t="shared" si="149"/>
        <v>0</v>
      </c>
      <c r="AJ164" s="317">
        <f t="shared" si="150"/>
        <v>0</v>
      </c>
      <c r="AK164" s="317">
        <f t="shared" si="151"/>
        <v>0</v>
      </c>
      <c r="AL164" s="317">
        <f t="shared" si="152"/>
        <v>0</v>
      </c>
      <c r="AM164" s="317">
        <f t="shared" si="153"/>
        <v>0</v>
      </c>
      <c r="AN164" s="317">
        <f t="shared" si="154"/>
        <v>0</v>
      </c>
      <c r="AO164" s="317">
        <f t="shared" si="155"/>
        <v>0</v>
      </c>
      <c r="AP164" s="317">
        <f t="shared" si="156"/>
        <v>0</v>
      </c>
      <c r="AQ164" s="317">
        <f t="shared" si="157"/>
        <v>0</v>
      </c>
      <c r="AR164" s="317">
        <f t="shared" si="158"/>
        <v>0</v>
      </c>
      <c r="AS164" s="317">
        <f t="shared" si="159"/>
        <v>0</v>
      </c>
      <c r="AT164" s="317">
        <f t="shared" si="160"/>
        <v>0</v>
      </c>
      <c r="AU164" s="317">
        <f t="shared" si="161"/>
        <v>0</v>
      </c>
      <c r="AV164" s="317">
        <f t="shared" si="162"/>
        <v>0</v>
      </c>
      <c r="AW164" s="317">
        <f t="shared" si="163"/>
        <v>0</v>
      </c>
      <c r="AX164" s="317">
        <f t="shared" si="164"/>
        <v>0</v>
      </c>
      <c r="AY164" s="317">
        <f t="shared" si="165"/>
        <v>0</v>
      </c>
      <c r="AZ164" s="317">
        <f t="shared" si="166"/>
        <v>0</v>
      </c>
      <c r="BA164" s="317">
        <f t="shared" si="167"/>
        <v>0</v>
      </c>
    </row>
    <row r="165" spans="1:53" s="314" customFormat="1" ht="16.5" customHeight="1">
      <c r="A165" s="63" t="str">
        <f t="array" ref="A165">IF(C165&lt;&gt;0,SUM(($C$11:C165&lt;&gt;0)*1),"")</f>
        <v/>
      </c>
      <c r="B165" s="315"/>
      <c r="C165" s="315"/>
      <c r="D165" s="315"/>
      <c r="E165" s="432"/>
      <c r="F165" s="371"/>
      <c r="G165" s="373"/>
      <c r="H165" s="373"/>
      <c r="I165" s="63" t="str">
        <f t="shared" si="129"/>
        <v/>
      </c>
      <c r="J165" s="317">
        <f t="shared" si="130"/>
        <v>0</v>
      </c>
      <c r="K165" s="317">
        <f t="shared" si="131"/>
        <v>0</v>
      </c>
      <c r="L165" s="317">
        <f t="shared" si="132"/>
        <v>0</v>
      </c>
      <c r="M165" s="317">
        <f t="shared" si="133"/>
        <v>0</v>
      </c>
      <c r="N165" s="317">
        <f t="shared" si="168"/>
        <v>0</v>
      </c>
      <c r="O165" s="317">
        <f t="shared" si="169"/>
        <v>0</v>
      </c>
      <c r="P165" s="317">
        <f t="shared" si="134"/>
        <v>0</v>
      </c>
      <c r="Q165" s="317">
        <f t="shared" si="135"/>
        <v>0</v>
      </c>
      <c r="R165" s="317">
        <f t="shared" si="136"/>
        <v>0</v>
      </c>
      <c r="S165" s="317">
        <f t="shared" si="137"/>
        <v>0</v>
      </c>
      <c r="T165" s="317">
        <f t="shared" si="170"/>
        <v>0</v>
      </c>
      <c r="U165" s="317">
        <f t="shared" si="171"/>
        <v>0</v>
      </c>
      <c r="V165" s="317">
        <f t="shared" si="138"/>
        <v>0</v>
      </c>
      <c r="W165" s="317">
        <f t="shared" si="139"/>
        <v>0</v>
      </c>
      <c r="X165" s="317">
        <f t="shared" si="140"/>
        <v>0</v>
      </c>
      <c r="Y165" s="317">
        <f t="shared" si="141"/>
        <v>0</v>
      </c>
      <c r="Z165" s="317">
        <f t="shared" si="142"/>
        <v>0</v>
      </c>
      <c r="AA165" s="317">
        <f t="shared" si="143"/>
        <v>0</v>
      </c>
      <c r="AB165" s="317">
        <f t="shared" si="144"/>
        <v>0</v>
      </c>
      <c r="AC165" s="317">
        <f t="shared" si="145"/>
        <v>0</v>
      </c>
      <c r="AD165" s="317">
        <f t="shared" si="146"/>
        <v>0</v>
      </c>
      <c r="AE165" s="317">
        <f t="shared" si="147"/>
        <v>0</v>
      </c>
      <c r="AF165" s="317">
        <f t="shared" si="172"/>
        <v>0</v>
      </c>
      <c r="AG165" s="317">
        <f t="shared" si="173"/>
        <v>0</v>
      </c>
      <c r="AH165" s="317">
        <f t="shared" si="148"/>
        <v>0</v>
      </c>
      <c r="AI165" s="317">
        <f t="shared" si="149"/>
        <v>0</v>
      </c>
      <c r="AJ165" s="317">
        <f t="shared" si="150"/>
        <v>0</v>
      </c>
      <c r="AK165" s="317">
        <f t="shared" si="151"/>
        <v>0</v>
      </c>
      <c r="AL165" s="317">
        <f t="shared" si="152"/>
        <v>0</v>
      </c>
      <c r="AM165" s="317">
        <f t="shared" si="153"/>
        <v>0</v>
      </c>
      <c r="AN165" s="317">
        <f t="shared" si="154"/>
        <v>0</v>
      </c>
      <c r="AO165" s="317">
        <f t="shared" si="155"/>
        <v>0</v>
      </c>
      <c r="AP165" s="317">
        <f t="shared" si="156"/>
        <v>0</v>
      </c>
      <c r="AQ165" s="317">
        <f t="shared" si="157"/>
        <v>0</v>
      </c>
      <c r="AR165" s="317">
        <f t="shared" si="158"/>
        <v>0</v>
      </c>
      <c r="AS165" s="317">
        <f t="shared" si="159"/>
        <v>0</v>
      </c>
      <c r="AT165" s="317">
        <f t="shared" si="160"/>
        <v>0</v>
      </c>
      <c r="AU165" s="317">
        <f t="shared" si="161"/>
        <v>0</v>
      </c>
      <c r="AV165" s="317">
        <f t="shared" si="162"/>
        <v>0</v>
      </c>
      <c r="AW165" s="317">
        <f t="shared" si="163"/>
        <v>0</v>
      </c>
      <c r="AX165" s="317">
        <f t="shared" si="164"/>
        <v>0</v>
      </c>
      <c r="AY165" s="317">
        <f t="shared" si="165"/>
        <v>0</v>
      </c>
      <c r="AZ165" s="317">
        <f t="shared" si="166"/>
        <v>0</v>
      </c>
      <c r="BA165" s="317">
        <f t="shared" si="167"/>
        <v>0</v>
      </c>
    </row>
    <row r="166" spans="1:53" s="314" customFormat="1" ht="16.5" customHeight="1">
      <c r="A166" s="63" t="str">
        <f t="array" ref="A166">IF(C166&lt;&gt;0,SUM(($C$11:C166&lt;&gt;0)*1),"")</f>
        <v/>
      </c>
      <c r="B166" s="315"/>
      <c r="C166" s="315"/>
      <c r="D166" s="315"/>
      <c r="E166" s="432"/>
      <c r="F166" s="371"/>
      <c r="G166" s="373"/>
      <c r="H166" s="373"/>
      <c r="I166" s="63" t="str">
        <f t="shared" si="129"/>
        <v/>
      </c>
      <c r="J166" s="317">
        <f t="shared" si="130"/>
        <v>0</v>
      </c>
      <c r="K166" s="317">
        <f t="shared" si="131"/>
        <v>0</v>
      </c>
      <c r="L166" s="317">
        <f t="shared" si="132"/>
        <v>0</v>
      </c>
      <c r="M166" s="317">
        <f t="shared" si="133"/>
        <v>0</v>
      </c>
      <c r="N166" s="317">
        <f t="shared" si="168"/>
        <v>0</v>
      </c>
      <c r="O166" s="317">
        <f t="shared" si="169"/>
        <v>0</v>
      </c>
      <c r="P166" s="317">
        <f t="shared" si="134"/>
        <v>0</v>
      </c>
      <c r="Q166" s="317">
        <f t="shared" si="135"/>
        <v>0</v>
      </c>
      <c r="R166" s="317">
        <f t="shared" si="136"/>
        <v>0</v>
      </c>
      <c r="S166" s="317">
        <f t="shared" si="137"/>
        <v>0</v>
      </c>
      <c r="T166" s="317">
        <f t="shared" si="170"/>
        <v>0</v>
      </c>
      <c r="U166" s="317">
        <f t="shared" si="171"/>
        <v>0</v>
      </c>
      <c r="V166" s="317">
        <f t="shared" si="138"/>
        <v>0</v>
      </c>
      <c r="W166" s="317">
        <f t="shared" si="139"/>
        <v>0</v>
      </c>
      <c r="X166" s="317">
        <f t="shared" si="140"/>
        <v>0</v>
      </c>
      <c r="Y166" s="317">
        <f t="shared" si="141"/>
        <v>0</v>
      </c>
      <c r="Z166" s="317">
        <f t="shared" si="142"/>
        <v>0</v>
      </c>
      <c r="AA166" s="317">
        <f t="shared" si="143"/>
        <v>0</v>
      </c>
      <c r="AB166" s="317">
        <f t="shared" si="144"/>
        <v>0</v>
      </c>
      <c r="AC166" s="317">
        <f t="shared" si="145"/>
        <v>0</v>
      </c>
      <c r="AD166" s="317">
        <f t="shared" si="146"/>
        <v>0</v>
      </c>
      <c r="AE166" s="317">
        <f t="shared" si="147"/>
        <v>0</v>
      </c>
      <c r="AF166" s="317">
        <f t="shared" si="172"/>
        <v>0</v>
      </c>
      <c r="AG166" s="317">
        <f t="shared" si="173"/>
        <v>0</v>
      </c>
      <c r="AH166" s="317">
        <f t="shared" si="148"/>
        <v>0</v>
      </c>
      <c r="AI166" s="317">
        <f t="shared" si="149"/>
        <v>0</v>
      </c>
      <c r="AJ166" s="317">
        <f t="shared" si="150"/>
        <v>0</v>
      </c>
      <c r="AK166" s="317">
        <f t="shared" si="151"/>
        <v>0</v>
      </c>
      <c r="AL166" s="317">
        <f t="shared" si="152"/>
        <v>0</v>
      </c>
      <c r="AM166" s="317">
        <f t="shared" si="153"/>
        <v>0</v>
      </c>
      <c r="AN166" s="317">
        <f t="shared" si="154"/>
        <v>0</v>
      </c>
      <c r="AO166" s="317">
        <f t="shared" si="155"/>
        <v>0</v>
      </c>
      <c r="AP166" s="317">
        <f t="shared" si="156"/>
        <v>0</v>
      </c>
      <c r="AQ166" s="317">
        <f t="shared" si="157"/>
        <v>0</v>
      </c>
      <c r="AR166" s="317">
        <f t="shared" si="158"/>
        <v>0</v>
      </c>
      <c r="AS166" s="317">
        <f t="shared" si="159"/>
        <v>0</v>
      </c>
      <c r="AT166" s="317">
        <f t="shared" si="160"/>
        <v>0</v>
      </c>
      <c r="AU166" s="317">
        <f t="shared" si="161"/>
        <v>0</v>
      </c>
      <c r="AV166" s="317">
        <f t="shared" si="162"/>
        <v>0</v>
      </c>
      <c r="AW166" s="317">
        <f t="shared" si="163"/>
        <v>0</v>
      </c>
      <c r="AX166" s="317">
        <f t="shared" si="164"/>
        <v>0</v>
      </c>
      <c r="AY166" s="317">
        <f t="shared" si="165"/>
        <v>0</v>
      </c>
      <c r="AZ166" s="317">
        <f t="shared" si="166"/>
        <v>0</v>
      </c>
      <c r="BA166" s="317">
        <f t="shared" si="167"/>
        <v>0</v>
      </c>
    </row>
    <row r="167" spans="1:53" s="314" customFormat="1" ht="16.5" customHeight="1">
      <c r="A167" s="63" t="str">
        <f t="array" ref="A167">IF(C167&lt;&gt;0,SUM(($C$11:C167&lt;&gt;0)*1),"")</f>
        <v/>
      </c>
      <c r="B167" s="315"/>
      <c r="C167" s="315"/>
      <c r="D167" s="315"/>
      <c r="E167" s="432"/>
      <c r="F167" s="371"/>
      <c r="G167" s="373"/>
      <c r="H167" s="373"/>
      <c r="I167" s="63" t="str">
        <f t="shared" si="129"/>
        <v/>
      </c>
      <c r="J167" s="317">
        <f t="shared" si="130"/>
        <v>0</v>
      </c>
      <c r="K167" s="317">
        <f t="shared" si="131"/>
        <v>0</v>
      </c>
      <c r="L167" s="317">
        <f t="shared" si="132"/>
        <v>0</v>
      </c>
      <c r="M167" s="317">
        <f t="shared" si="133"/>
        <v>0</v>
      </c>
      <c r="N167" s="317">
        <f t="shared" si="168"/>
        <v>0</v>
      </c>
      <c r="O167" s="317">
        <f t="shared" si="169"/>
        <v>0</v>
      </c>
      <c r="P167" s="317">
        <f t="shared" si="134"/>
        <v>0</v>
      </c>
      <c r="Q167" s="317">
        <f t="shared" si="135"/>
        <v>0</v>
      </c>
      <c r="R167" s="317">
        <f t="shared" si="136"/>
        <v>0</v>
      </c>
      <c r="S167" s="317">
        <f t="shared" si="137"/>
        <v>0</v>
      </c>
      <c r="T167" s="317">
        <f t="shared" si="170"/>
        <v>0</v>
      </c>
      <c r="U167" s="317">
        <f t="shared" si="171"/>
        <v>0</v>
      </c>
      <c r="V167" s="317">
        <f t="shared" si="138"/>
        <v>0</v>
      </c>
      <c r="W167" s="317">
        <f t="shared" si="139"/>
        <v>0</v>
      </c>
      <c r="X167" s="317">
        <f t="shared" si="140"/>
        <v>0</v>
      </c>
      <c r="Y167" s="317">
        <f t="shared" si="141"/>
        <v>0</v>
      </c>
      <c r="Z167" s="317">
        <f t="shared" si="142"/>
        <v>0</v>
      </c>
      <c r="AA167" s="317">
        <f t="shared" si="143"/>
        <v>0</v>
      </c>
      <c r="AB167" s="317">
        <f t="shared" si="144"/>
        <v>0</v>
      </c>
      <c r="AC167" s="317">
        <f t="shared" si="145"/>
        <v>0</v>
      </c>
      <c r="AD167" s="317">
        <f t="shared" si="146"/>
        <v>0</v>
      </c>
      <c r="AE167" s="317">
        <f t="shared" si="147"/>
        <v>0</v>
      </c>
      <c r="AF167" s="317">
        <f t="shared" si="172"/>
        <v>0</v>
      </c>
      <c r="AG167" s="317">
        <f t="shared" si="173"/>
        <v>0</v>
      </c>
      <c r="AH167" s="317">
        <f t="shared" si="148"/>
        <v>0</v>
      </c>
      <c r="AI167" s="317">
        <f t="shared" si="149"/>
        <v>0</v>
      </c>
      <c r="AJ167" s="317">
        <f t="shared" si="150"/>
        <v>0</v>
      </c>
      <c r="AK167" s="317">
        <f t="shared" si="151"/>
        <v>0</v>
      </c>
      <c r="AL167" s="317">
        <f t="shared" si="152"/>
        <v>0</v>
      </c>
      <c r="AM167" s="317">
        <f t="shared" si="153"/>
        <v>0</v>
      </c>
      <c r="AN167" s="317">
        <f t="shared" si="154"/>
        <v>0</v>
      </c>
      <c r="AO167" s="317">
        <f t="shared" si="155"/>
        <v>0</v>
      </c>
      <c r="AP167" s="317">
        <f t="shared" si="156"/>
        <v>0</v>
      </c>
      <c r="AQ167" s="317">
        <f t="shared" si="157"/>
        <v>0</v>
      </c>
      <c r="AR167" s="317">
        <f t="shared" si="158"/>
        <v>0</v>
      </c>
      <c r="AS167" s="317">
        <f t="shared" si="159"/>
        <v>0</v>
      </c>
      <c r="AT167" s="317">
        <f t="shared" si="160"/>
        <v>0</v>
      </c>
      <c r="AU167" s="317">
        <f t="shared" si="161"/>
        <v>0</v>
      </c>
      <c r="AV167" s="317">
        <f t="shared" si="162"/>
        <v>0</v>
      </c>
      <c r="AW167" s="317">
        <f t="shared" si="163"/>
        <v>0</v>
      </c>
      <c r="AX167" s="317">
        <f t="shared" si="164"/>
        <v>0</v>
      </c>
      <c r="AY167" s="317">
        <f t="shared" si="165"/>
        <v>0</v>
      </c>
      <c r="AZ167" s="317">
        <f t="shared" si="166"/>
        <v>0</v>
      </c>
      <c r="BA167" s="317">
        <f t="shared" si="167"/>
        <v>0</v>
      </c>
    </row>
    <row r="168" spans="1:53" s="314" customFormat="1" ht="16.5" customHeight="1">
      <c r="A168" s="63" t="str">
        <f t="array" ref="A168">IF(C168&lt;&gt;0,SUM(($C$11:C168&lt;&gt;0)*1),"")</f>
        <v/>
      </c>
      <c r="B168" s="315"/>
      <c r="C168" s="315"/>
      <c r="D168" s="315"/>
      <c r="E168" s="432"/>
      <c r="F168" s="371"/>
      <c r="G168" s="373"/>
      <c r="H168" s="373"/>
      <c r="I168" s="63" t="str">
        <f t="shared" si="129"/>
        <v/>
      </c>
      <c r="J168" s="317">
        <f t="shared" si="130"/>
        <v>0</v>
      </c>
      <c r="K168" s="317">
        <f t="shared" si="131"/>
        <v>0</v>
      </c>
      <c r="L168" s="317">
        <f t="shared" si="132"/>
        <v>0</v>
      </c>
      <c r="M168" s="317">
        <f t="shared" si="133"/>
        <v>0</v>
      </c>
      <c r="N168" s="317">
        <f t="shared" si="168"/>
        <v>0</v>
      </c>
      <c r="O168" s="317">
        <f t="shared" si="169"/>
        <v>0</v>
      </c>
      <c r="P168" s="317">
        <f t="shared" si="134"/>
        <v>0</v>
      </c>
      <c r="Q168" s="317">
        <f t="shared" si="135"/>
        <v>0</v>
      </c>
      <c r="R168" s="317">
        <f t="shared" si="136"/>
        <v>0</v>
      </c>
      <c r="S168" s="317">
        <f t="shared" si="137"/>
        <v>0</v>
      </c>
      <c r="T168" s="317">
        <f t="shared" si="170"/>
        <v>0</v>
      </c>
      <c r="U168" s="317">
        <f t="shared" si="171"/>
        <v>0</v>
      </c>
      <c r="V168" s="317">
        <f t="shared" si="138"/>
        <v>0</v>
      </c>
      <c r="W168" s="317">
        <f t="shared" si="139"/>
        <v>0</v>
      </c>
      <c r="X168" s="317">
        <f t="shared" si="140"/>
        <v>0</v>
      </c>
      <c r="Y168" s="317">
        <f t="shared" si="141"/>
        <v>0</v>
      </c>
      <c r="Z168" s="317">
        <f t="shared" si="142"/>
        <v>0</v>
      </c>
      <c r="AA168" s="317">
        <f t="shared" si="143"/>
        <v>0</v>
      </c>
      <c r="AB168" s="317">
        <f t="shared" si="144"/>
        <v>0</v>
      </c>
      <c r="AC168" s="317">
        <f t="shared" si="145"/>
        <v>0</v>
      </c>
      <c r="AD168" s="317">
        <f t="shared" si="146"/>
        <v>0</v>
      </c>
      <c r="AE168" s="317">
        <f t="shared" si="147"/>
        <v>0</v>
      </c>
      <c r="AF168" s="317">
        <f t="shared" si="172"/>
        <v>0</v>
      </c>
      <c r="AG168" s="317">
        <f t="shared" si="173"/>
        <v>0</v>
      </c>
      <c r="AH168" s="317">
        <f t="shared" si="148"/>
        <v>0</v>
      </c>
      <c r="AI168" s="317">
        <f t="shared" si="149"/>
        <v>0</v>
      </c>
      <c r="AJ168" s="317">
        <f t="shared" si="150"/>
        <v>0</v>
      </c>
      <c r="AK168" s="317">
        <f t="shared" si="151"/>
        <v>0</v>
      </c>
      <c r="AL168" s="317">
        <f t="shared" si="152"/>
        <v>0</v>
      </c>
      <c r="AM168" s="317">
        <f t="shared" si="153"/>
        <v>0</v>
      </c>
      <c r="AN168" s="317">
        <f t="shared" si="154"/>
        <v>0</v>
      </c>
      <c r="AO168" s="317">
        <f t="shared" si="155"/>
        <v>0</v>
      </c>
      <c r="AP168" s="317">
        <f t="shared" si="156"/>
        <v>0</v>
      </c>
      <c r="AQ168" s="317">
        <f t="shared" si="157"/>
        <v>0</v>
      </c>
      <c r="AR168" s="317">
        <f t="shared" si="158"/>
        <v>0</v>
      </c>
      <c r="AS168" s="317">
        <f t="shared" si="159"/>
        <v>0</v>
      </c>
      <c r="AT168" s="317">
        <f t="shared" si="160"/>
        <v>0</v>
      </c>
      <c r="AU168" s="317">
        <f t="shared" si="161"/>
        <v>0</v>
      </c>
      <c r="AV168" s="317">
        <f t="shared" si="162"/>
        <v>0</v>
      </c>
      <c r="AW168" s="317">
        <f t="shared" si="163"/>
        <v>0</v>
      </c>
      <c r="AX168" s="317">
        <f t="shared" si="164"/>
        <v>0</v>
      </c>
      <c r="AY168" s="317">
        <f t="shared" si="165"/>
        <v>0</v>
      </c>
      <c r="AZ168" s="317">
        <f t="shared" si="166"/>
        <v>0</v>
      </c>
      <c r="BA168" s="317">
        <f t="shared" si="167"/>
        <v>0</v>
      </c>
    </row>
    <row r="169" spans="1:53" s="314" customFormat="1" ht="16.5" customHeight="1">
      <c r="A169" s="63" t="str">
        <f t="array" ref="A169">IF(C169&lt;&gt;0,SUM(($C$11:C169&lt;&gt;0)*1),"")</f>
        <v/>
      </c>
      <c r="B169" s="315"/>
      <c r="C169" s="315"/>
      <c r="D169" s="315"/>
      <c r="E169" s="432"/>
      <c r="F169" s="371"/>
      <c r="G169" s="373"/>
      <c r="H169" s="373"/>
      <c r="I169" s="63" t="str">
        <f t="shared" si="129"/>
        <v/>
      </c>
      <c r="J169" s="317">
        <f t="shared" si="130"/>
        <v>0</v>
      </c>
      <c r="K169" s="317">
        <f t="shared" si="131"/>
        <v>0</v>
      </c>
      <c r="L169" s="317">
        <f t="shared" si="132"/>
        <v>0</v>
      </c>
      <c r="M169" s="317">
        <f t="shared" si="133"/>
        <v>0</v>
      </c>
      <c r="N169" s="317">
        <f t="shared" si="168"/>
        <v>0</v>
      </c>
      <c r="O169" s="317">
        <f t="shared" si="169"/>
        <v>0</v>
      </c>
      <c r="P169" s="317">
        <f t="shared" si="134"/>
        <v>0</v>
      </c>
      <c r="Q169" s="317">
        <f t="shared" si="135"/>
        <v>0</v>
      </c>
      <c r="R169" s="317">
        <f t="shared" si="136"/>
        <v>0</v>
      </c>
      <c r="S169" s="317">
        <f t="shared" si="137"/>
        <v>0</v>
      </c>
      <c r="T169" s="317">
        <f t="shared" si="170"/>
        <v>0</v>
      </c>
      <c r="U169" s="317">
        <f t="shared" si="171"/>
        <v>0</v>
      </c>
      <c r="V169" s="317">
        <f t="shared" si="138"/>
        <v>0</v>
      </c>
      <c r="W169" s="317">
        <f t="shared" si="139"/>
        <v>0</v>
      </c>
      <c r="X169" s="317">
        <f t="shared" si="140"/>
        <v>0</v>
      </c>
      <c r="Y169" s="317">
        <f t="shared" si="141"/>
        <v>0</v>
      </c>
      <c r="Z169" s="317">
        <f t="shared" si="142"/>
        <v>0</v>
      </c>
      <c r="AA169" s="317">
        <f t="shared" si="143"/>
        <v>0</v>
      </c>
      <c r="AB169" s="317">
        <f t="shared" si="144"/>
        <v>0</v>
      </c>
      <c r="AC169" s="317">
        <f t="shared" si="145"/>
        <v>0</v>
      </c>
      <c r="AD169" s="317">
        <f t="shared" si="146"/>
        <v>0</v>
      </c>
      <c r="AE169" s="317">
        <f t="shared" si="147"/>
        <v>0</v>
      </c>
      <c r="AF169" s="317">
        <f t="shared" si="172"/>
        <v>0</v>
      </c>
      <c r="AG169" s="317">
        <f t="shared" si="173"/>
        <v>0</v>
      </c>
      <c r="AH169" s="317">
        <f t="shared" si="148"/>
        <v>0</v>
      </c>
      <c r="AI169" s="317">
        <f t="shared" si="149"/>
        <v>0</v>
      </c>
      <c r="AJ169" s="317">
        <f t="shared" si="150"/>
        <v>0</v>
      </c>
      <c r="AK169" s="317">
        <f t="shared" si="151"/>
        <v>0</v>
      </c>
      <c r="AL169" s="317">
        <f t="shared" si="152"/>
        <v>0</v>
      </c>
      <c r="AM169" s="317">
        <f t="shared" si="153"/>
        <v>0</v>
      </c>
      <c r="AN169" s="317">
        <f t="shared" si="154"/>
        <v>0</v>
      </c>
      <c r="AO169" s="317">
        <f t="shared" si="155"/>
        <v>0</v>
      </c>
      <c r="AP169" s="317">
        <f t="shared" si="156"/>
        <v>0</v>
      </c>
      <c r="AQ169" s="317">
        <f t="shared" si="157"/>
        <v>0</v>
      </c>
      <c r="AR169" s="317">
        <f t="shared" si="158"/>
        <v>0</v>
      </c>
      <c r="AS169" s="317">
        <f t="shared" si="159"/>
        <v>0</v>
      </c>
      <c r="AT169" s="317">
        <f t="shared" si="160"/>
        <v>0</v>
      </c>
      <c r="AU169" s="317">
        <f t="shared" si="161"/>
        <v>0</v>
      </c>
      <c r="AV169" s="317">
        <f t="shared" si="162"/>
        <v>0</v>
      </c>
      <c r="AW169" s="317">
        <f t="shared" si="163"/>
        <v>0</v>
      </c>
      <c r="AX169" s="317">
        <f t="shared" si="164"/>
        <v>0</v>
      </c>
      <c r="AY169" s="317">
        <f t="shared" si="165"/>
        <v>0</v>
      </c>
      <c r="AZ169" s="317">
        <f t="shared" si="166"/>
        <v>0</v>
      </c>
      <c r="BA169" s="317">
        <f t="shared" si="167"/>
        <v>0</v>
      </c>
    </row>
    <row r="170" spans="1:53" s="314" customFormat="1" ht="16.5" customHeight="1">
      <c r="A170" s="63" t="str">
        <f t="array" ref="A170">IF(C170&lt;&gt;0,SUM(($C$11:C170&lt;&gt;0)*1),"")</f>
        <v/>
      </c>
      <c r="B170" s="315"/>
      <c r="C170" s="315"/>
      <c r="D170" s="315"/>
      <c r="E170" s="432"/>
      <c r="F170" s="371"/>
      <c r="G170" s="373"/>
      <c r="H170" s="373"/>
      <c r="I170" s="63" t="str">
        <f t="shared" si="129"/>
        <v/>
      </c>
      <c r="J170" s="317">
        <f t="shared" si="130"/>
        <v>0</v>
      </c>
      <c r="K170" s="317">
        <f t="shared" si="131"/>
        <v>0</v>
      </c>
      <c r="L170" s="317">
        <f t="shared" si="132"/>
        <v>0</v>
      </c>
      <c r="M170" s="317">
        <f t="shared" si="133"/>
        <v>0</v>
      </c>
      <c r="N170" s="317">
        <f t="shared" si="168"/>
        <v>0</v>
      </c>
      <c r="O170" s="317">
        <f t="shared" si="169"/>
        <v>0</v>
      </c>
      <c r="P170" s="317">
        <f t="shared" si="134"/>
        <v>0</v>
      </c>
      <c r="Q170" s="317">
        <f t="shared" si="135"/>
        <v>0</v>
      </c>
      <c r="R170" s="317">
        <f t="shared" si="136"/>
        <v>0</v>
      </c>
      <c r="S170" s="317">
        <f t="shared" si="137"/>
        <v>0</v>
      </c>
      <c r="T170" s="317">
        <f t="shared" si="170"/>
        <v>0</v>
      </c>
      <c r="U170" s="317">
        <f t="shared" si="171"/>
        <v>0</v>
      </c>
      <c r="V170" s="317">
        <f t="shared" si="138"/>
        <v>0</v>
      </c>
      <c r="W170" s="317">
        <f t="shared" si="139"/>
        <v>0</v>
      </c>
      <c r="X170" s="317">
        <f t="shared" si="140"/>
        <v>0</v>
      </c>
      <c r="Y170" s="317">
        <f t="shared" si="141"/>
        <v>0</v>
      </c>
      <c r="Z170" s="317">
        <f t="shared" si="142"/>
        <v>0</v>
      </c>
      <c r="AA170" s="317">
        <f t="shared" si="143"/>
        <v>0</v>
      </c>
      <c r="AB170" s="317">
        <f t="shared" si="144"/>
        <v>0</v>
      </c>
      <c r="AC170" s="317">
        <f t="shared" si="145"/>
        <v>0</v>
      </c>
      <c r="AD170" s="317">
        <f t="shared" si="146"/>
        <v>0</v>
      </c>
      <c r="AE170" s="317">
        <f t="shared" si="147"/>
        <v>0</v>
      </c>
      <c r="AF170" s="317">
        <f t="shared" si="172"/>
        <v>0</v>
      </c>
      <c r="AG170" s="317">
        <f t="shared" si="173"/>
        <v>0</v>
      </c>
      <c r="AH170" s="317">
        <f t="shared" si="148"/>
        <v>0</v>
      </c>
      <c r="AI170" s="317">
        <f t="shared" si="149"/>
        <v>0</v>
      </c>
      <c r="AJ170" s="317">
        <f t="shared" si="150"/>
        <v>0</v>
      </c>
      <c r="AK170" s="317">
        <f t="shared" si="151"/>
        <v>0</v>
      </c>
      <c r="AL170" s="317">
        <f t="shared" si="152"/>
        <v>0</v>
      </c>
      <c r="AM170" s="317">
        <f t="shared" si="153"/>
        <v>0</v>
      </c>
      <c r="AN170" s="317">
        <f t="shared" si="154"/>
        <v>0</v>
      </c>
      <c r="AO170" s="317">
        <f t="shared" si="155"/>
        <v>0</v>
      </c>
      <c r="AP170" s="317">
        <f t="shared" si="156"/>
        <v>0</v>
      </c>
      <c r="AQ170" s="317">
        <f t="shared" si="157"/>
        <v>0</v>
      </c>
      <c r="AR170" s="317">
        <f t="shared" si="158"/>
        <v>0</v>
      </c>
      <c r="AS170" s="317">
        <f t="shared" si="159"/>
        <v>0</v>
      </c>
      <c r="AT170" s="317">
        <f t="shared" si="160"/>
        <v>0</v>
      </c>
      <c r="AU170" s="317">
        <f t="shared" si="161"/>
        <v>0</v>
      </c>
      <c r="AV170" s="317">
        <f t="shared" si="162"/>
        <v>0</v>
      </c>
      <c r="AW170" s="317">
        <f t="shared" si="163"/>
        <v>0</v>
      </c>
      <c r="AX170" s="317">
        <f t="shared" si="164"/>
        <v>0</v>
      </c>
      <c r="AY170" s="317">
        <f t="shared" si="165"/>
        <v>0</v>
      </c>
      <c r="AZ170" s="317">
        <f t="shared" si="166"/>
        <v>0</v>
      </c>
      <c r="BA170" s="317">
        <f t="shared" si="167"/>
        <v>0</v>
      </c>
    </row>
    <row r="171" spans="1:53" s="314" customFormat="1" ht="16.5" customHeight="1">
      <c r="A171" s="63" t="str">
        <f t="array" ref="A171">IF(C171&lt;&gt;0,SUM(($C$11:C171&lt;&gt;0)*1),"")</f>
        <v/>
      </c>
      <c r="B171" s="315"/>
      <c r="C171" s="315"/>
      <c r="D171" s="315"/>
      <c r="E171" s="432"/>
      <c r="F171" s="371"/>
      <c r="G171" s="373"/>
      <c r="H171" s="373"/>
      <c r="I171" s="63" t="str">
        <f t="shared" si="129"/>
        <v/>
      </c>
      <c r="J171" s="317">
        <f t="shared" si="130"/>
        <v>0</v>
      </c>
      <c r="K171" s="317">
        <f t="shared" si="131"/>
        <v>0</v>
      </c>
      <c r="L171" s="317">
        <f t="shared" si="132"/>
        <v>0</v>
      </c>
      <c r="M171" s="317">
        <f t="shared" si="133"/>
        <v>0</v>
      </c>
      <c r="N171" s="317">
        <f t="shared" si="168"/>
        <v>0</v>
      </c>
      <c r="O171" s="317">
        <f t="shared" si="169"/>
        <v>0</v>
      </c>
      <c r="P171" s="317">
        <f t="shared" si="134"/>
        <v>0</v>
      </c>
      <c r="Q171" s="317">
        <f t="shared" si="135"/>
        <v>0</v>
      </c>
      <c r="R171" s="317">
        <f t="shared" si="136"/>
        <v>0</v>
      </c>
      <c r="S171" s="317">
        <f t="shared" si="137"/>
        <v>0</v>
      </c>
      <c r="T171" s="317">
        <f t="shared" si="170"/>
        <v>0</v>
      </c>
      <c r="U171" s="317">
        <f t="shared" si="171"/>
        <v>0</v>
      </c>
      <c r="V171" s="317">
        <f t="shared" si="138"/>
        <v>0</v>
      </c>
      <c r="W171" s="317">
        <f t="shared" si="139"/>
        <v>0</v>
      </c>
      <c r="X171" s="317">
        <f t="shared" si="140"/>
        <v>0</v>
      </c>
      <c r="Y171" s="317">
        <f t="shared" si="141"/>
        <v>0</v>
      </c>
      <c r="Z171" s="317">
        <f t="shared" si="142"/>
        <v>0</v>
      </c>
      <c r="AA171" s="317">
        <f t="shared" si="143"/>
        <v>0</v>
      </c>
      <c r="AB171" s="317">
        <f t="shared" si="144"/>
        <v>0</v>
      </c>
      <c r="AC171" s="317">
        <f t="shared" si="145"/>
        <v>0</v>
      </c>
      <c r="AD171" s="317">
        <f t="shared" si="146"/>
        <v>0</v>
      </c>
      <c r="AE171" s="317">
        <f t="shared" si="147"/>
        <v>0</v>
      </c>
      <c r="AF171" s="317">
        <f t="shared" si="172"/>
        <v>0</v>
      </c>
      <c r="AG171" s="317">
        <f t="shared" si="173"/>
        <v>0</v>
      </c>
      <c r="AH171" s="317">
        <f t="shared" si="148"/>
        <v>0</v>
      </c>
      <c r="AI171" s="317">
        <f t="shared" si="149"/>
        <v>0</v>
      </c>
      <c r="AJ171" s="317">
        <f t="shared" si="150"/>
        <v>0</v>
      </c>
      <c r="AK171" s="317">
        <f t="shared" si="151"/>
        <v>0</v>
      </c>
      <c r="AL171" s="317">
        <f t="shared" si="152"/>
        <v>0</v>
      </c>
      <c r="AM171" s="317">
        <f t="shared" si="153"/>
        <v>0</v>
      </c>
      <c r="AN171" s="317">
        <f t="shared" si="154"/>
        <v>0</v>
      </c>
      <c r="AO171" s="317">
        <f t="shared" si="155"/>
        <v>0</v>
      </c>
      <c r="AP171" s="317">
        <f t="shared" si="156"/>
        <v>0</v>
      </c>
      <c r="AQ171" s="317">
        <f t="shared" si="157"/>
        <v>0</v>
      </c>
      <c r="AR171" s="317">
        <f t="shared" si="158"/>
        <v>0</v>
      </c>
      <c r="AS171" s="317">
        <f t="shared" si="159"/>
        <v>0</v>
      </c>
      <c r="AT171" s="317">
        <f t="shared" si="160"/>
        <v>0</v>
      </c>
      <c r="AU171" s="317">
        <f t="shared" si="161"/>
        <v>0</v>
      </c>
      <c r="AV171" s="317">
        <f t="shared" si="162"/>
        <v>0</v>
      </c>
      <c r="AW171" s="317">
        <f t="shared" si="163"/>
        <v>0</v>
      </c>
      <c r="AX171" s="317">
        <f t="shared" si="164"/>
        <v>0</v>
      </c>
      <c r="AY171" s="317">
        <f t="shared" si="165"/>
        <v>0</v>
      </c>
      <c r="AZ171" s="317">
        <f t="shared" si="166"/>
        <v>0</v>
      </c>
      <c r="BA171" s="317">
        <f t="shared" si="167"/>
        <v>0</v>
      </c>
    </row>
    <row r="172" spans="1:53" s="314" customFormat="1" ht="16.5" customHeight="1">
      <c r="A172" s="63" t="str">
        <f t="array" ref="A172">IF(C172&lt;&gt;0,SUM(($C$11:C172&lt;&gt;0)*1),"")</f>
        <v/>
      </c>
      <c r="B172" s="315"/>
      <c r="C172" s="315"/>
      <c r="D172" s="315"/>
      <c r="E172" s="432"/>
      <c r="F172" s="371"/>
      <c r="G172" s="373"/>
      <c r="H172" s="373"/>
      <c r="I172" s="63" t="str">
        <f t="shared" si="129"/>
        <v/>
      </c>
      <c r="J172" s="317">
        <f t="shared" si="130"/>
        <v>0</v>
      </c>
      <c r="K172" s="317">
        <f t="shared" si="131"/>
        <v>0</v>
      </c>
      <c r="L172" s="317">
        <f t="shared" si="132"/>
        <v>0</v>
      </c>
      <c r="M172" s="317">
        <f t="shared" si="133"/>
        <v>0</v>
      </c>
      <c r="N172" s="317">
        <f t="shared" si="168"/>
        <v>0</v>
      </c>
      <c r="O172" s="317">
        <f t="shared" si="169"/>
        <v>0</v>
      </c>
      <c r="P172" s="317">
        <f t="shared" si="134"/>
        <v>0</v>
      </c>
      <c r="Q172" s="317">
        <f t="shared" si="135"/>
        <v>0</v>
      </c>
      <c r="R172" s="317">
        <f t="shared" si="136"/>
        <v>0</v>
      </c>
      <c r="S172" s="317">
        <f t="shared" si="137"/>
        <v>0</v>
      </c>
      <c r="T172" s="317">
        <f t="shared" si="170"/>
        <v>0</v>
      </c>
      <c r="U172" s="317">
        <f t="shared" si="171"/>
        <v>0</v>
      </c>
      <c r="V172" s="317">
        <f t="shared" si="138"/>
        <v>0</v>
      </c>
      <c r="W172" s="317">
        <f t="shared" si="139"/>
        <v>0</v>
      </c>
      <c r="X172" s="317">
        <f t="shared" si="140"/>
        <v>0</v>
      </c>
      <c r="Y172" s="317">
        <f t="shared" si="141"/>
        <v>0</v>
      </c>
      <c r="Z172" s="317">
        <f t="shared" si="142"/>
        <v>0</v>
      </c>
      <c r="AA172" s="317">
        <f t="shared" si="143"/>
        <v>0</v>
      </c>
      <c r="AB172" s="317">
        <f t="shared" si="144"/>
        <v>0</v>
      </c>
      <c r="AC172" s="317">
        <f t="shared" si="145"/>
        <v>0</v>
      </c>
      <c r="AD172" s="317">
        <f t="shared" si="146"/>
        <v>0</v>
      </c>
      <c r="AE172" s="317">
        <f t="shared" si="147"/>
        <v>0</v>
      </c>
      <c r="AF172" s="317">
        <f t="shared" si="172"/>
        <v>0</v>
      </c>
      <c r="AG172" s="317">
        <f t="shared" si="173"/>
        <v>0</v>
      </c>
      <c r="AH172" s="317">
        <f t="shared" si="148"/>
        <v>0</v>
      </c>
      <c r="AI172" s="317">
        <f t="shared" si="149"/>
        <v>0</v>
      </c>
      <c r="AJ172" s="317">
        <f t="shared" si="150"/>
        <v>0</v>
      </c>
      <c r="AK172" s="317">
        <f t="shared" si="151"/>
        <v>0</v>
      </c>
      <c r="AL172" s="317">
        <f t="shared" si="152"/>
        <v>0</v>
      </c>
      <c r="AM172" s="317">
        <f t="shared" si="153"/>
        <v>0</v>
      </c>
      <c r="AN172" s="317">
        <f t="shared" si="154"/>
        <v>0</v>
      </c>
      <c r="AO172" s="317">
        <f t="shared" si="155"/>
        <v>0</v>
      </c>
      <c r="AP172" s="317">
        <f t="shared" si="156"/>
        <v>0</v>
      </c>
      <c r="AQ172" s="317">
        <f t="shared" si="157"/>
        <v>0</v>
      </c>
      <c r="AR172" s="317">
        <f t="shared" si="158"/>
        <v>0</v>
      </c>
      <c r="AS172" s="317">
        <f t="shared" si="159"/>
        <v>0</v>
      </c>
      <c r="AT172" s="317">
        <f t="shared" si="160"/>
        <v>0</v>
      </c>
      <c r="AU172" s="317">
        <f t="shared" si="161"/>
        <v>0</v>
      </c>
      <c r="AV172" s="317">
        <f t="shared" si="162"/>
        <v>0</v>
      </c>
      <c r="AW172" s="317">
        <f t="shared" si="163"/>
        <v>0</v>
      </c>
      <c r="AX172" s="317">
        <f t="shared" si="164"/>
        <v>0</v>
      </c>
      <c r="AY172" s="317">
        <f t="shared" si="165"/>
        <v>0</v>
      </c>
      <c r="AZ172" s="317">
        <f t="shared" si="166"/>
        <v>0</v>
      </c>
      <c r="BA172" s="317">
        <f t="shared" si="167"/>
        <v>0</v>
      </c>
    </row>
    <row r="173" spans="1:53" s="314" customFormat="1" ht="16.5" customHeight="1">
      <c r="A173" s="63" t="str">
        <f t="array" ref="A173">IF(C173&lt;&gt;0,SUM(($C$11:C173&lt;&gt;0)*1),"")</f>
        <v/>
      </c>
      <c r="B173" s="315"/>
      <c r="C173" s="315"/>
      <c r="D173" s="315"/>
      <c r="E173" s="432"/>
      <c r="F173" s="371"/>
      <c r="G173" s="373"/>
      <c r="H173" s="373"/>
      <c r="I173" s="63" t="str">
        <f t="shared" si="129"/>
        <v/>
      </c>
      <c r="J173" s="317">
        <f t="shared" si="130"/>
        <v>0</v>
      </c>
      <c r="K173" s="317">
        <f t="shared" si="131"/>
        <v>0</v>
      </c>
      <c r="L173" s="317">
        <f t="shared" si="132"/>
        <v>0</v>
      </c>
      <c r="M173" s="317">
        <f t="shared" si="133"/>
        <v>0</v>
      </c>
      <c r="N173" s="317">
        <f t="shared" si="168"/>
        <v>0</v>
      </c>
      <c r="O173" s="317">
        <f t="shared" si="169"/>
        <v>0</v>
      </c>
      <c r="P173" s="317">
        <f t="shared" si="134"/>
        <v>0</v>
      </c>
      <c r="Q173" s="317">
        <f t="shared" si="135"/>
        <v>0</v>
      </c>
      <c r="R173" s="317">
        <f t="shared" si="136"/>
        <v>0</v>
      </c>
      <c r="S173" s="317">
        <f t="shared" si="137"/>
        <v>0</v>
      </c>
      <c r="T173" s="317">
        <f t="shared" si="170"/>
        <v>0</v>
      </c>
      <c r="U173" s="317">
        <f t="shared" si="171"/>
        <v>0</v>
      </c>
      <c r="V173" s="317">
        <f t="shared" si="138"/>
        <v>0</v>
      </c>
      <c r="W173" s="317">
        <f t="shared" si="139"/>
        <v>0</v>
      </c>
      <c r="X173" s="317">
        <f t="shared" si="140"/>
        <v>0</v>
      </c>
      <c r="Y173" s="317">
        <f t="shared" si="141"/>
        <v>0</v>
      </c>
      <c r="Z173" s="317">
        <f t="shared" si="142"/>
        <v>0</v>
      </c>
      <c r="AA173" s="317">
        <f t="shared" si="143"/>
        <v>0</v>
      </c>
      <c r="AB173" s="317">
        <f t="shared" si="144"/>
        <v>0</v>
      </c>
      <c r="AC173" s="317">
        <f t="shared" si="145"/>
        <v>0</v>
      </c>
      <c r="AD173" s="317">
        <f t="shared" si="146"/>
        <v>0</v>
      </c>
      <c r="AE173" s="317">
        <f t="shared" si="147"/>
        <v>0</v>
      </c>
      <c r="AF173" s="317">
        <f t="shared" si="172"/>
        <v>0</v>
      </c>
      <c r="AG173" s="317">
        <f t="shared" si="173"/>
        <v>0</v>
      </c>
      <c r="AH173" s="317">
        <f t="shared" si="148"/>
        <v>0</v>
      </c>
      <c r="AI173" s="317">
        <f t="shared" si="149"/>
        <v>0</v>
      </c>
      <c r="AJ173" s="317">
        <f t="shared" si="150"/>
        <v>0</v>
      </c>
      <c r="AK173" s="317">
        <f t="shared" si="151"/>
        <v>0</v>
      </c>
      <c r="AL173" s="317">
        <f t="shared" si="152"/>
        <v>0</v>
      </c>
      <c r="AM173" s="317">
        <f t="shared" si="153"/>
        <v>0</v>
      </c>
      <c r="AN173" s="317">
        <f t="shared" si="154"/>
        <v>0</v>
      </c>
      <c r="AO173" s="317">
        <f t="shared" si="155"/>
        <v>0</v>
      </c>
      <c r="AP173" s="317">
        <f t="shared" si="156"/>
        <v>0</v>
      </c>
      <c r="AQ173" s="317">
        <f t="shared" si="157"/>
        <v>0</v>
      </c>
      <c r="AR173" s="317">
        <f t="shared" si="158"/>
        <v>0</v>
      </c>
      <c r="AS173" s="317">
        <f t="shared" si="159"/>
        <v>0</v>
      </c>
      <c r="AT173" s="317">
        <f t="shared" si="160"/>
        <v>0</v>
      </c>
      <c r="AU173" s="317">
        <f t="shared" si="161"/>
        <v>0</v>
      </c>
      <c r="AV173" s="317">
        <f t="shared" si="162"/>
        <v>0</v>
      </c>
      <c r="AW173" s="317">
        <f t="shared" si="163"/>
        <v>0</v>
      </c>
      <c r="AX173" s="317">
        <f t="shared" si="164"/>
        <v>0</v>
      </c>
      <c r="AY173" s="317">
        <f t="shared" si="165"/>
        <v>0</v>
      </c>
      <c r="AZ173" s="317">
        <f t="shared" si="166"/>
        <v>0</v>
      </c>
      <c r="BA173" s="317">
        <f t="shared" si="167"/>
        <v>0</v>
      </c>
    </row>
    <row r="174" spans="1:53" s="314" customFormat="1" ht="16.5" customHeight="1">
      <c r="A174" s="63" t="str">
        <f t="array" ref="A174">IF(C174&lt;&gt;0,SUM(($C$11:C174&lt;&gt;0)*1),"")</f>
        <v/>
      </c>
      <c r="B174" s="315"/>
      <c r="C174" s="315"/>
      <c r="D174" s="315"/>
      <c r="E174" s="432"/>
      <c r="F174" s="371"/>
      <c r="G174" s="373"/>
      <c r="H174" s="373"/>
      <c r="I174" s="63" t="str">
        <f t="shared" si="129"/>
        <v/>
      </c>
      <c r="J174" s="317">
        <f t="shared" si="130"/>
        <v>0</v>
      </c>
      <c r="K174" s="317">
        <f t="shared" si="131"/>
        <v>0</v>
      </c>
      <c r="L174" s="317">
        <f t="shared" si="132"/>
        <v>0</v>
      </c>
      <c r="M174" s="317">
        <f t="shared" si="133"/>
        <v>0</v>
      </c>
      <c r="N174" s="317">
        <f t="shared" si="168"/>
        <v>0</v>
      </c>
      <c r="O174" s="317">
        <f t="shared" si="169"/>
        <v>0</v>
      </c>
      <c r="P174" s="317">
        <f t="shared" si="134"/>
        <v>0</v>
      </c>
      <c r="Q174" s="317">
        <f t="shared" si="135"/>
        <v>0</v>
      </c>
      <c r="R174" s="317">
        <f t="shared" si="136"/>
        <v>0</v>
      </c>
      <c r="S174" s="317">
        <f t="shared" si="137"/>
        <v>0</v>
      </c>
      <c r="T174" s="317">
        <f t="shared" si="170"/>
        <v>0</v>
      </c>
      <c r="U174" s="317">
        <f t="shared" si="171"/>
        <v>0</v>
      </c>
      <c r="V174" s="317">
        <f t="shared" si="138"/>
        <v>0</v>
      </c>
      <c r="W174" s="317">
        <f t="shared" si="139"/>
        <v>0</v>
      </c>
      <c r="X174" s="317">
        <f t="shared" si="140"/>
        <v>0</v>
      </c>
      <c r="Y174" s="317">
        <f t="shared" si="141"/>
        <v>0</v>
      </c>
      <c r="Z174" s="317">
        <f t="shared" si="142"/>
        <v>0</v>
      </c>
      <c r="AA174" s="317">
        <f t="shared" si="143"/>
        <v>0</v>
      </c>
      <c r="AB174" s="317">
        <f t="shared" si="144"/>
        <v>0</v>
      </c>
      <c r="AC174" s="317">
        <f t="shared" si="145"/>
        <v>0</v>
      </c>
      <c r="AD174" s="317">
        <f t="shared" si="146"/>
        <v>0</v>
      </c>
      <c r="AE174" s="317">
        <f t="shared" si="147"/>
        <v>0</v>
      </c>
      <c r="AF174" s="317">
        <f t="shared" si="172"/>
        <v>0</v>
      </c>
      <c r="AG174" s="317">
        <f t="shared" si="173"/>
        <v>0</v>
      </c>
      <c r="AH174" s="317">
        <f t="shared" si="148"/>
        <v>0</v>
      </c>
      <c r="AI174" s="317">
        <f t="shared" si="149"/>
        <v>0</v>
      </c>
      <c r="AJ174" s="317">
        <f t="shared" si="150"/>
        <v>0</v>
      </c>
      <c r="AK174" s="317">
        <f t="shared" si="151"/>
        <v>0</v>
      </c>
      <c r="AL174" s="317">
        <f t="shared" si="152"/>
        <v>0</v>
      </c>
      <c r="AM174" s="317">
        <f t="shared" si="153"/>
        <v>0</v>
      </c>
      <c r="AN174" s="317">
        <f t="shared" si="154"/>
        <v>0</v>
      </c>
      <c r="AO174" s="317">
        <f t="shared" si="155"/>
        <v>0</v>
      </c>
      <c r="AP174" s="317">
        <f t="shared" si="156"/>
        <v>0</v>
      </c>
      <c r="AQ174" s="317">
        <f t="shared" si="157"/>
        <v>0</v>
      </c>
      <c r="AR174" s="317">
        <f t="shared" si="158"/>
        <v>0</v>
      </c>
      <c r="AS174" s="317">
        <f t="shared" si="159"/>
        <v>0</v>
      </c>
      <c r="AT174" s="317">
        <f t="shared" si="160"/>
        <v>0</v>
      </c>
      <c r="AU174" s="317">
        <f t="shared" si="161"/>
        <v>0</v>
      </c>
      <c r="AV174" s="317">
        <f t="shared" si="162"/>
        <v>0</v>
      </c>
      <c r="AW174" s="317">
        <f t="shared" si="163"/>
        <v>0</v>
      </c>
      <c r="AX174" s="317">
        <f t="shared" si="164"/>
        <v>0</v>
      </c>
      <c r="AY174" s="317">
        <f t="shared" si="165"/>
        <v>0</v>
      </c>
      <c r="AZ174" s="317">
        <f t="shared" si="166"/>
        <v>0</v>
      </c>
      <c r="BA174" s="317">
        <f t="shared" si="167"/>
        <v>0</v>
      </c>
    </row>
    <row r="175" spans="1:53" s="314" customFormat="1" ht="16.5" customHeight="1">
      <c r="A175" s="63" t="str">
        <f t="array" ref="A175">IF(C175&lt;&gt;0,SUM(($C$11:C175&lt;&gt;0)*1),"")</f>
        <v/>
      </c>
      <c r="B175" s="315"/>
      <c r="C175" s="315"/>
      <c r="D175" s="315"/>
      <c r="E175" s="432"/>
      <c r="F175" s="371"/>
      <c r="G175" s="373"/>
      <c r="H175" s="373"/>
      <c r="I175" s="63" t="str">
        <f t="shared" si="129"/>
        <v/>
      </c>
      <c r="J175" s="317">
        <f t="shared" si="130"/>
        <v>0</v>
      </c>
      <c r="K175" s="317">
        <f t="shared" si="131"/>
        <v>0</v>
      </c>
      <c r="L175" s="317">
        <f t="shared" si="132"/>
        <v>0</v>
      </c>
      <c r="M175" s="317">
        <f t="shared" si="133"/>
        <v>0</v>
      </c>
      <c r="N175" s="317">
        <f t="shared" si="168"/>
        <v>0</v>
      </c>
      <c r="O175" s="317">
        <f t="shared" si="169"/>
        <v>0</v>
      </c>
      <c r="P175" s="317">
        <f t="shared" si="134"/>
        <v>0</v>
      </c>
      <c r="Q175" s="317">
        <f t="shared" si="135"/>
        <v>0</v>
      </c>
      <c r="R175" s="317">
        <f t="shared" si="136"/>
        <v>0</v>
      </c>
      <c r="S175" s="317">
        <f t="shared" si="137"/>
        <v>0</v>
      </c>
      <c r="T175" s="317">
        <f t="shared" si="170"/>
        <v>0</v>
      </c>
      <c r="U175" s="317">
        <f t="shared" si="171"/>
        <v>0</v>
      </c>
      <c r="V175" s="317">
        <f t="shared" si="138"/>
        <v>0</v>
      </c>
      <c r="W175" s="317">
        <f t="shared" si="139"/>
        <v>0</v>
      </c>
      <c r="X175" s="317">
        <f t="shared" si="140"/>
        <v>0</v>
      </c>
      <c r="Y175" s="317">
        <f t="shared" si="141"/>
        <v>0</v>
      </c>
      <c r="Z175" s="317">
        <f t="shared" si="142"/>
        <v>0</v>
      </c>
      <c r="AA175" s="317">
        <f t="shared" si="143"/>
        <v>0</v>
      </c>
      <c r="AB175" s="317">
        <f t="shared" si="144"/>
        <v>0</v>
      </c>
      <c r="AC175" s="317">
        <f t="shared" si="145"/>
        <v>0</v>
      </c>
      <c r="AD175" s="317">
        <f t="shared" si="146"/>
        <v>0</v>
      </c>
      <c r="AE175" s="317">
        <f t="shared" si="147"/>
        <v>0</v>
      </c>
      <c r="AF175" s="317">
        <f t="shared" si="172"/>
        <v>0</v>
      </c>
      <c r="AG175" s="317">
        <f t="shared" si="173"/>
        <v>0</v>
      </c>
      <c r="AH175" s="317">
        <f t="shared" si="148"/>
        <v>0</v>
      </c>
      <c r="AI175" s="317">
        <f t="shared" si="149"/>
        <v>0</v>
      </c>
      <c r="AJ175" s="317">
        <f t="shared" si="150"/>
        <v>0</v>
      </c>
      <c r="AK175" s="317">
        <f t="shared" si="151"/>
        <v>0</v>
      </c>
      <c r="AL175" s="317">
        <f t="shared" si="152"/>
        <v>0</v>
      </c>
      <c r="AM175" s="317">
        <f t="shared" si="153"/>
        <v>0</v>
      </c>
      <c r="AN175" s="317">
        <f t="shared" si="154"/>
        <v>0</v>
      </c>
      <c r="AO175" s="317">
        <f t="shared" si="155"/>
        <v>0</v>
      </c>
      <c r="AP175" s="317">
        <f t="shared" si="156"/>
        <v>0</v>
      </c>
      <c r="AQ175" s="317">
        <f t="shared" si="157"/>
        <v>0</v>
      </c>
      <c r="AR175" s="317">
        <f t="shared" si="158"/>
        <v>0</v>
      </c>
      <c r="AS175" s="317">
        <f t="shared" si="159"/>
        <v>0</v>
      </c>
      <c r="AT175" s="317">
        <f t="shared" si="160"/>
        <v>0</v>
      </c>
      <c r="AU175" s="317">
        <f t="shared" si="161"/>
        <v>0</v>
      </c>
      <c r="AV175" s="317">
        <f t="shared" si="162"/>
        <v>0</v>
      </c>
      <c r="AW175" s="317">
        <f t="shared" si="163"/>
        <v>0</v>
      </c>
      <c r="AX175" s="317">
        <f t="shared" si="164"/>
        <v>0</v>
      </c>
      <c r="AY175" s="317">
        <f t="shared" si="165"/>
        <v>0</v>
      </c>
      <c r="AZ175" s="317">
        <f t="shared" si="166"/>
        <v>0</v>
      </c>
      <c r="BA175" s="317">
        <f t="shared" si="167"/>
        <v>0</v>
      </c>
    </row>
    <row r="176" spans="1:53" s="314" customFormat="1" ht="16.5" customHeight="1">
      <c r="A176" s="63" t="str">
        <f t="array" ref="A176">IF(C176&lt;&gt;0,SUM(($C$11:C176&lt;&gt;0)*1),"")</f>
        <v/>
      </c>
      <c r="B176" s="315"/>
      <c r="C176" s="315"/>
      <c r="D176" s="315"/>
      <c r="E176" s="432"/>
      <c r="F176" s="371"/>
      <c r="G176" s="373"/>
      <c r="H176" s="373"/>
      <c r="I176" s="63" t="str">
        <f t="shared" si="129"/>
        <v/>
      </c>
      <c r="J176" s="317">
        <f t="shared" si="130"/>
        <v>0</v>
      </c>
      <c r="K176" s="317">
        <f t="shared" si="131"/>
        <v>0</v>
      </c>
      <c r="L176" s="317">
        <f t="shared" si="132"/>
        <v>0</v>
      </c>
      <c r="M176" s="317">
        <f t="shared" si="133"/>
        <v>0</v>
      </c>
      <c r="N176" s="317">
        <f t="shared" si="168"/>
        <v>0</v>
      </c>
      <c r="O176" s="317">
        <f t="shared" si="169"/>
        <v>0</v>
      </c>
      <c r="P176" s="317">
        <f t="shared" si="134"/>
        <v>0</v>
      </c>
      <c r="Q176" s="317">
        <f t="shared" si="135"/>
        <v>0</v>
      </c>
      <c r="R176" s="317">
        <f t="shared" si="136"/>
        <v>0</v>
      </c>
      <c r="S176" s="317">
        <f t="shared" si="137"/>
        <v>0</v>
      </c>
      <c r="T176" s="317">
        <f t="shared" si="170"/>
        <v>0</v>
      </c>
      <c r="U176" s="317">
        <f t="shared" si="171"/>
        <v>0</v>
      </c>
      <c r="V176" s="317">
        <f t="shared" si="138"/>
        <v>0</v>
      </c>
      <c r="W176" s="317">
        <f t="shared" si="139"/>
        <v>0</v>
      </c>
      <c r="X176" s="317">
        <f t="shared" si="140"/>
        <v>0</v>
      </c>
      <c r="Y176" s="317">
        <f t="shared" si="141"/>
        <v>0</v>
      </c>
      <c r="Z176" s="317">
        <f t="shared" si="142"/>
        <v>0</v>
      </c>
      <c r="AA176" s="317">
        <f t="shared" si="143"/>
        <v>0</v>
      </c>
      <c r="AB176" s="317">
        <f t="shared" si="144"/>
        <v>0</v>
      </c>
      <c r="AC176" s="317">
        <f t="shared" si="145"/>
        <v>0</v>
      </c>
      <c r="AD176" s="317">
        <f t="shared" si="146"/>
        <v>0</v>
      </c>
      <c r="AE176" s="317">
        <f t="shared" si="147"/>
        <v>0</v>
      </c>
      <c r="AF176" s="317">
        <f t="shared" si="172"/>
        <v>0</v>
      </c>
      <c r="AG176" s="317">
        <f t="shared" si="173"/>
        <v>0</v>
      </c>
      <c r="AH176" s="317">
        <f t="shared" si="148"/>
        <v>0</v>
      </c>
      <c r="AI176" s="317">
        <f t="shared" si="149"/>
        <v>0</v>
      </c>
      <c r="AJ176" s="317">
        <f t="shared" si="150"/>
        <v>0</v>
      </c>
      <c r="AK176" s="317">
        <f t="shared" si="151"/>
        <v>0</v>
      </c>
      <c r="AL176" s="317">
        <f t="shared" si="152"/>
        <v>0</v>
      </c>
      <c r="AM176" s="317">
        <f t="shared" si="153"/>
        <v>0</v>
      </c>
      <c r="AN176" s="317">
        <f t="shared" si="154"/>
        <v>0</v>
      </c>
      <c r="AO176" s="317">
        <f t="shared" si="155"/>
        <v>0</v>
      </c>
      <c r="AP176" s="317">
        <f t="shared" si="156"/>
        <v>0</v>
      </c>
      <c r="AQ176" s="317">
        <f t="shared" si="157"/>
        <v>0</v>
      </c>
      <c r="AR176" s="317">
        <f t="shared" si="158"/>
        <v>0</v>
      </c>
      <c r="AS176" s="317">
        <f t="shared" si="159"/>
        <v>0</v>
      </c>
      <c r="AT176" s="317">
        <f t="shared" si="160"/>
        <v>0</v>
      </c>
      <c r="AU176" s="317">
        <f t="shared" si="161"/>
        <v>0</v>
      </c>
      <c r="AV176" s="317">
        <f t="shared" si="162"/>
        <v>0</v>
      </c>
      <c r="AW176" s="317">
        <f t="shared" si="163"/>
        <v>0</v>
      </c>
      <c r="AX176" s="317">
        <f t="shared" si="164"/>
        <v>0</v>
      </c>
      <c r="AY176" s="317">
        <f t="shared" si="165"/>
        <v>0</v>
      </c>
      <c r="AZ176" s="317">
        <f t="shared" si="166"/>
        <v>0</v>
      </c>
      <c r="BA176" s="317">
        <f t="shared" si="167"/>
        <v>0</v>
      </c>
    </row>
    <row r="177" spans="1:53" s="314" customFormat="1" ht="16.5" customHeight="1">
      <c r="A177" s="63" t="str">
        <f t="array" ref="A177">IF(C177&lt;&gt;0,SUM(($C$11:C177&lt;&gt;0)*1),"")</f>
        <v/>
      </c>
      <c r="B177" s="315"/>
      <c r="C177" s="315"/>
      <c r="D177" s="315"/>
      <c r="E177" s="432"/>
      <c r="F177" s="371"/>
      <c r="G177" s="373"/>
      <c r="H177" s="373"/>
      <c r="I177" s="63" t="str">
        <f t="shared" si="129"/>
        <v/>
      </c>
      <c r="J177" s="317">
        <f t="shared" si="130"/>
        <v>0</v>
      </c>
      <c r="K177" s="317">
        <f t="shared" si="131"/>
        <v>0</v>
      </c>
      <c r="L177" s="317">
        <f t="shared" si="132"/>
        <v>0</v>
      </c>
      <c r="M177" s="317">
        <f t="shared" si="133"/>
        <v>0</v>
      </c>
      <c r="N177" s="317">
        <f t="shared" si="168"/>
        <v>0</v>
      </c>
      <c r="O177" s="317">
        <f t="shared" si="169"/>
        <v>0</v>
      </c>
      <c r="P177" s="317">
        <f t="shared" si="134"/>
        <v>0</v>
      </c>
      <c r="Q177" s="317">
        <f t="shared" si="135"/>
        <v>0</v>
      </c>
      <c r="R177" s="317">
        <f t="shared" si="136"/>
        <v>0</v>
      </c>
      <c r="S177" s="317">
        <f t="shared" si="137"/>
        <v>0</v>
      </c>
      <c r="T177" s="317">
        <f t="shared" si="170"/>
        <v>0</v>
      </c>
      <c r="U177" s="317">
        <f t="shared" si="171"/>
        <v>0</v>
      </c>
      <c r="V177" s="317">
        <f t="shared" si="138"/>
        <v>0</v>
      </c>
      <c r="W177" s="317">
        <f t="shared" si="139"/>
        <v>0</v>
      </c>
      <c r="X177" s="317">
        <f t="shared" si="140"/>
        <v>0</v>
      </c>
      <c r="Y177" s="317">
        <f t="shared" si="141"/>
        <v>0</v>
      </c>
      <c r="Z177" s="317">
        <f t="shared" si="142"/>
        <v>0</v>
      </c>
      <c r="AA177" s="317">
        <f t="shared" si="143"/>
        <v>0</v>
      </c>
      <c r="AB177" s="317">
        <f t="shared" si="144"/>
        <v>0</v>
      </c>
      <c r="AC177" s="317">
        <f t="shared" si="145"/>
        <v>0</v>
      </c>
      <c r="AD177" s="317">
        <f t="shared" si="146"/>
        <v>0</v>
      </c>
      <c r="AE177" s="317">
        <f t="shared" si="147"/>
        <v>0</v>
      </c>
      <c r="AF177" s="317">
        <f t="shared" si="172"/>
        <v>0</v>
      </c>
      <c r="AG177" s="317">
        <f t="shared" si="173"/>
        <v>0</v>
      </c>
      <c r="AH177" s="317">
        <f t="shared" si="148"/>
        <v>0</v>
      </c>
      <c r="AI177" s="317">
        <f t="shared" si="149"/>
        <v>0</v>
      </c>
      <c r="AJ177" s="317">
        <f t="shared" si="150"/>
        <v>0</v>
      </c>
      <c r="AK177" s="317">
        <f t="shared" si="151"/>
        <v>0</v>
      </c>
      <c r="AL177" s="317">
        <f t="shared" si="152"/>
        <v>0</v>
      </c>
      <c r="AM177" s="317">
        <f t="shared" si="153"/>
        <v>0</v>
      </c>
      <c r="AN177" s="317">
        <f t="shared" si="154"/>
        <v>0</v>
      </c>
      <c r="AO177" s="317">
        <f t="shared" si="155"/>
        <v>0</v>
      </c>
      <c r="AP177" s="317">
        <f t="shared" si="156"/>
        <v>0</v>
      </c>
      <c r="AQ177" s="317">
        <f t="shared" si="157"/>
        <v>0</v>
      </c>
      <c r="AR177" s="317">
        <f t="shared" si="158"/>
        <v>0</v>
      </c>
      <c r="AS177" s="317">
        <f t="shared" si="159"/>
        <v>0</v>
      </c>
      <c r="AT177" s="317">
        <f t="shared" si="160"/>
        <v>0</v>
      </c>
      <c r="AU177" s="317">
        <f t="shared" si="161"/>
        <v>0</v>
      </c>
      <c r="AV177" s="317">
        <f t="shared" si="162"/>
        <v>0</v>
      </c>
      <c r="AW177" s="317">
        <f t="shared" si="163"/>
        <v>0</v>
      </c>
      <c r="AX177" s="317">
        <f t="shared" si="164"/>
        <v>0</v>
      </c>
      <c r="AY177" s="317">
        <f t="shared" si="165"/>
        <v>0</v>
      </c>
      <c r="AZ177" s="317">
        <f t="shared" si="166"/>
        <v>0</v>
      </c>
      <c r="BA177" s="317">
        <f t="shared" si="167"/>
        <v>0</v>
      </c>
    </row>
    <row r="178" spans="1:53" s="314" customFormat="1" ht="16.5" customHeight="1">
      <c r="A178" s="63" t="str">
        <f t="array" ref="A178">IF(C178&lt;&gt;0,SUM(($C$11:C178&lt;&gt;0)*1),"")</f>
        <v/>
      </c>
      <c r="B178" s="315"/>
      <c r="C178" s="315"/>
      <c r="D178" s="315"/>
      <c r="E178" s="432"/>
      <c r="F178" s="371"/>
      <c r="G178" s="373"/>
      <c r="H178" s="373"/>
      <c r="I178" s="63" t="str">
        <f t="shared" si="129"/>
        <v/>
      </c>
      <c r="J178" s="317">
        <f t="shared" si="130"/>
        <v>0</v>
      </c>
      <c r="K178" s="317">
        <f t="shared" si="131"/>
        <v>0</v>
      </c>
      <c r="L178" s="317">
        <f t="shared" si="132"/>
        <v>0</v>
      </c>
      <c r="M178" s="317">
        <f t="shared" si="133"/>
        <v>0</v>
      </c>
      <c r="N178" s="317">
        <f t="shared" si="168"/>
        <v>0</v>
      </c>
      <c r="O178" s="317">
        <f t="shared" si="169"/>
        <v>0</v>
      </c>
      <c r="P178" s="317">
        <f t="shared" si="134"/>
        <v>0</v>
      </c>
      <c r="Q178" s="317">
        <f t="shared" si="135"/>
        <v>0</v>
      </c>
      <c r="R178" s="317">
        <f t="shared" si="136"/>
        <v>0</v>
      </c>
      <c r="S178" s="317">
        <f t="shared" si="137"/>
        <v>0</v>
      </c>
      <c r="T178" s="317">
        <f t="shared" si="170"/>
        <v>0</v>
      </c>
      <c r="U178" s="317">
        <f t="shared" si="171"/>
        <v>0</v>
      </c>
      <c r="V178" s="317">
        <f t="shared" si="138"/>
        <v>0</v>
      </c>
      <c r="W178" s="317">
        <f t="shared" si="139"/>
        <v>0</v>
      </c>
      <c r="X178" s="317">
        <f t="shared" si="140"/>
        <v>0</v>
      </c>
      <c r="Y178" s="317">
        <f t="shared" si="141"/>
        <v>0</v>
      </c>
      <c r="Z178" s="317">
        <f t="shared" si="142"/>
        <v>0</v>
      </c>
      <c r="AA178" s="317">
        <f t="shared" si="143"/>
        <v>0</v>
      </c>
      <c r="AB178" s="317">
        <f t="shared" si="144"/>
        <v>0</v>
      </c>
      <c r="AC178" s="317">
        <f t="shared" si="145"/>
        <v>0</v>
      </c>
      <c r="AD178" s="317">
        <f t="shared" si="146"/>
        <v>0</v>
      </c>
      <c r="AE178" s="317">
        <f t="shared" si="147"/>
        <v>0</v>
      </c>
      <c r="AF178" s="317">
        <f t="shared" si="172"/>
        <v>0</v>
      </c>
      <c r="AG178" s="317">
        <f t="shared" si="173"/>
        <v>0</v>
      </c>
      <c r="AH178" s="317">
        <f t="shared" si="148"/>
        <v>0</v>
      </c>
      <c r="AI178" s="317">
        <f t="shared" si="149"/>
        <v>0</v>
      </c>
      <c r="AJ178" s="317">
        <f t="shared" si="150"/>
        <v>0</v>
      </c>
      <c r="AK178" s="317">
        <f t="shared" si="151"/>
        <v>0</v>
      </c>
      <c r="AL178" s="317">
        <f t="shared" si="152"/>
        <v>0</v>
      </c>
      <c r="AM178" s="317">
        <f t="shared" si="153"/>
        <v>0</v>
      </c>
      <c r="AN178" s="317">
        <f t="shared" si="154"/>
        <v>0</v>
      </c>
      <c r="AO178" s="317">
        <f t="shared" si="155"/>
        <v>0</v>
      </c>
      <c r="AP178" s="317">
        <f t="shared" si="156"/>
        <v>0</v>
      </c>
      <c r="AQ178" s="317">
        <f t="shared" si="157"/>
        <v>0</v>
      </c>
      <c r="AR178" s="317">
        <f t="shared" si="158"/>
        <v>0</v>
      </c>
      <c r="AS178" s="317">
        <f t="shared" si="159"/>
        <v>0</v>
      </c>
      <c r="AT178" s="317">
        <f t="shared" si="160"/>
        <v>0</v>
      </c>
      <c r="AU178" s="317">
        <f t="shared" si="161"/>
        <v>0</v>
      </c>
      <c r="AV178" s="317">
        <f t="shared" si="162"/>
        <v>0</v>
      </c>
      <c r="AW178" s="317">
        <f t="shared" si="163"/>
        <v>0</v>
      </c>
      <c r="AX178" s="317">
        <f t="shared" si="164"/>
        <v>0</v>
      </c>
      <c r="AY178" s="317">
        <f t="shared" si="165"/>
        <v>0</v>
      </c>
      <c r="AZ178" s="317">
        <f t="shared" si="166"/>
        <v>0</v>
      </c>
      <c r="BA178" s="317">
        <f t="shared" si="167"/>
        <v>0</v>
      </c>
    </row>
    <row r="179" spans="1:53" s="314" customFormat="1" ht="16.5" customHeight="1">
      <c r="A179" s="63" t="str">
        <f t="array" ref="A179">IF(C179&lt;&gt;0,SUM(($C$11:C179&lt;&gt;0)*1),"")</f>
        <v/>
      </c>
      <c r="B179" s="315"/>
      <c r="C179" s="315"/>
      <c r="D179" s="315"/>
      <c r="E179" s="432"/>
      <c r="F179" s="371"/>
      <c r="G179" s="373"/>
      <c r="H179" s="373"/>
      <c r="I179" s="63" t="str">
        <f t="shared" si="129"/>
        <v/>
      </c>
      <c r="J179" s="317">
        <f t="shared" si="130"/>
        <v>0</v>
      </c>
      <c r="K179" s="317">
        <f t="shared" si="131"/>
        <v>0</v>
      </c>
      <c r="L179" s="317">
        <f t="shared" si="132"/>
        <v>0</v>
      </c>
      <c r="M179" s="317">
        <f t="shared" si="133"/>
        <v>0</v>
      </c>
      <c r="N179" s="317">
        <f t="shared" si="168"/>
        <v>0</v>
      </c>
      <c r="O179" s="317">
        <f t="shared" si="169"/>
        <v>0</v>
      </c>
      <c r="P179" s="317">
        <f t="shared" si="134"/>
        <v>0</v>
      </c>
      <c r="Q179" s="317">
        <f t="shared" si="135"/>
        <v>0</v>
      </c>
      <c r="R179" s="317">
        <f t="shared" si="136"/>
        <v>0</v>
      </c>
      <c r="S179" s="317">
        <f t="shared" si="137"/>
        <v>0</v>
      </c>
      <c r="T179" s="317">
        <f t="shared" si="170"/>
        <v>0</v>
      </c>
      <c r="U179" s="317">
        <f t="shared" si="171"/>
        <v>0</v>
      </c>
      <c r="V179" s="317">
        <f t="shared" si="138"/>
        <v>0</v>
      </c>
      <c r="W179" s="317">
        <f t="shared" si="139"/>
        <v>0</v>
      </c>
      <c r="X179" s="317">
        <f t="shared" si="140"/>
        <v>0</v>
      </c>
      <c r="Y179" s="317">
        <f t="shared" si="141"/>
        <v>0</v>
      </c>
      <c r="Z179" s="317">
        <f t="shared" si="142"/>
        <v>0</v>
      </c>
      <c r="AA179" s="317">
        <f t="shared" si="143"/>
        <v>0</v>
      </c>
      <c r="AB179" s="317">
        <f t="shared" si="144"/>
        <v>0</v>
      </c>
      <c r="AC179" s="317">
        <f t="shared" si="145"/>
        <v>0</v>
      </c>
      <c r="AD179" s="317">
        <f t="shared" si="146"/>
        <v>0</v>
      </c>
      <c r="AE179" s="317">
        <f t="shared" si="147"/>
        <v>0</v>
      </c>
      <c r="AF179" s="317">
        <f t="shared" si="172"/>
        <v>0</v>
      </c>
      <c r="AG179" s="317">
        <f t="shared" si="173"/>
        <v>0</v>
      </c>
      <c r="AH179" s="317">
        <f t="shared" si="148"/>
        <v>0</v>
      </c>
      <c r="AI179" s="317">
        <f t="shared" si="149"/>
        <v>0</v>
      </c>
      <c r="AJ179" s="317">
        <f t="shared" si="150"/>
        <v>0</v>
      </c>
      <c r="AK179" s="317">
        <f t="shared" si="151"/>
        <v>0</v>
      </c>
      <c r="AL179" s="317">
        <f t="shared" si="152"/>
        <v>0</v>
      </c>
      <c r="AM179" s="317">
        <f t="shared" si="153"/>
        <v>0</v>
      </c>
      <c r="AN179" s="317">
        <f t="shared" si="154"/>
        <v>0</v>
      </c>
      <c r="AO179" s="317">
        <f t="shared" si="155"/>
        <v>0</v>
      </c>
      <c r="AP179" s="317">
        <f t="shared" si="156"/>
        <v>0</v>
      </c>
      <c r="AQ179" s="317">
        <f t="shared" si="157"/>
        <v>0</v>
      </c>
      <c r="AR179" s="317">
        <f t="shared" si="158"/>
        <v>0</v>
      </c>
      <c r="AS179" s="317">
        <f t="shared" si="159"/>
        <v>0</v>
      </c>
      <c r="AT179" s="317">
        <f t="shared" si="160"/>
        <v>0</v>
      </c>
      <c r="AU179" s="317">
        <f t="shared" si="161"/>
        <v>0</v>
      </c>
      <c r="AV179" s="317">
        <f t="shared" si="162"/>
        <v>0</v>
      </c>
      <c r="AW179" s="317">
        <f t="shared" si="163"/>
        <v>0</v>
      </c>
      <c r="AX179" s="317">
        <f t="shared" si="164"/>
        <v>0</v>
      </c>
      <c r="AY179" s="317">
        <f t="shared" si="165"/>
        <v>0</v>
      </c>
      <c r="AZ179" s="317">
        <f t="shared" si="166"/>
        <v>0</v>
      </c>
      <c r="BA179" s="317">
        <f t="shared" si="167"/>
        <v>0</v>
      </c>
    </row>
    <row r="180" spans="1:53" s="314" customFormat="1" ht="16.5" customHeight="1">
      <c r="A180" s="63" t="str">
        <f t="array" ref="A180">IF(C180&lt;&gt;0,SUM(($C$11:C180&lt;&gt;0)*1),"")</f>
        <v/>
      </c>
      <c r="B180" s="315"/>
      <c r="C180" s="315"/>
      <c r="D180" s="315"/>
      <c r="E180" s="432"/>
      <c r="F180" s="371"/>
      <c r="G180" s="373"/>
      <c r="H180" s="373"/>
      <c r="I180" s="63" t="str">
        <f t="shared" si="129"/>
        <v/>
      </c>
      <c r="J180" s="317">
        <f t="shared" si="130"/>
        <v>0</v>
      </c>
      <c r="K180" s="317">
        <f t="shared" si="131"/>
        <v>0</v>
      </c>
      <c r="L180" s="317">
        <f t="shared" si="132"/>
        <v>0</v>
      </c>
      <c r="M180" s="317">
        <f t="shared" si="133"/>
        <v>0</v>
      </c>
      <c r="N180" s="317">
        <f t="shared" si="168"/>
        <v>0</v>
      </c>
      <c r="O180" s="317">
        <f t="shared" si="169"/>
        <v>0</v>
      </c>
      <c r="P180" s="317">
        <f t="shared" si="134"/>
        <v>0</v>
      </c>
      <c r="Q180" s="317">
        <f t="shared" si="135"/>
        <v>0</v>
      </c>
      <c r="R180" s="317">
        <f t="shared" si="136"/>
        <v>0</v>
      </c>
      <c r="S180" s="317">
        <f t="shared" si="137"/>
        <v>0</v>
      </c>
      <c r="T180" s="317">
        <f t="shared" si="170"/>
        <v>0</v>
      </c>
      <c r="U180" s="317">
        <f t="shared" si="171"/>
        <v>0</v>
      </c>
      <c r="V180" s="317">
        <f t="shared" si="138"/>
        <v>0</v>
      </c>
      <c r="W180" s="317">
        <f t="shared" si="139"/>
        <v>0</v>
      </c>
      <c r="X180" s="317">
        <f t="shared" si="140"/>
        <v>0</v>
      </c>
      <c r="Y180" s="317">
        <f t="shared" si="141"/>
        <v>0</v>
      </c>
      <c r="Z180" s="317">
        <f t="shared" si="142"/>
        <v>0</v>
      </c>
      <c r="AA180" s="317">
        <f t="shared" si="143"/>
        <v>0</v>
      </c>
      <c r="AB180" s="317">
        <f t="shared" si="144"/>
        <v>0</v>
      </c>
      <c r="AC180" s="317">
        <f t="shared" si="145"/>
        <v>0</v>
      </c>
      <c r="AD180" s="317">
        <f t="shared" si="146"/>
        <v>0</v>
      </c>
      <c r="AE180" s="317">
        <f t="shared" si="147"/>
        <v>0</v>
      </c>
      <c r="AF180" s="317">
        <f t="shared" si="172"/>
        <v>0</v>
      </c>
      <c r="AG180" s="317">
        <f t="shared" si="173"/>
        <v>0</v>
      </c>
      <c r="AH180" s="317">
        <f t="shared" si="148"/>
        <v>0</v>
      </c>
      <c r="AI180" s="317">
        <f t="shared" si="149"/>
        <v>0</v>
      </c>
      <c r="AJ180" s="317">
        <f t="shared" si="150"/>
        <v>0</v>
      </c>
      <c r="AK180" s="317">
        <f t="shared" si="151"/>
        <v>0</v>
      </c>
      <c r="AL180" s="317">
        <f t="shared" si="152"/>
        <v>0</v>
      </c>
      <c r="AM180" s="317">
        <f t="shared" si="153"/>
        <v>0</v>
      </c>
      <c r="AN180" s="317">
        <f t="shared" si="154"/>
        <v>0</v>
      </c>
      <c r="AO180" s="317">
        <f t="shared" si="155"/>
        <v>0</v>
      </c>
      <c r="AP180" s="317">
        <f t="shared" si="156"/>
        <v>0</v>
      </c>
      <c r="AQ180" s="317">
        <f t="shared" si="157"/>
        <v>0</v>
      </c>
      <c r="AR180" s="317">
        <f t="shared" si="158"/>
        <v>0</v>
      </c>
      <c r="AS180" s="317">
        <f t="shared" si="159"/>
        <v>0</v>
      </c>
      <c r="AT180" s="317">
        <f t="shared" si="160"/>
        <v>0</v>
      </c>
      <c r="AU180" s="317">
        <f t="shared" si="161"/>
        <v>0</v>
      </c>
      <c r="AV180" s="317">
        <f t="shared" si="162"/>
        <v>0</v>
      </c>
      <c r="AW180" s="317">
        <f t="shared" si="163"/>
        <v>0</v>
      </c>
      <c r="AX180" s="317">
        <f t="shared" si="164"/>
        <v>0</v>
      </c>
      <c r="AY180" s="317">
        <f t="shared" si="165"/>
        <v>0</v>
      </c>
      <c r="AZ180" s="317">
        <f t="shared" si="166"/>
        <v>0</v>
      </c>
      <c r="BA180" s="317">
        <f t="shared" si="167"/>
        <v>0</v>
      </c>
    </row>
    <row r="181" spans="1:53" s="314" customFormat="1" ht="16.5" customHeight="1">
      <c r="A181" s="63" t="str">
        <f t="array" ref="A181">IF(C181&lt;&gt;0,SUM(($C$11:C181&lt;&gt;0)*1),"")</f>
        <v/>
      </c>
      <c r="B181" s="315"/>
      <c r="C181" s="315"/>
      <c r="D181" s="315"/>
      <c r="E181" s="432"/>
      <c r="F181" s="371"/>
      <c r="G181" s="373"/>
      <c r="H181" s="373"/>
      <c r="I181" s="63" t="str">
        <f t="shared" si="129"/>
        <v/>
      </c>
      <c r="J181" s="317">
        <f t="shared" si="130"/>
        <v>0</v>
      </c>
      <c r="K181" s="317">
        <f t="shared" si="131"/>
        <v>0</v>
      </c>
      <c r="L181" s="317">
        <f t="shared" si="132"/>
        <v>0</v>
      </c>
      <c r="M181" s="317">
        <f t="shared" si="133"/>
        <v>0</v>
      </c>
      <c r="N181" s="317">
        <f t="shared" si="168"/>
        <v>0</v>
      </c>
      <c r="O181" s="317">
        <f t="shared" si="169"/>
        <v>0</v>
      </c>
      <c r="P181" s="317">
        <f t="shared" si="134"/>
        <v>0</v>
      </c>
      <c r="Q181" s="317">
        <f t="shared" si="135"/>
        <v>0</v>
      </c>
      <c r="R181" s="317">
        <f t="shared" si="136"/>
        <v>0</v>
      </c>
      <c r="S181" s="317">
        <f t="shared" si="137"/>
        <v>0</v>
      </c>
      <c r="T181" s="317">
        <f t="shared" si="170"/>
        <v>0</v>
      </c>
      <c r="U181" s="317">
        <f t="shared" si="171"/>
        <v>0</v>
      </c>
      <c r="V181" s="317">
        <f t="shared" si="138"/>
        <v>0</v>
      </c>
      <c r="W181" s="317">
        <f t="shared" si="139"/>
        <v>0</v>
      </c>
      <c r="X181" s="317">
        <f t="shared" si="140"/>
        <v>0</v>
      </c>
      <c r="Y181" s="317">
        <f t="shared" si="141"/>
        <v>0</v>
      </c>
      <c r="Z181" s="317">
        <f t="shared" si="142"/>
        <v>0</v>
      </c>
      <c r="AA181" s="317">
        <f t="shared" si="143"/>
        <v>0</v>
      </c>
      <c r="AB181" s="317">
        <f t="shared" si="144"/>
        <v>0</v>
      </c>
      <c r="AC181" s="317">
        <f t="shared" si="145"/>
        <v>0</v>
      </c>
      <c r="AD181" s="317">
        <f t="shared" si="146"/>
        <v>0</v>
      </c>
      <c r="AE181" s="317">
        <f t="shared" si="147"/>
        <v>0</v>
      </c>
      <c r="AF181" s="317">
        <f t="shared" si="172"/>
        <v>0</v>
      </c>
      <c r="AG181" s="317">
        <f t="shared" si="173"/>
        <v>0</v>
      </c>
      <c r="AH181" s="317">
        <f t="shared" si="148"/>
        <v>0</v>
      </c>
      <c r="AI181" s="317">
        <f t="shared" si="149"/>
        <v>0</v>
      </c>
      <c r="AJ181" s="317">
        <f t="shared" si="150"/>
        <v>0</v>
      </c>
      <c r="AK181" s="317">
        <f t="shared" si="151"/>
        <v>0</v>
      </c>
      <c r="AL181" s="317">
        <f t="shared" si="152"/>
        <v>0</v>
      </c>
      <c r="AM181" s="317">
        <f t="shared" si="153"/>
        <v>0</v>
      </c>
      <c r="AN181" s="317">
        <f t="shared" si="154"/>
        <v>0</v>
      </c>
      <c r="AO181" s="317">
        <f t="shared" si="155"/>
        <v>0</v>
      </c>
      <c r="AP181" s="317">
        <f t="shared" si="156"/>
        <v>0</v>
      </c>
      <c r="AQ181" s="317">
        <f t="shared" si="157"/>
        <v>0</v>
      </c>
      <c r="AR181" s="317">
        <f t="shared" si="158"/>
        <v>0</v>
      </c>
      <c r="AS181" s="317">
        <f t="shared" si="159"/>
        <v>0</v>
      </c>
      <c r="AT181" s="317">
        <f t="shared" si="160"/>
        <v>0</v>
      </c>
      <c r="AU181" s="317">
        <f t="shared" si="161"/>
        <v>0</v>
      </c>
      <c r="AV181" s="317">
        <f t="shared" si="162"/>
        <v>0</v>
      </c>
      <c r="AW181" s="317">
        <f t="shared" si="163"/>
        <v>0</v>
      </c>
      <c r="AX181" s="317">
        <f t="shared" si="164"/>
        <v>0</v>
      </c>
      <c r="AY181" s="317">
        <f t="shared" si="165"/>
        <v>0</v>
      </c>
      <c r="AZ181" s="317">
        <f t="shared" si="166"/>
        <v>0</v>
      </c>
      <c r="BA181" s="317">
        <f t="shared" si="167"/>
        <v>0</v>
      </c>
    </row>
    <row r="182" spans="1:53" s="314" customFormat="1" ht="16.5" customHeight="1">
      <c r="A182" s="63" t="str">
        <f t="array" ref="A182">IF(C182&lt;&gt;0,SUM(($C$11:C182&lt;&gt;0)*1),"")</f>
        <v/>
      </c>
      <c r="B182" s="315"/>
      <c r="C182" s="315"/>
      <c r="D182" s="315"/>
      <c r="E182" s="432"/>
      <c r="F182" s="371"/>
      <c r="G182" s="373"/>
      <c r="H182" s="373"/>
      <c r="I182" s="63" t="str">
        <f t="shared" si="129"/>
        <v/>
      </c>
      <c r="J182" s="317">
        <f t="shared" si="130"/>
        <v>0</v>
      </c>
      <c r="K182" s="317">
        <f t="shared" si="131"/>
        <v>0</v>
      </c>
      <c r="L182" s="317">
        <f t="shared" si="132"/>
        <v>0</v>
      </c>
      <c r="M182" s="317">
        <f t="shared" si="133"/>
        <v>0</v>
      </c>
      <c r="N182" s="317">
        <f t="shared" si="168"/>
        <v>0</v>
      </c>
      <c r="O182" s="317">
        <f t="shared" si="169"/>
        <v>0</v>
      </c>
      <c r="P182" s="317">
        <f t="shared" si="134"/>
        <v>0</v>
      </c>
      <c r="Q182" s="317">
        <f t="shared" si="135"/>
        <v>0</v>
      </c>
      <c r="R182" s="317">
        <f t="shared" si="136"/>
        <v>0</v>
      </c>
      <c r="S182" s="317">
        <f t="shared" si="137"/>
        <v>0</v>
      </c>
      <c r="T182" s="317">
        <f t="shared" si="170"/>
        <v>0</v>
      </c>
      <c r="U182" s="317">
        <f t="shared" si="171"/>
        <v>0</v>
      </c>
      <c r="V182" s="317">
        <f t="shared" si="138"/>
        <v>0</v>
      </c>
      <c r="W182" s="317">
        <f t="shared" si="139"/>
        <v>0</v>
      </c>
      <c r="X182" s="317">
        <f t="shared" si="140"/>
        <v>0</v>
      </c>
      <c r="Y182" s="317">
        <f t="shared" si="141"/>
        <v>0</v>
      </c>
      <c r="Z182" s="317">
        <f t="shared" si="142"/>
        <v>0</v>
      </c>
      <c r="AA182" s="317">
        <f t="shared" si="143"/>
        <v>0</v>
      </c>
      <c r="AB182" s="317">
        <f t="shared" si="144"/>
        <v>0</v>
      </c>
      <c r="AC182" s="317">
        <f t="shared" si="145"/>
        <v>0</v>
      </c>
      <c r="AD182" s="317">
        <f t="shared" si="146"/>
        <v>0</v>
      </c>
      <c r="AE182" s="317">
        <f t="shared" si="147"/>
        <v>0</v>
      </c>
      <c r="AF182" s="317">
        <f t="shared" si="172"/>
        <v>0</v>
      </c>
      <c r="AG182" s="317">
        <f t="shared" si="173"/>
        <v>0</v>
      </c>
      <c r="AH182" s="317">
        <f t="shared" si="148"/>
        <v>0</v>
      </c>
      <c r="AI182" s="317">
        <f t="shared" si="149"/>
        <v>0</v>
      </c>
      <c r="AJ182" s="317">
        <f t="shared" si="150"/>
        <v>0</v>
      </c>
      <c r="AK182" s="317">
        <f t="shared" si="151"/>
        <v>0</v>
      </c>
      <c r="AL182" s="317">
        <f t="shared" si="152"/>
        <v>0</v>
      </c>
      <c r="AM182" s="317">
        <f t="shared" si="153"/>
        <v>0</v>
      </c>
      <c r="AN182" s="317">
        <f t="shared" si="154"/>
        <v>0</v>
      </c>
      <c r="AO182" s="317">
        <f t="shared" si="155"/>
        <v>0</v>
      </c>
      <c r="AP182" s="317">
        <f t="shared" si="156"/>
        <v>0</v>
      </c>
      <c r="AQ182" s="317">
        <f t="shared" si="157"/>
        <v>0</v>
      </c>
      <c r="AR182" s="317">
        <f t="shared" si="158"/>
        <v>0</v>
      </c>
      <c r="AS182" s="317">
        <f t="shared" si="159"/>
        <v>0</v>
      </c>
      <c r="AT182" s="317">
        <f t="shared" si="160"/>
        <v>0</v>
      </c>
      <c r="AU182" s="317">
        <f t="shared" si="161"/>
        <v>0</v>
      </c>
      <c r="AV182" s="317">
        <f t="shared" si="162"/>
        <v>0</v>
      </c>
      <c r="AW182" s="317">
        <f t="shared" si="163"/>
        <v>0</v>
      </c>
      <c r="AX182" s="317">
        <f t="shared" si="164"/>
        <v>0</v>
      </c>
      <c r="AY182" s="317">
        <f t="shared" si="165"/>
        <v>0</v>
      </c>
      <c r="AZ182" s="317">
        <f t="shared" si="166"/>
        <v>0</v>
      </c>
      <c r="BA182" s="317">
        <f t="shared" si="167"/>
        <v>0</v>
      </c>
    </row>
    <row r="183" spans="1:53" s="314" customFormat="1" ht="16.5" customHeight="1">
      <c r="A183" s="63" t="str">
        <f t="array" ref="A183">IF(C183&lt;&gt;0,SUM(($C$11:C183&lt;&gt;0)*1),"")</f>
        <v/>
      </c>
      <c r="B183" s="315"/>
      <c r="C183" s="315"/>
      <c r="D183" s="315"/>
      <c r="E183" s="432"/>
      <c r="F183" s="371"/>
      <c r="G183" s="373"/>
      <c r="H183" s="373"/>
      <c r="I183" s="63" t="str">
        <f t="shared" si="129"/>
        <v/>
      </c>
      <c r="J183" s="317">
        <f t="shared" si="130"/>
        <v>0</v>
      </c>
      <c r="K183" s="317">
        <f t="shared" si="131"/>
        <v>0</v>
      </c>
      <c r="L183" s="317">
        <f t="shared" si="132"/>
        <v>0</v>
      </c>
      <c r="M183" s="317">
        <f t="shared" si="133"/>
        <v>0</v>
      </c>
      <c r="N183" s="317">
        <f t="shared" si="168"/>
        <v>0</v>
      </c>
      <c r="O183" s="317">
        <f t="shared" si="169"/>
        <v>0</v>
      </c>
      <c r="P183" s="317">
        <f t="shared" si="134"/>
        <v>0</v>
      </c>
      <c r="Q183" s="317">
        <f t="shared" si="135"/>
        <v>0</v>
      </c>
      <c r="R183" s="317">
        <f t="shared" si="136"/>
        <v>0</v>
      </c>
      <c r="S183" s="317">
        <f t="shared" si="137"/>
        <v>0</v>
      </c>
      <c r="T183" s="317">
        <f t="shared" si="170"/>
        <v>0</v>
      </c>
      <c r="U183" s="317">
        <f t="shared" si="171"/>
        <v>0</v>
      </c>
      <c r="V183" s="317">
        <f t="shared" si="138"/>
        <v>0</v>
      </c>
      <c r="W183" s="317">
        <f t="shared" si="139"/>
        <v>0</v>
      </c>
      <c r="X183" s="317">
        <f t="shared" si="140"/>
        <v>0</v>
      </c>
      <c r="Y183" s="317">
        <f t="shared" si="141"/>
        <v>0</v>
      </c>
      <c r="Z183" s="317">
        <f t="shared" si="142"/>
        <v>0</v>
      </c>
      <c r="AA183" s="317">
        <f t="shared" si="143"/>
        <v>0</v>
      </c>
      <c r="AB183" s="317">
        <f t="shared" si="144"/>
        <v>0</v>
      </c>
      <c r="AC183" s="317">
        <f t="shared" si="145"/>
        <v>0</v>
      </c>
      <c r="AD183" s="317">
        <f t="shared" si="146"/>
        <v>0</v>
      </c>
      <c r="AE183" s="317">
        <f t="shared" si="147"/>
        <v>0</v>
      </c>
      <c r="AF183" s="317">
        <f t="shared" si="172"/>
        <v>0</v>
      </c>
      <c r="AG183" s="317">
        <f t="shared" si="173"/>
        <v>0</v>
      </c>
      <c r="AH183" s="317">
        <f t="shared" si="148"/>
        <v>0</v>
      </c>
      <c r="AI183" s="317">
        <f t="shared" si="149"/>
        <v>0</v>
      </c>
      <c r="AJ183" s="317">
        <f t="shared" si="150"/>
        <v>0</v>
      </c>
      <c r="AK183" s="317">
        <f t="shared" si="151"/>
        <v>0</v>
      </c>
      <c r="AL183" s="317">
        <f t="shared" si="152"/>
        <v>0</v>
      </c>
      <c r="AM183" s="317">
        <f t="shared" si="153"/>
        <v>0</v>
      </c>
      <c r="AN183" s="317">
        <f t="shared" si="154"/>
        <v>0</v>
      </c>
      <c r="AO183" s="317">
        <f t="shared" si="155"/>
        <v>0</v>
      </c>
      <c r="AP183" s="317">
        <f t="shared" si="156"/>
        <v>0</v>
      </c>
      <c r="AQ183" s="317">
        <f t="shared" si="157"/>
        <v>0</v>
      </c>
      <c r="AR183" s="317">
        <f t="shared" si="158"/>
        <v>0</v>
      </c>
      <c r="AS183" s="317">
        <f t="shared" si="159"/>
        <v>0</v>
      </c>
      <c r="AT183" s="317">
        <f t="shared" si="160"/>
        <v>0</v>
      </c>
      <c r="AU183" s="317">
        <f t="shared" si="161"/>
        <v>0</v>
      </c>
      <c r="AV183" s="317">
        <f t="shared" si="162"/>
        <v>0</v>
      </c>
      <c r="AW183" s="317">
        <f t="shared" si="163"/>
        <v>0</v>
      </c>
      <c r="AX183" s="317">
        <f t="shared" si="164"/>
        <v>0</v>
      </c>
      <c r="AY183" s="317">
        <f t="shared" si="165"/>
        <v>0</v>
      </c>
      <c r="AZ183" s="317">
        <f t="shared" si="166"/>
        <v>0</v>
      </c>
      <c r="BA183" s="317">
        <f t="shared" si="167"/>
        <v>0</v>
      </c>
    </row>
    <row r="184" spans="1:53" s="314" customFormat="1" ht="16.5" customHeight="1">
      <c r="A184" s="63" t="str">
        <f t="array" ref="A184">IF(C184&lt;&gt;0,SUM(($C$11:C184&lt;&gt;0)*1),"")</f>
        <v/>
      </c>
      <c r="B184" s="315"/>
      <c r="C184" s="315"/>
      <c r="D184" s="315"/>
      <c r="E184" s="432"/>
      <c r="F184" s="371"/>
      <c r="G184" s="373"/>
      <c r="H184" s="373"/>
      <c r="I184" s="63" t="str">
        <f t="shared" si="129"/>
        <v/>
      </c>
      <c r="J184" s="317">
        <f t="shared" si="130"/>
        <v>0</v>
      </c>
      <c r="K184" s="317">
        <f t="shared" si="131"/>
        <v>0</v>
      </c>
      <c r="L184" s="317">
        <f t="shared" si="132"/>
        <v>0</v>
      </c>
      <c r="M184" s="317">
        <f t="shared" si="133"/>
        <v>0</v>
      </c>
      <c r="N184" s="317">
        <f t="shared" si="168"/>
        <v>0</v>
      </c>
      <c r="O184" s="317">
        <f t="shared" si="169"/>
        <v>0</v>
      </c>
      <c r="P184" s="317">
        <f t="shared" si="134"/>
        <v>0</v>
      </c>
      <c r="Q184" s="317">
        <f t="shared" si="135"/>
        <v>0</v>
      </c>
      <c r="R184" s="317">
        <f t="shared" si="136"/>
        <v>0</v>
      </c>
      <c r="S184" s="317">
        <f t="shared" si="137"/>
        <v>0</v>
      </c>
      <c r="T184" s="317">
        <f t="shared" si="170"/>
        <v>0</v>
      </c>
      <c r="U184" s="317">
        <f t="shared" si="171"/>
        <v>0</v>
      </c>
      <c r="V184" s="317">
        <f t="shared" si="138"/>
        <v>0</v>
      </c>
      <c r="W184" s="317">
        <f t="shared" si="139"/>
        <v>0</v>
      </c>
      <c r="X184" s="317">
        <f t="shared" si="140"/>
        <v>0</v>
      </c>
      <c r="Y184" s="317">
        <f t="shared" si="141"/>
        <v>0</v>
      </c>
      <c r="Z184" s="317">
        <f t="shared" si="142"/>
        <v>0</v>
      </c>
      <c r="AA184" s="317">
        <f t="shared" si="143"/>
        <v>0</v>
      </c>
      <c r="AB184" s="317">
        <f t="shared" si="144"/>
        <v>0</v>
      </c>
      <c r="AC184" s="317">
        <f t="shared" si="145"/>
        <v>0</v>
      </c>
      <c r="AD184" s="317">
        <f t="shared" si="146"/>
        <v>0</v>
      </c>
      <c r="AE184" s="317">
        <f t="shared" si="147"/>
        <v>0</v>
      </c>
      <c r="AF184" s="317">
        <f t="shared" si="172"/>
        <v>0</v>
      </c>
      <c r="AG184" s="317">
        <f t="shared" si="173"/>
        <v>0</v>
      </c>
      <c r="AH184" s="317">
        <f t="shared" si="148"/>
        <v>0</v>
      </c>
      <c r="AI184" s="317">
        <f t="shared" si="149"/>
        <v>0</v>
      </c>
      <c r="AJ184" s="317">
        <f t="shared" si="150"/>
        <v>0</v>
      </c>
      <c r="AK184" s="317">
        <f t="shared" si="151"/>
        <v>0</v>
      </c>
      <c r="AL184" s="317">
        <f t="shared" si="152"/>
        <v>0</v>
      </c>
      <c r="AM184" s="317">
        <f t="shared" si="153"/>
        <v>0</v>
      </c>
      <c r="AN184" s="317">
        <f t="shared" si="154"/>
        <v>0</v>
      </c>
      <c r="AO184" s="317">
        <f t="shared" si="155"/>
        <v>0</v>
      </c>
      <c r="AP184" s="317">
        <f t="shared" si="156"/>
        <v>0</v>
      </c>
      <c r="AQ184" s="317">
        <f t="shared" si="157"/>
        <v>0</v>
      </c>
      <c r="AR184" s="317">
        <f t="shared" si="158"/>
        <v>0</v>
      </c>
      <c r="AS184" s="317">
        <f t="shared" si="159"/>
        <v>0</v>
      </c>
      <c r="AT184" s="317">
        <f t="shared" si="160"/>
        <v>0</v>
      </c>
      <c r="AU184" s="317">
        <f t="shared" si="161"/>
        <v>0</v>
      </c>
      <c r="AV184" s="317">
        <f t="shared" si="162"/>
        <v>0</v>
      </c>
      <c r="AW184" s="317">
        <f t="shared" si="163"/>
        <v>0</v>
      </c>
      <c r="AX184" s="317">
        <f t="shared" si="164"/>
        <v>0</v>
      </c>
      <c r="AY184" s="317">
        <f t="shared" si="165"/>
        <v>0</v>
      </c>
      <c r="AZ184" s="317">
        <f t="shared" si="166"/>
        <v>0</v>
      </c>
      <c r="BA184" s="317">
        <f t="shared" si="167"/>
        <v>0</v>
      </c>
    </row>
    <row r="185" spans="1:53" s="314" customFormat="1" ht="16.5" customHeight="1">
      <c r="A185" s="63" t="str">
        <f t="array" ref="A185">IF(C185&lt;&gt;0,SUM(($C$11:C185&lt;&gt;0)*1),"")</f>
        <v/>
      </c>
      <c r="B185" s="315"/>
      <c r="C185" s="315"/>
      <c r="D185" s="315"/>
      <c r="E185" s="432"/>
      <c r="F185" s="371"/>
      <c r="G185" s="373"/>
      <c r="H185" s="373"/>
      <c r="I185" s="63" t="str">
        <f t="shared" si="129"/>
        <v/>
      </c>
      <c r="J185" s="317">
        <f t="shared" si="130"/>
        <v>0</v>
      </c>
      <c r="K185" s="317">
        <f t="shared" si="131"/>
        <v>0</v>
      </c>
      <c r="L185" s="317">
        <f t="shared" si="132"/>
        <v>0</v>
      </c>
      <c r="M185" s="317">
        <f t="shared" si="133"/>
        <v>0</v>
      </c>
      <c r="N185" s="317">
        <f t="shared" si="168"/>
        <v>0</v>
      </c>
      <c r="O185" s="317">
        <f t="shared" si="169"/>
        <v>0</v>
      </c>
      <c r="P185" s="317">
        <f t="shared" si="134"/>
        <v>0</v>
      </c>
      <c r="Q185" s="317">
        <f t="shared" si="135"/>
        <v>0</v>
      </c>
      <c r="R185" s="317">
        <f t="shared" si="136"/>
        <v>0</v>
      </c>
      <c r="S185" s="317">
        <f t="shared" si="137"/>
        <v>0</v>
      </c>
      <c r="T185" s="317">
        <f t="shared" si="170"/>
        <v>0</v>
      </c>
      <c r="U185" s="317">
        <f t="shared" si="171"/>
        <v>0</v>
      </c>
      <c r="V185" s="317">
        <f t="shared" si="138"/>
        <v>0</v>
      </c>
      <c r="W185" s="317">
        <f t="shared" si="139"/>
        <v>0</v>
      </c>
      <c r="X185" s="317">
        <f t="shared" si="140"/>
        <v>0</v>
      </c>
      <c r="Y185" s="317">
        <f t="shared" si="141"/>
        <v>0</v>
      </c>
      <c r="Z185" s="317">
        <f t="shared" si="142"/>
        <v>0</v>
      </c>
      <c r="AA185" s="317">
        <f t="shared" si="143"/>
        <v>0</v>
      </c>
      <c r="AB185" s="317">
        <f t="shared" si="144"/>
        <v>0</v>
      </c>
      <c r="AC185" s="317">
        <f t="shared" si="145"/>
        <v>0</v>
      </c>
      <c r="AD185" s="317">
        <f t="shared" si="146"/>
        <v>0</v>
      </c>
      <c r="AE185" s="317">
        <f t="shared" si="147"/>
        <v>0</v>
      </c>
      <c r="AF185" s="317">
        <f t="shared" si="172"/>
        <v>0</v>
      </c>
      <c r="AG185" s="317">
        <f t="shared" si="173"/>
        <v>0</v>
      </c>
      <c r="AH185" s="317">
        <f t="shared" si="148"/>
        <v>0</v>
      </c>
      <c r="AI185" s="317">
        <f t="shared" si="149"/>
        <v>0</v>
      </c>
      <c r="AJ185" s="317">
        <f t="shared" si="150"/>
        <v>0</v>
      </c>
      <c r="AK185" s="317">
        <f t="shared" si="151"/>
        <v>0</v>
      </c>
      <c r="AL185" s="317">
        <f t="shared" si="152"/>
        <v>0</v>
      </c>
      <c r="AM185" s="317">
        <f t="shared" si="153"/>
        <v>0</v>
      </c>
      <c r="AN185" s="317">
        <f t="shared" si="154"/>
        <v>0</v>
      </c>
      <c r="AO185" s="317">
        <f t="shared" si="155"/>
        <v>0</v>
      </c>
      <c r="AP185" s="317">
        <f t="shared" si="156"/>
        <v>0</v>
      </c>
      <c r="AQ185" s="317">
        <f t="shared" si="157"/>
        <v>0</v>
      </c>
      <c r="AR185" s="317">
        <f t="shared" si="158"/>
        <v>0</v>
      </c>
      <c r="AS185" s="317">
        <f t="shared" si="159"/>
        <v>0</v>
      </c>
      <c r="AT185" s="317">
        <f t="shared" si="160"/>
        <v>0</v>
      </c>
      <c r="AU185" s="317">
        <f t="shared" si="161"/>
        <v>0</v>
      </c>
      <c r="AV185" s="317">
        <f t="shared" si="162"/>
        <v>0</v>
      </c>
      <c r="AW185" s="317">
        <f t="shared" si="163"/>
        <v>0</v>
      </c>
      <c r="AX185" s="317">
        <f t="shared" si="164"/>
        <v>0</v>
      </c>
      <c r="AY185" s="317">
        <f t="shared" si="165"/>
        <v>0</v>
      </c>
      <c r="AZ185" s="317">
        <f t="shared" si="166"/>
        <v>0</v>
      </c>
      <c r="BA185" s="317">
        <f t="shared" si="167"/>
        <v>0</v>
      </c>
    </row>
    <row r="186" spans="1:53" s="314" customFormat="1" ht="16.5" customHeight="1">
      <c r="A186" s="63" t="str">
        <f t="array" ref="A186">IF(C186&lt;&gt;0,SUM(($C$11:C186&lt;&gt;0)*1),"")</f>
        <v/>
      </c>
      <c r="B186" s="315"/>
      <c r="C186" s="315"/>
      <c r="D186" s="315"/>
      <c r="E186" s="432"/>
      <c r="F186" s="371"/>
      <c r="G186" s="373"/>
      <c r="H186" s="373"/>
      <c r="I186" s="63" t="str">
        <f t="shared" si="129"/>
        <v/>
      </c>
      <c r="J186" s="317">
        <f t="shared" si="130"/>
        <v>0</v>
      </c>
      <c r="K186" s="317">
        <f t="shared" si="131"/>
        <v>0</v>
      </c>
      <c r="L186" s="317">
        <f t="shared" si="132"/>
        <v>0</v>
      </c>
      <c r="M186" s="317">
        <f t="shared" si="133"/>
        <v>0</v>
      </c>
      <c r="N186" s="317">
        <f t="shared" si="168"/>
        <v>0</v>
      </c>
      <c r="O186" s="317">
        <f t="shared" si="169"/>
        <v>0</v>
      </c>
      <c r="P186" s="317">
        <f t="shared" si="134"/>
        <v>0</v>
      </c>
      <c r="Q186" s="317">
        <f t="shared" si="135"/>
        <v>0</v>
      </c>
      <c r="R186" s="317">
        <f t="shared" si="136"/>
        <v>0</v>
      </c>
      <c r="S186" s="317">
        <f t="shared" si="137"/>
        <v>0</v>
      </c>
      <c r="T186" s="317">
        <f t="shared" si="170"/>
        <v>0</v>
      </c>
      <c r="U186" s="317">
        <f t="shared" si="171"/>
        <v>0</v>
      </c>
      <c r="V186" s="317">
        <f t="shared" si="138"/>
        <v>0</v>
      </c>
      <c r="W186" s="317">
        <f t="shared" si="139"/>
        <v>0</v>
      </c>
      <c r="X186" s="317">
        <f t="shared" si="140"/>
        <v>0</v>
      </c>
      <c r="Y186" s="317">
        <f t="shared" si="141"/>
        <v>0</v>
      </c>
      <c r="Z186" s="317">
        <f t="shared" si="142"/>
        <v>0</v>
      </c>
      <c r="AA186" s="317">
        <f t="shared" si="143"/>
        <v>0</v>
      </c>
      <c r="AB186" s="317">
        <f t="shared" si="144"/>
        <v>0</v>
      </c>
      <c r="AC186" s="317">
        <f t="shared" si="145"/>
        <v>0</v>
      </c>
      <c r="AD186" s="317">
        <f t="shared" si="146"/>
        <v>0</v>
      </c>
      <c r="AE186" s="317">
        <f t="shared" si="147"/>
        <v>0</v>
      </c>
      <c r="AF186" s="317">
        <f t="shared" si="172"/>
        <v>0</v>
      </c>
      <c r="AG186" s="317">
        <f t="shared" si="173"/>
        <v>0</v>
      </c>
      <c r="AH186" s="317">
        <f t="shared" si="148"/>
        <v>0</v>
      </c>
      <c r="AI186" s="317">
        <f t="shared" si="149"/>
        <v>0</v>
      </c>
      <c r="AJ186" s="317">
        <f t="shared" si="150"/>
        <v>0</v>
      </c>
      <c r="AK186" s="317">
        <f t="shared" si="151"/>
        <v>0</v>
      </c>
      <c r="AL186" s="317">
        <f t="shared" si="152"/>
        <v>0</v>
      </c>
      <c r="AM186" s="317">
        <f t="shared" si="153"/>
        <v>0</v>
      </c>
      <c r="AN186" s="317">
        <f t="shared" si="154"/>
        <v>0</v>
      </c>
      <c r="AO186" s="317">
        <f t="shared" si="155"/>
        <v>0</v>
      </c>
      <c r="AP186" s="317">
        <f t="shared" si="156"/>
        <v>0</v>
      </c>
      <c r="AQ186" s="317">
        <f t="shared" si="157"/>
        <v>0</v>
      </c>
      <c r="AR186" s="317">
        <f t="shared" si="158"/>
        <v>0</v>
      </c>
      <c r="AS186" s="317">
        <f t="shared" si="159"/>
        <v>0</v>
      </c>
      <c r="AT186" s="317">
        <f t="shared" si="160"/>
        <v>0</v>
      </c>
      <c r="AU186" s="317">
        <f t="shared" si="161"/>
        <v>0</v>
      </c>
      <c r="AV186" s="317">
        <f t="shared" si="162"/>
        <v>0</v>
      </c>
      <c r="AW186" s="317">
        <f t="shared" si="163"/>
        <v>0</v>
      </c>
      <c r="AX186" s="317">
        <f t="shared" si="164"/>
        <v>0</v>
      </c>
      <c r="AY186" s="317">
        <f t="shared" si="165"/>
        <v>0</v>
      </c>
      <c r="AZ186" s="317">
        <f t="shared" si="166"/>
        <v>0</v>
      </c>
      <c r="BA186" s="317">
        <f t="shared" si="167"/>
        <v>0</v>
      </c>
    </row>
    <row r="187" spans="1:53" s="314" customFormat="1" ht="16.5" customHeight="1">
      <c r="A187" s="63" t="str">
        <f t="array" ref="A187">IF(C187&lt;&gt;0,SUM(($C$11:C187&lt;&gt;0)*1),"")</f>
        <v/>
      </c>
      <c r="B187" s="315"/>
      <c r="C187" s="315"/>
      <c r="D187" s="315"/>
      <c r="E187" s="432"/>
      <c r="F187" s="371"/>
      <c r="G187" s="373"/>
      <c r="H187" s="373"/>
      <c r="I187" s="63" t="str">
        <f t="shared" si="129"/>
        <v/>
      </c>
      <c r="J187" s="317">
        <f t="shared" si="130"/>
        <v>0</v>
      </c>
      <c r="K187" s="317">
        <f t="shared" si="131"/>
        <v>0</v>
      </c>
      <c r="L187" s="317">
        <f t="shared" si="132"/>
        <v>0</v>
      </c>
      <c r="M187" s="317">
        <f t="shared" si="133"/>
        <v>0</v>
      </c>
      <c r="N187" s="317">
        <f t="shared" si="168"/>
        <v>0</v>
      </c>
      <c r="O187" s="317">
        <f t="shared" si="169"/>
        <v>0</v>
      </c>
      <c r="P187" s="317">
        <f t="shared" si="134"/>
        <v>0</v>
      </c>
      <c r="Q187" s="317">
        <f t="shared" si="135"/>
        <v>0</v>
      </c>
      <c r="R187" s="317">
        <f t="shared" si="136"/>
        <v>0</v>
      </c>
      <c r="S187" s="317">
        <f t="shared" si="137"/>
        <v>0</v>
      </c>
      <c r="T187" s="317">
        <f t="shared" si="170"/>
        <v>0</v>
      </c>
      <c r="U187" s="317">
        <f t="shared" si="171"/>
        <v>0</v>
      </c>
      <c r="V187" s="317">
        <f t="shared" si="138"/>
        <v>0</v>
      </c>
      <c r="W187" s="317">
        <f t="shared" si="139"/>
        <v>0</v>
      </c>
      <c r="X187" s="317">
        <f t="shared" si="140"/>
        <v>0</v>
      </c>
      <c r="Y187" s="317">
        <f t="shared" si="141"/>
        <v>0</v>
      </c>
      <c r="Z187" s="317">
        <f t="shared" si="142"/>
        <v>0</v>
      </c>
      <c r="AA187" s="317">
        <f t="shared" si="143"/>
        <v>0</v>
      </c>
      <c r="AB187" s="317">
        <f t="shared" si="144"/>
        <v>0</v>
      </c>
      <c r="AC187" s="317">
        <f t="shared" si="145"/>
        <v>0</v>
      </c>
      <c r="AD187" s="317">
        <f t="shared" si="146"/>
        <v>0</v>
      </c>
      <c r="AE187" s="317">
        <f t="shared" si="147"/>
        <v>0</v>
      </c>
      <c r="AF187" s="317">
        <f t="shared" si="172"/>
        <v>0</v>
      </c>
      <c r="AG187" s="317">
        <f t="shared" si="173"/>
        <v>0</v>
      </c>
      <c r="AH187" s="317">
        <f t="shared" si="148"/>
        <v>0</v>
      </c>
      <c r="AI187" s="317">
        <f t="shared" si="149"/>
        <v>0</v>
      </c>
      <c r="AJ187" s="317">
        <f t="shared" si="150"/>
        <v>0</v>
      </c>
      <c r="AK187" s="317">
        <f t="shared" si="151"/>
        <v>0</v>
      </c>
      <c r="AL187" s="317">
        <f t="shared" si="152"/>
        <v>0</v>
      </c>
      <c r="AM187" s="317">
        <f t="shared" si="153"/>
        <v>0</v>
      </c>
      <c r="AN187" s="317">
        <f t="shared" si="154"/>
        <v>0</v>
      </c>
      <c r="AO187" s="317">
        <f t="shared" si="155"/>
        <v>0</v>
      </c>
      <c r="AP187" s="317">
        <f t="shared" si="156"/>
        <v>0</v>
      </c>
      <c r="AQ187" s="317">
        <f t="shared" si="157"/>
        <v>0</v>
      </c>
      <c r="AR187" s="317">
        <f t="shared" si="158"/>
        <v>0</v>
      </c>
      <c r="AS187" s="317">
        <f t="shared" si="159"/>
        <v>0</v>
      </c>
      <c r="AT187" s="317">
        <f t="shared" si="160"/>
        <v>0</v>
      </c>
      <c r="AU187" s="317">
        <f t="shared" si="161"/>
        <v>0</v>
      </c>
      <c r="AV187" s="317">
        <f t="shared" si="162"/>
        <v>0</v>
      </c>
      <c r="AW187" s="317">
        <f t="shared" si="163"/>
        <v>0</v>
      </c>
      <c r="AX187" s="317">
        <f t="shared" si="164"/>
        <v>0</v>
      </c>
      <c r="AY187" s="317">
        <f t="shared" si="165"/>
        <v>0</v>
      </c>
      <c r="AZ187" s="317">
        <f t="shared" si="166"/>
        <v>0</v>
      </c>
      <c r="BA187" s="317">
        <f t="shared" si="167"/>
        <v>0</v>
      </c>
    </row>
    <row r="188" spans="1:53" s="314" customFormat="1" ht="16.5" customHeight="1">
      <c r="A188" s="63" t="str">
        <f t="array" ref="A188">IF(C188&lt;&gt;0,SUM(($C$11:C188&lt;&gt;0)*1),"")</f>
        <v/>
      </c>
      <c r="B188" s="315"/>
      <c r="C188" s="315"/>
      <c r="D188" s="315"/>
      <c r="E188" s="432"/>
      <c r="F188" s="371"/>
      <c r="G188" s="373"/>
      <c r="H188" s="373"/>
      <c r="I188" s="63" t="str">
        <f t="shared" si="129"/>
        <v/>
      </c>
      <c r="J188" s="317">
        <f t="shared" si="130"/>
        <v>0</v>
      </c>
      <c r="K188" s="317">
        <f t="shared" si="131"/>
        <v>0</v>
      </c>
      <c r="L188" s="317">
        <f t="shared" si="132"/>
        <v>0</v>
      </c>
      <c r="M188" s="317">
        <f t="shared" si="133"/>
        <v>0</v>
      </c>
      <c r="N188" s="317">
        <f t="shared" si="168"/>
        <v>0</v>
      </c>
      <c r="O188" s="317">
        <f t="shared" si="169"/>
        <v>0</v>
      </c>
      <c r="P188" s="317">
        <f t="shared" si="134"/>
        <v>0</v>
      </c>
      <c r="Q188" s="317">
        <f t="shared" si="135"/>
        <v>0</v>
      </c>
      <c r="R188" s="317">
        <f t="shared" si="136"/>
        <v>0</v>
      </c>
      <c r="S188" s="317">
        <f t="shared" si="137"/>
        <v>0</v>
      </c>
      <c r="T188" s="317">
        <f t="shared" si="170"/>
        <v>0</v>
      </c>
      <c r="U188" s="317">
        <f t="shared" si="171"/>
        <v>0</v>
      </c>
      <c r="V188" s="317">
        <f t="shared" si="138"/>
        <v>0</v>
      </c>
      <c r="W188" s="317">
        <f t="shared" si="139"/>
        <v>0</v>
      </c>
      <c r="X188" s="317">
        <f t="shared" si="140"/>
        <v>0</v>
      </c>
      <c r="Y188" s="317">
        <f t="shared" si="141"/>
        <v>0</v>
      </c>
      <c r="Z188" s="317">
        <f t="shared" si="142"/>
        <v>0</v>
      </c>
      <c r="AA188" s="317">
        <f t="shared" si="143"/>
        <v>0</v>
      </c>
      <c r="AB188" s="317">
        <f t="shared" si="144"/>
        <v>0</v>
      </c>
      <c r="AC188" s="317">
        <f t="shared" si="145"/>
        <v>0</v>
      </c>
      <c r="AD188" s="317">
        <f t="shared" si="146"/>
        <v>0</v>
      </c>
      <c r="AE188" s="317">
        <f t="shared" si="147"/>
        <v>0</v>
      </c>
      <c r="AF188" s="317">
        <f t="shared" si="172"/>
        <v>0</v>
      </c>
      <c r="AG188" s="317">
        <f t="shared" si="173"/>
        <v>0</v>
      </c>
      <c r="AH188" s="317">
        <f t="shared" si="148"/>
        <v>0</v>
      </c>
      <c r="AI188" s="317">
        <f t="shared" si="149"/>
        <v>0</v>
      </c>
      <c r="AJ188" s="317">
        <f t="shared" si="150"/>
        <v>0</v>
      </c>
      <c r="AK188" s="317">
        <f t="shared" si="151"/>
        <v>0</v>
      </c>
      <c r="AL188" s="317">
        <f t="shared" si="152"/>
        <v>0</v>
      </c>
      <c r="AM188" s="317">
        <f t="shared" si="153"/>
        <v>0</v>
      </c>
      <c r="AN188" s="317">
        <f t="shared" si="154"/>
        <v>0</v>
      </c>
      <c r="AO188" s="317">
        <f t="shared" si="155"/>
        <v>0</v>
      </c>
      <c r="AP188" s="317">
        <f t="shared" si="156"/>
        <v>0</v>
      </c>
      <c r="AQ188" s="317">
        <f t="shared" si="157"/>
        <v>0</v>
      </c>
      <c r="AR188" s="317">
        <f t="shared" si="158"/>
        <v>0</v>
      </c>
      <c r="AS188" s="317">
        <f t="shared" si="159"/>
        <v>0</v>
      </c>
      <c r="AT188" s="317">
        <f t="shared" si="160"/>
        <v>0</v>
      </c>
      <c r="AU188" s="317">
        <f t="shared" si="161"/>
        <v>0</v>
      </c>
      <c r="AV188" s="317">
        <f t="shared" si="162"/>
        <v>0</v>
      </c>
      <c r="AW188" s="317">
        <f t="shared" si="163"/>
        <v>0</v>
      </c>
      <c r="AX188" s="317">
        <f t="shared" si="164"/>
        <v>0</v>
      </c>
      <c r="AY188" s="317">
        <f t="shared" si="165"/>
        <v>0</v>
      </c>
      <c r="AZ188" s="317">
        <f t="shared" si="166"/>
        <v>0</v>
      </c>
      <c r="BA188" s="317">
        <f t="shared" si="167"/>
        <v>0</v>
      </c>
    </row>
    <row r="189" spans="1:53" s="314" customFormat="1" ht="16.5" customHeight="1">
      <c r="A189" s="63" t="str">
        <f t="array" ref="A189">IF(C189&lt;&gt;0,SUM(($C$11:C189&lt;&gt;0)*1),"")</f>
        <v/>
      </c>
      <c r="B189" s="315"/>
      <c r="C189" s="315"/>
      <c r="D189" s="315"/>
      <c r="E189" s="432"/>
      <c r="F189" s="371"/>
      <c r="G189" s="373"/>
      <c r="H189" s="373"/>
      <c r="I189" s="63" t="str">
        <f t="shared" si="129"/>
        <v/>
      </c>
      <c r="J189" s="317">
        <f t="shared" si="130"/>
        <v>0</v>
      </c>
      <c r="K189" s="317">
        <f t="shared" si="131"/>
        <v>0</v>
      </c>
      <c r="L189" s="317">
        <f t="shared" si="132"/>
        <v>0</v>
      </c>
      <c r="M189" s="317">
        <f t="shared" si="133"/>
        <v>0</v>
      </c>
      <c r="N189" s="317">
        <f t="shared" si="168"/>
        <v>0</v>
      </c>
      <c r="O189" s="317">
        <f t="shared" si="169"/>
        <v>0</v>
      </c>
      <c r="P189" s="317">
        <f t="shared" si="134"/>
        <v>0</v>
      </c>
      <c r="Q189" s="317">
        <f t="shared" si="135"/>
        <v>0</v>
      </c>
      <c r="R189" s="317">
        <f t="shared" si="136"/>
        <v>0</v>
      </c>
      <c r="S189" s="317">
        <f t="shared" si="137"/>
        <v>0</v>
      </c>
      <c r="T189" s="317">
        <f t="shared" si="170"/>
        <v>0</v>
      </c>
      <c r="U189" s="317">
        <f t="shared" si="171"/>
        <v>0</v>
      </c>
      <c r="V189" s="317">
        <f t="shared" si="138"/>
        <v>0</v>
      </c>
      <c r="W189" s="317">
        <f t="shared" si="139"/>
        <v>0</v>
      </c>
      <c r="X189" s="317">
        <f t="shared" si="140"/>
        <v>0</v>
      </c>
      <c r="Y189" s="317">
        <f t="shared" si="141"/>
        <v>0</v>
      </c>
      <c r="Z189" s="317">
        <f t="shared" si="142"/>
        <v>0</v>
      </c>
      <c r="AA189" s="317">
        <f t="shared" si="143"/>
        <v>0</v>
      </c>
      <c r="AB189" s="317">
        <f t="shared" si="144"/>
        <v>0</v>
      </c>
      <c r="AC189" s="317">
        <f t="shared" si="145"/>
        <v>0</v>
      </c>
      <c r="AD189" s="317">
        <f t="shared" si="146"/>
        <v>0</v>
      </c>
      <c r="AE189" s="317">
        <f t="shared" si="147"/>
        <v>0</v>
      </c>
      <c r="AF189" s="317">
        <f t="shared" si="172"/>
        <v>0</v>
      </c>
      <c r="AG189" s="317">
        <f t="shared" si="173"/>
        <v>0</v>
      </c>
      <c r="AH189" s="317">
        <f t="shared" si="148"/>
        <v>0</v>
      </c>
      <c r="AI189" s="317">
        <f t="shared" si="149"/>
        <v>0</v>
      </c>
      <c r="AJ189" s="317">
        <f t="shared" si="150"/>
        <v>0</v>
      </c>
      <c r="AK189" s="317">
        <f t="shared" si="151"/>
        <v>0</v>
      </c>
      <c r="AL189" s="317">
        <f t="shared" si="152"/>
        <v>0</v>
      </c>
      <c r="AM189" s="317">
        <f t="shared" si="153"/>
        <v>0</v>
      </c>
      <c r="AN189" s="317">
        <f t="shared" si="154"/>
        <v>0</v>
      </c>
      <c r="AO189" s="317">
        <f t="shared" si="155"/>
        <v>0</v>
      </c>
      <c r="AP189" s="317">
        <f t="shared" si="156"/>
        <v>0</v>
      </c>
      <c r="AQ189" s="317">
        <f t="shared" si="157"/>
        <v>0</v>
      </c>
      <c r="AR189" s="317">
        <f t="shared" si="158"/>
        <v>0</v>
      </c>
      <c r="AS189" s="317">
        <f t="shared" si="159"/>
        <v>0</v>
      </c>
      <c r="AT189" s="317">
        <f t="shared" si="160"/>
        <v>0</v>
      </c>
      <c r="AU189" s="317">
        <f t="shared" si="161"/>
        <v>0</v>
      </c>
      <c r="AV189" s="317">
        <f t="shared" si="162"/>
        <v>0</v>
      </c>
      <c r="AW189" s="317">
        <f t="shared" si="163"/>
        <v>0</v>
      </c>
      <c r="AX189" s="317">
        <f t="shared" si="164"/>
        <v>0</v>
      </c>
      <c r="AY189" s="317">
        <f t="shared" si="165"/>
        <v>0</v>
      </c>
      <c r="AZ189" s="317">
        <f t="shared" si="166"/>
        <v>0</v>
      </c>
      <c r="BA189" s="317">
        <f t="shared" si="167"/>
        <v>0</v>
      </c>
    </row>
    <row r="190" spans="1:53" s="314" customFormat="1" ht="16.5" customHeight="1">
      <c r="A190" s="63" t="str">
        <f t="array" ref="A190">IF(C190&lt;&gt;0,SUM(($C$11:C190&lt;&gt;0)*1),"")</f>
        <v/>
      </c>
      <c r="B190" s="315"/>
      <c r="C190" s="315"/>
      <c r="D190" s="315"/>
      <c r="E190" s="432"/>
      <c r="F190" s="371"/>
      <c r="G190" s="373"/>
      <c r="H190" s="373"/>
      <c r="I190" s="63" t="str">
        <f t="shared" si="129"/>
        <v/>
      </c>
      <c r="J190" s="317">
        <f t="shared" si="130"/>
        <v>0</v>
      </c>
      <c r="K190" s="317">
        <f t="shared" si="131"/>
        <v>0</v>
      </c>
      <c r="L190" s="317">
        <f t="shared" si="132"/>
        <v>0</v>
      </c>
      <c r="M190" s="317">
        <f t="shared" si="133"/>
        <v>0</v>
      </c>
      <c r="N190" s="317">
        <f t="shared" si="168"/>
        <v>0</v>
      </c>
      <c r="O190" s="317">
        <f t="shared" si="169"/>
        <v>0</v>
      </c>
      <c r="P190" s="317">
        <f t="shared" si="134"/>
        <v>0</v>
      </c>
      <c r="Q190" s="317">
        <f t="shared" si="135"/>
        <v>0</v>
      </c>
      <c r="R190" s="317">
        <f t="shared" si="136"/>
        <v>0</v>
      </c>
      <c r="S190" s="317">
        <f t="shared" si="137"/>
        <v>0</v>
      </c>
      <c r="T190" s="317">
        <f t="shared" si="170"/>
        <v>0</v>
      </c>
      <c r="U190" s="317">
        <f t="shared" si="171"/>
        <v>0</v>
      </c>
      <c r="V190" s="317">
        <f t="shared" si="138"/>
        <v>0</v>
      </c>
      <c r="W190" s="317">
        <f t="shared" si="139"/>
        <v>0</v>
      </c>
      <c r="X190" s="317">
        <f t="shared" si="140"/>
        <v>0</v>
      </c>
      <c r="Y190" s="317">
        <f t="shared" si="141"/>
        <v>0</v>
      </c>
      <c r="Z190" s="317">
        <f t="shared" si="142"/>
        <v>0</v>
      </c>
      <c r="AA190" s="317">
        <f t="shared" si="143"/>
        <v>0</v>
      </c>
      <c r="AB190" s="317">
        <f t="shared" si="144"/>
        <v>0</v>
      </c>
      <c r="AC190" s="317">
        <f t="shared" si="145"/>
        <v>0</v>
      </c>
      <c r="AD190" s="317">
        <f t="shared" si="146"/>
        <v>0</v>
      </c>
      <c r="AE190" s="317">
        <f t="shared" si="147"/>
        <v>0</v>
      </c>
      <c r="AF190" s="317">
        <f t="shared" si="172"/>
        <v>0</v>
      </c>
      <c r="AG190" s="317">
        <f t="shared" si="173"/>
        <v>0</v>
      </c>
      <c r="AH190" s="317">
        <f t="shared" si="148"/>
        <v>0</v>
      </c>
      <c r="AI190" s="317">
        <f t="shared" si="149"/>
        <v>0</v>
      </c>
      <c r="AJ190" s="317">
        <f t="shared" si="150"/>
        <v>0</v>
      </c>
      <c r="AK190" s="317">
        <f t="shared" si="151"/>
        <v>0</v>
      </c>
      <c r="AL190" s="317">
        <f t="shared" si="152"/>
        <v>0</v>
      </c>
      <c r="AM190" s="317">
        <f t="shared" si="153"/>
        <v>0</v>
      </c>
      <c r="AN190" s="317">
        <f t="shared" si="154"/>
        <v>0</v>
      </c>
      <c r="AO190" s="317">
        <f t="shared" si="155"/>
        <v>0</v>
      </c>
      <c r="AP190" s="317">
        <f t="shared" si="156"/>
        <v>0</v>
      </c>
      <c r="AQ190" s="317">
        <f t="shared" si="157"/>
        <v>0</v>
      </c>
      <c r="AR190" s="317">
        <f t="shared" si="158"/>
        <v>0</v>
      </c>
      <c r="AS190" s="317">
        <f t="shared" si="159"/>
        <v>0</v>
      </c>
      <c r="AT190" s="317">
        <f t="shared" si="160"/>
        <v>0</v>
      </c>
      <c r="AU190" s="317">
        <f t="shared" si="161"/>
        <v>0</v>
      </c>
      <c r="AV190" s="317">
        <f t="shared" si="162"/>
        <v>0</v>
      </c>
      <c r="AW190" s="317">
        <f t="shared" si="163"/>
        <v>0</v>
      </c>
      <c r="AX190" s="317">
        <f t="shared" si="164"/>
        <v>0</v>
      </c>
      <c r="AY190" s="317">
        <f t="shared" si="165"/>
        <v>0</v>
      </c>
      <c r="AZ190" s="317">
        <f t="shared" si="166"/>
        <v>0</v>
      </c>
      <c r="BA190" s="317">
        <f t="shared" si="167"/>
        <v>0</v>
      </c>
    </row>
    <row r="191" spans="1:53" s="314" customFormat="1" ht="16.5" customHeight="1">
      <c r="A191" s="63" t="str">
        <f t="array" ref="A191">IF(C191&lt;&gt;0,SUM(($C$11:C191&lt;&gt;0)*1),"")</f>
        <v/>
      </c>
      <c r="B191" s="315"/>
      <c r="C191" s="315"/>
      <c r="D191" s="315"/>
      <c r="E191" s="432"/>
      <c r="F191" s="371"/>
      <c r="G191" s="373"/>
      <c r="H191" s="373"/>
      <c r="I191" s="63" t="str">
        <f t="shared" si="129"/>
        <v/>
      </c>
      <c r="J191" s="317">
        <f t="shared" si="130"/>
        <v>0</v>
      </c>
      <c r="K191" s="317">
        <f t="shared" si="131"/>
        <v>0</v>
      </c>
      <c r="L191" s="317">
        <f t="shared" si="132"/>
        <v>0</v>
      </c>
      <c r="M191" s="317">
        <f t="shared" si="133"/>
        <v>0</v>
      </c>
      <c r="N191" s="317">
        <f t="shared" si="168"/>
        <v>0</v>
      </c>
      <c r="O191" s="317">
        <f t="shared" si="169"/>
        <v>0</v>
      </c>
      <c r="P191" s="317">
        <f t="shared" si="134"/>
        <v>0</v>
      </c>
      <c r="Q191" s="317">
        <f t="shared" si="135"/>
        <v>0</v>
      </c>
      <c r="R191" s="317">
        <f t="shared" si="136"/>
        <v>0</v>
      </c>
      <c r="S191" s="317">
        <f t="shared" si="137"/>
        <v>0</v>
      </c>
      <c r="T191" s="317">
        <f t="shared" si="170"/>
        <v>0</v>
      </c>
      <c r="U191" s="317">
        <f t="shared" si="171"/>
        <v>0</v>
      </c>
      <c r="V191" s="317">
        <f t="shared" si="138"/>
        <v>0</v>
      </c>
      <c r="W191" s="317">
        <f t="shared" si="139"/>
        <v>0</v>
      </c>
      <c r="X191" s="317">
        <f t="shared" si="140"/>
        <v>0</v>
      </c>
      <c r="Y191" s="317">
        <f t="shared" si="141"/>
        <v>0</v>
      </c>
      <c r="Z191" s="317">
        <f t="shared" si="142"/>
        <v>0</v>
      </c>
      <c r="AA191" s="317">
        <f t="shared" si="143"/>
        <v>0</v>
      </c>
      <c r="AB191" s="317">
        <f t="shared" si="144"/>
        <v>0</v>
      </c>
      <c r="AC191" s="317">
        <f t="shared" si="145"/>
        <v>0</v>
      </c>
      <c r="AD191" s="317">
        <f t="shared" si="146"/>
        <v>0</v>
      </c>
      <c r="AE191" s="317">
        <f t="shared" si="147"/>
        <v>0</v>
      </c>
      <c r="AF191" s="317">
        <f t="shared" si="172"/>
        <v>0</v>
      </c>
      <c r="AG191" s="317">
        <f t="shared" si="173"/>
        <v>0</v>
      </c>
      <c r="AH191" s="317">
        <f t="shared" si="148"/>
        <v>0</v>
      </c>
      <c r="AI191" s="317">
        <f t="shared" si="149"/>
        <v>0</v>
      </c>
      <c r="AJ191" s="317">
        <f t="shared" si="150"/>
        <v>0</v>
      </c>
      <c r="AK191" s="317">
        <f t="shared" si="151"/>
        <v>0</v>
      </c>
      <c r="AL191" s="317">
        <f t="shared" si="152"/>
        <v>0</v>
      </c>
      <c r="AM191" s="317">
        <f t="shared" si="153"/>
        <v>0</v>
      </c>
      <c r="AN191" s="317">
        <f t="shared" si="154"/>
        <v>0</v>
      </c>
      <c r="AO191" s="317">
        <f t="shared" si="155"/>
        <v>0</v>
      </c>
      <c r="AP191" s="317">
        <f t="shared" si="156"/>
        <v>0</v>
      </c>
      <c r="AQ191" s="317">
        <f t="shared" si="157"/>
        <v>0</v>
      </c>
      <c r="AR191" s="317">
        <f t="shared" si="158"/>
        <v>0</v>
      </c>
      <c r="AS191" s="317">
        <f t="shared" si="159"/>
        <v>0</v>
      </c>
      <c r="AT191" s="317">
        <f t="shared" si="160"/>
        <v>0</v>
      </c>
      <c r="AU191" s="317">
        <f t="shared" si="161"/>
        <v>0</v>
      </c>
      <c r="AV191" s="317">
        <f t="shared" si="162"/>
        <v>0</v>
      </c>
      <c r="AW191" s="317">
        <f t="shared" si="163"/>
        <v>0</v>
      </c>
      <c r="AX191" s="317">
        <f t="shared" si="164"/>
        <v>0</v>
      </c>
      <c r="AY191" s="317">
        <f t="shared" si="165"/>
        <v>0</v>
      </c>
      <c r="AZ191" s="317">
        <f t="shared" si="166"/>
        <v>0</v>
      </c>
      <c r="BA191" s="317">
        <f t="shared" si="167"/>
        <v>0</v>
      </c>
    </row>
    <row r="192" spans="1:53" s="314" customFormat="1" ht="16.5" customHeight="1">
      <c r="A192" s="63" t="str">
        <f t="array" ref="A192">IF(C192&lt;&gt;0,SUM(($C$11:C192&lt;&gt;0)*1),"")</f>
        <v/>
      </c>
      <c r="B192" s="315"/>
      <c r="C192" s="315"/>
      <c r="D192" s="315"/>
      <c r="E192" s="432"/>
      <c r="F192" s="371"/>
      <c r="G192" s="373"/>
      <c r="H192" s="373"/>
      <c r="I192" s="63" t="str">
        <f t="shared" si="129"/>
        <v/>
      </c>
      <c r="J192" s="317">
        <f t="shared" si="130"/>
        <v>0</v>
      </c>
      <c r="K192" s="317">
        <f t="shared" si="131"/>
        <v>0</v>
      </c>
      <c r="L192" s="317">
        <f t="shared" si="132"/>
        <v>0</v>
      </c>
      <c r="M192" s="317">
        <f t="shared" si="133"/>
        <v>0</v>
      </c>
      <c r="N192" s="317">
        <f t="shared" si="168"/>
        <v>0</v>
      </c>
      <c r="O192" s="317">
        <f t="shared" si="169"/>
        <v>0</v>
      </c>
      <c r="P192" s="317">
        <f t="shared" si="134"/>
        <v>0</v>
      </c>
      <c r="Q192" s="317">
        <f t="shared" si="135"/>
        <v>0</v>
      </c>
      <c r="R192" s="317">
        <f t="shared" si="136"/>
        <v>0</v>
      </c>
      <c r="S192" s="317">
        <f t="shared" si="137"/>
        <v>0</v>
      </c>
      <c r="T192" s="317">
        <f t="shared" si="170"/>
        <v>0</v>
      </c>
      <c r="U192" s="317">
        <f t="shared" si="171"/>
        <v>0</v>
      </c>
      <c r="V192" s="317">
        <f t="shared" si="138"/>
        <v>0</v>
      </c>
      <c r="W192" s="317">
        <f t="shared" si="139"/>
        <v>0</v>
      </c>
      <c r="X192" s="317">
        <f t="shared" si="140"/>
        <v>0</v>
      </c>
      <c r="Y192" s="317">
        <f t="shared" si="141"/>
        <v>0</v>
      </c>
      <c r="Z192" s="317">
        <f t="shared" si="142"/>
        <v>0</v>
      </c>
      <c r="AA192" s="317">
        <f t="shared" si="143"/>
        <v>0</v>
      </c>
      <c r="AB192" s="317">
        <f t="shared" si="144"/>
        <v>0</v>
      </c>
      <c r="AC192" s="317">
        <f t="shared" si="145"/>
        <v>0</v>
      </c>
      <c r="AD192" s="317">
        <f t="shared" si="146"/>
        <v>0</v>
      </c>
      <c r="AE192" s="317">
        <f t="shared" si="147"/>
        <v>0</v>
      </c>
      <c r="AF192" s="317">
        <f t="shared" si="172"/>
        <v>0</v>
      </c>
      <c r="AG192" s="317">
        <f t="shared" si="173"/>
        <v>0</v>
      </c>
      <c r="AH192" s="317">
        <f t="shared" si="148"/>
        <v>0</v>
      </c>
      <c r="AI192" s="317">
        <f t="shared" si="149"/>
        <v>0</v>
      </c>
      <c r="AJ192" s="317">
        <f t="shared" si="150"/>
        <v>0</v>
      </c>
      <c r="AK192" s="317">
        <f t="shared" si="151"/>
        <v>0</v>
      </c>
      <c r="AL192" s="317">
        <f t="shared" si="152"/>
        <v>0</v>
      </c>
      <c r="AM192" s="317">
        <f t="shared" si="153"/>
        <v>0</v>
      </c>
      <c r="AN192" s="317">
        <f t="shared" si="154"/>
        <v>0</v>
      </c>
      <c r="AO192" s="317">
        <f t="shared" si="155"/>
        <v>0</v>
      </c>
      <c r="AP192" s="317">
        <f t="shared" si="156"/>
        <v>0</v>
      </c>
      <c r="AQ192" s="317">
        <f t="shared" si="157"/>
        <v>0</v>
      </c>
      <c r="AR192" s="317">
        <f t="shared" si="158"/>
        <v>0</v>
      </c>
      <c r="AS192" s="317">
        <f t="shared" si="159"/>
        <v>0</v>
      </c>
      <c r="AT192" s="317">
        <f t="shared" si="160"/>
        <v>0</v>
      </c>
      <c r="AU192" s="317">
        <f t="shared" si="161"/>
        <v>0</v>
      </c>
      <c r="AV192" s="317">
        <f t="shared" si="162"/>
        <v>0</v>
      </c>
      <c r="AW192" s="317">
        <f t="shared" si="163"/>
        <v>0</v>
      </c>
      <c r="AX192" s="317">
        <f t="shared" si="164"/>
        <v>0</v>
      </c>
      <c r="AY192" s="317">
        <f t="shared" si="165"/>
        <v>0</v>
      </c>
      <c r="AZ192" s="317">
        <f t="shared" si="166"/>
        <v>0</v>
      </c>
      <c r="BA192" s="317">
        <f t="shared" si="167"/>
        <v>0</v>
      </c>
    </row>
    <row r="193" spans="1:53" s="314" customFormat="1" ht="16.5" customHeight="1">
      <c r="A193" s="63" t="str">
        <f t="array" ref="A193">IF(C193&lt;&gt;0,SUM(($C$11:C193&lt;&gt;0)*1),"")</f>
        <v/>
      </c>
      <c r="B193" s="315"/>
      <c r="C193" s="315"/>
      <c r="D193" s="315"/>
      <c r="E193" s="432"/>
      <c r="F193" s="371"/>
      <c r="G193" s="373"/>
      <c r="H193" s="373"/>
      <c r="I193" s="63" t="str">
        <f t="shared" si="129"/>
        <v/>
      </c>
      <c r="J193" s="317">
        <f t="shared" si="130"/>
        <v>0</v>
      </c>
      <c r="K193" s="317">
        <f t="shared" si="131"/>
        <v>0</v>
      </c>
      <c r="L193" s="317">
        <f t="shared" si="132"/>
        <v>0</v>
      </c>
      <c r="M193" s="317">
        <f t="shared" si="133"/>
        <v>0</v>
      </c>
      <c r="N193" s="317">
        <f t="shared" si="168"/>
        <v>0</v>
      </c>
      <c r="O193" s="317">
        <f t="shared" si="169"/>
        <v>0</v>
      </c>
      <c r="P193" s="317">
        <f t="shared" si="134"/>
        <v>0</v>
      </c>
      <c r="Q193" s="317">
        <f t="shared" si="135"/>
        <v>0</v>
      </c>
      <c r="R193" s="317">
        <f t="shared" si="136"/>
        <v>0</v>
      </c>
      <c r="S193" s="317">
        <f t="shared" si="137"/>
        <v>0</v>
      </c>
      <c r="T193" s="317">
        <f t="shared" si="170"/>
        <v>0</v>
      </c>
      <c r="U193" s="317">
        <f t="shared" si="171"/>
        <v>0</v>
      </c>
      <c r="V193" s="317">
        <f t="shared" si="138"/>
        <v>0</v>
      </c>
      <c r="W193" s="317">
        <f t="shared" si="139"/>
        <v>0</v>
      </c>
      <c r="X193" s="317">
        <f t="shared" si="140"/>
        <v>0</v>
      </c>
      <c r="Y193" s="317">
        <f t="shared" si="141"/>
        <v>0</v>
      </c>
      <c r="Z193" s="317">
        <f t="shared" si="142"/>
        <v>0</v>
      </c>
      <c r="AA193" s="317">
        <f t="shared" si="143"/>
        <v>0</v>
      </c>
      <c r="AB193" s="317">
        <f t="shared" si="144"/>
        <v>0</v>
      </c>
      <c r="AC193" s="317">
        <f t="shared" si="145"/>
        <v>0</v>
      </c>
      <c r="AD193" s="317">
        <f t="shared" si="146"/>
        <v>0</v>
      </c>
      <c r="AE193" s="317">
        <f t="shared" si="147"/>
        <v>0</v>
      </c>
      <c r="AF193" s="317">
        <f t="shared" si="172"/>
        <v>0</v>
      </c>
      <c r="AG193" s="317">
        <f t="shared" si="173"/>
        <v>0</v>
      </c>
      <c r="AH193" s="317">
        <f t="shared" si="148"/>
        <v>0</v>
      </c>
      <c r="AI193" s="317">
        <f t="shared" si="149"/>
        <v>0</v>
      </c>
      <c r="AJ193" s="317">
        <f t="shared" si="150"/>
        <v>0</v>
      </c>
      <c r="AK193" s="317">
        <f t="shared" si="151"/>
        <v>0</v>
      </c>
      <c r="AL193" s="317">
        <f t="shared" si="152"/>
        <v>0</v>
      </c>
      <c r="AM193" s="317">
        <f t="shared" si="153"/>
        <v>0</v>
      </c>
      <c r="AN193" s="317">
        <f t="shared" si="154"/>
        <v>0</v>
      </c>
      <c r="AO193" s="317">
        <f t="shared" si="155"/>
        <v>0</v>
      </c>
      <c r="AP193" s="317">
        <f t="shared" si="156"/>
        <v>0</v>
      </c>
      <c r="AQ193" s="317">
        <f t="shared" si="157"/>
        <v>0</v>
      </c>
      <c r="AR193" s="317">
        <f t="shared" si="158"/>
        <v>0</v>
      </c>
      <c r="AS193" s="317">
        <f t="shared" si="159"/>
        <v>0</v>
      </c>
      <c r="AT193" s="317">
        <f t="shared" si="160"/>
        <v>0</v>
      </c>
      <c r="AU193" s="317">
        <f t="shared" si="161"/>
        <v>0</v>
      </c>
      <c r="AV193" s="317">
        <f t="shared" si="162"/>
        <v>0</v>
      </c>
      <c r="AW193" s="317">
        <f t="shared" si="163"/>
        <v>0</v>
      </c>
      <c r="AX193" s="317">
        <f t="shared" si="164"/>
        <v>0</v>
      </c>
      <c r="AY193" s="317">
        <f t="shared" si="165"/>
        <v>0</v>
      </c>
      <c r="AZ193" s="317">
        <f t="shared" si="166"/>
        <v>0</v>
      </c>
      <c r="BA193" s="317">
        <f t="shared" si="167"/>
        <v>0</v>
      </c>
    </row>
    <row r="194" spans="1:53" s="314" customFormat="1" ht="16.5" customHeight="1">
      <c r="A194" s="63" t="str">
        <f t="array" ref="A194">IF(C194&lt;&gt;0,SUM(($C$11:C194&lt;&gt;0)*1),"")</f>
        <v/>
      </c>
      <c r="B194" s="315"/>
      <c r="C194" s="315"/>
      <c r="D194" s="315"/>
      <c r="E194" s="432"/>
      <c r="F194" s="371"/>
      <c r="G194" s="373"/>
      <c r="H194" s="373"/>
      <c r="I194" s="63" t="str">
        <f t="shared" si="129"/>
        <v/>
      </c>
      <c r="J194" s="317">
        <f t="shared" si="130"/>
        <v>0</v>
      </c>
      <c r="K194" s="317">
        <f t="shared" si="131"/>
        <v>0</v>
      </c>
      <c r="L194" s="317">
        <f t="shared" si="132"/>
        <v>0</v>
      </c>
      <c r="M194" s="317">
        <f t="shared" si="133"/>
        <v>0</v>
      </c>
      <c r="N194" s="317">
        <f t="shared" si="168"/>
        <v>0</v>
      </c>
      <c r="O194" s="317">
        <f t="shared" si="169"/>
        <v>0</v>
      </c>
      <c r="P194" s="317">
        <f t="shared" si="134"/>
        <v>0</v>
      </c>
      <c r="Q194" s="317">
        <f t="shared" si="135"/>
        <v>0</v>
      </c>
      <c r="R194" s="317">
        <f t="shared" si="136"/>
        <v>0</v>
      </c>
      <c r="S194" s="317">
        <f t="shared" si="137"/>
        <v>0</v>
      </c>
      <c r="T194" s="317">
        <f t="shared" si="170"/>
        <v>0</v>
      </c>
      <c r="U194" s="317">
        <f t="shared" si="171"/>
        <v>0</v>
      </c>
      <c r="V194" s="317">
        <f t="shared" si="138"/>
        <v>0</v>
      </c>
      <c r="W194" s="317">
        <f t="shared" si="139"/>
        <v>0</v>
      </c>
      <c r="X194" s="317">
        <f t="shared" si="140"/>
        <v>0</v>
      </c>
      <c r="Y194" s="317">
        <f t="shared" si="141"/>
        <v>0</v>
      </c>
      <c r="Z194" s="317">
        <f t="shared" si="142"/>
        <v>0</v>
      </c>
      <c r="AA194" s="317">
        <f t="shared" si="143"/>
        <v>0</v>
      </c>
      <c r="AB194" s="317">
        <f t="shared" si="144"/>
        <v>0</v>
      </c>
      <c r="AC194" s="317">
        <f t="shared" si="145"/>
        <v>0</v>
      </c>
      <c r="AD194" s="317">
        <f t="shared" si="146"/>
        <v>0</v>
      </c>
      <c r="AE194" s="317">
        <f t="shared" si="147"/>
        <v>0</v>
      </c>
      <c r="AF194" s="317">
        <f t="shared" si="172"/>
        <v>0</v>
      </c>
      <c r="AG194" s="317">
        <f t="shared" si="173"/>
        <v>0</v>
      </c>
      <c r="AH194" s="317">
        <f t="shared" si="148"/>
        <v>0</v>
      </c>
      <c r="AI194" s="317">
        <f t="shared" si="149"/>
        <v>0</v>
      </c>
      <c r="AJ194" s="317">
        <f t="shared" si="150"/>
        <v>0</v>
      </c>
      <c r="AK194" s="317">
        <f t="shared" si="151"/>
        <v>0</v>
      </c>
      <c r="AL194" s="317">
        <f t="shared" si="152"/>
        <v>0</v>
      </c>
      <c r="AM194" s="317">
        <f t="shared" si="153"/>
        <v>0</v>
      </c>
      <c r="AN194" s="317">
        <f t="shared" si="154"/>
        <v>0</v>
      </c>
      <c r="AO194" s="317">
        <f t="shared" si="155"/>
        <v>0</v>
      </c>
      <c r="AP194" s="317">
        <f t="shared" si="156"/>
        <v>0</v>
      </c>
      <c r="AQ194" s="317">
        <f t="shared" si="157"/>
        <v>0</v>
      </c>
      <c r="AR194" s="317">
        <f t="shared" si="158"/>
        <v>0</v>
      </c>
      <c r="AS194" s="317">
        <f t="shared" si="159"/>
        <v>0</v>
      </c>
      <c r="AT194" s="317">
        <f t="shared" si="160"/>
        <v>0</v>
      </c>
      <c r="AU194" s="317">
        <f t="shared" si="161"/>
        <v>0</v>
      </c>
      <c r="AV194" s="317">
        <f t="shared" si="162"/>
        <v>0</v>
      </c>
      <c r="AW194" s="317">
        <f t="shared" si="163"/>
        <v>0</v>
      </c>
      <c r="AX194" s="317">
        <f t="shared" si="164"/>
        <v>0</v>
      </c>
      <c r="AY194" s="317">
        <f t="shared" si="165"/>
        <v>0</v>
      </c>
      <c r="AZ194" s="317">
        <f t="shared" si="166"/>
        <v>0</v>
      </c>
      <c r="BA194" s="317">
        <f t="shared" si="167"/>
        <v>0</v>
      </c>
    </row>
    <row r="195" spans="1:53" s="314" customFormat="1" ht="16.5" customHeight="1">
      <c r="A195" s="63" t="str">
        <f t="array" ref="A195">IF(C195&lt;&gt;0,SUM(($C$11:C195&lt;&gt;0)*1),"")</f>
        <v/>
      </c>
      <c r="B195" s="315"/>
      <c r="C195" s="315"/>
      <c r="D195" s="315"/>
      <c r="E195" s="432"/>
      <c r="F195" s="371"/>
      <c r="G195" s="373"/>
      <c r="H195" s="373"/>
      <c r="I195" s="63" t="str">
        <f t="shared" si="129"/>
        <v/>
      </c>
      <c r="J195" s="317">
        <f t="shared" si="130"/>
        <v>0</v>
      </c>
      <c r="K195" s="317">
        <f t="shared" si="131"/>
        <v>0</v>
      </c>
      <c r="L195" s="317">
        <f t="shared" si="132"/>
        <v>0</v>
      </c>
      <c r="M195" s="317">
        <f t="shared" si="133"/>
        <v>0</v>
      </c>
      <c r="N195" s="317">
        <f t="shared" si="168"/>
        <v>0</v>
      </c>
      <c r="O195" s="317">
        <f t="shared" si="169"/>
        <v>0</v>
      </c>
      <c r="P195" s="317">
        <f t="shared" si="134"/>
        <v>0</v>
      </c>
      <c r="Q195" s="317">
        <f t="shared" si="135"/>
        <v>0</v>
      </c>
      <c r="R195" s="317">
        <f t="shared" si="136"/>
        <v>0</v>
      </c>
      <c r="S195" s="317">
        <f t="shared" si="137"/>
        <v>0</v>
      </c>
      <c r="T195" s="317">
        <f t="shared" si="170"/>
        <v>0</v>
      </c>
      <c r="U195" s="317">
        <f t="shared" si="171"/>
        <v>0</v>
      </c>
      <c r="V195" s="317">
        <f t="shared" si="138"/>
        <v>0</v>
      </c>
      <c r="W195" s="317">
        <f t="shared" si="139"/>
        <v>0</v>
      </c>
      <c r="X195" s="317">
        <f t="shared" si="140"/>
        <v>0</v>
      </c>
      <c r="Y195" s="317">
        <f t="shared" si="141"/>
        <v>0</v>
      </c>
      <c r="Z195" s="317">
        <f t="shared" si="142"/>
        <v>0</v>
      </c>
      <c r="AA195" s="317">
        <f t="shared" si="143"/>
        <v>0</v>
      </c>
      <c r="AB195" s="317">
        <f t="shared" si="144"/>
        <v>0</v>
      </c>
      <c r="AC195" s="317">
        <f t="shared" si="145"/>
        <v>0</v>
      </c>
      <c r="AD195" s="317">
        <f t="shared" si="146"/>
        <v>0</v>
      </c>
      <c r="AE195" s="317">
        <f t="shared" si="147"/>
        <v>0</v>
      </c>
      <c r="AF195" s="317">
        <f t="shared" si="172"/>
        <v>0</v>
      </c>
      <c r="AG195" s="317">
        <f t="shared" si="173"/>
        <v>0</v>
      </c>
      <c r="AH195" s="317">
        <f t="shared" si="148"/>
        <v>0</v>
      </c>
      <c r="AI195" s="317">
        <f t="shared" si="149"/>
        <v>0</v>
      </c>
      <c r="AJ195" s="317">
        <f t="shared" si="150"/>
        <v>0</v>
      </c>
      <c r="AK195" s="317">
        <f t="shared" si="151"/>
        <v>0</v>
      </c>
      <c r="AL195" s="317">
        <f t="shared" si="152"/>
        <v>0</v>
      </c>
      <c r="AM195" s="317">
        <f t="shared" si="153"/>
        <v>0</v>
      </c>
      <c r="AN195" s="317">
        <f t="shared" si="154"/>
        <v>0</v>
      </c>
      <c r="AO195" s="317">
        <f t="shared" si="155"/>
        <v>0</v>
      </c>
      <c r="AP195" s="317">
        <f t="shared" si="156"/>
        <v>0</v>
      </c>
      <c r="AQ195" s="317">
        <f t="shared" si="157"/>
        <v>0</v>
      </c>
      <c r="AR195" s="317">
        <f t="shared" si="158"/>
        <v>0</v>
      </c>
      <c r="AS195" s="317">
        <f t="shared" si="159"/>
        <v>0</v>
      </c>
      <c r="AT195" s="317">
        <f t="shared" si="160"/>
        <v>0</v>
      </c>
      <c r="AU195" s="317">
        <f t="shared" si="161"/>
        <v>0</v>
      </c>
      <c r="AV195" s="317">
        <f t="shared" si="162"/>
        <v>0</v>
      </c>
      <c r="AW195" s="317">
        <f t="shared" si="163"/>
        <v>0</v>
      </c>
      <c r="AX195" s="317">
        <f t="shared" si="164"/>
        <v>0</v>
      </c>
      <c r="AY195" s="317">
        <f t="shared" si="165"/>
        <v>0</v>
      </c>
      <c r="AZ195" s="317">
        <f t="shared" si="166"/>
        <v>0</v>
      </c>
      <c r="BA195" s="317">
        <f t="shared" si="167"/>
        <v>0</v>
      </c>
    </row>
    <row r="196" spans="1:53" s="314" customFormat="1" ht="16.5" customHeight="1">
      <c r="A196" s="63" t="str">
        <f t="array" ref="A196">IF(C196&lt;&gt;0,SUM(($C$11:C196&lt;&gt;0)*1),"")</f>
        <v/>
      </c>
      <c r="B196" s="315"/>
      <c r="C196" s="315"/>
      <c r="D196" s="315"/>
      <c r="E196" s="432"/>
      <c r="F196" s="371"/>
      <c r="G196" s="373"/>
      <c r="H196" s="373"/>
      <c r="I196" s="63" t="str">
        <f t="shared" si="129"/>
        <v/>
      </c>
      <c r="J196" s="317">
        <f t="shared" si="130"/>
        <v>0</v>
      </c>
      <c r="K196" s="317">
        <f t="shared" si="131"/>
        <v>0</v>
      </c>
      <c r="L196" s="317">
        <f t="shared" si="132"/>
        <v>0</v>
      </c>
      <c r="M196" s="317">
        <f t="shared" si="133"/>
        <v>0</v>
      </c>
      <c r="N196" s="317">
        <f t="shared" si="168"/>
        <v>0</v>
      </c>
      <c r="O196" s="317">
        <f t="shared" si="169"/>
        <v>0</v>
      </c>
      <c r="P196" s="317">
        <f t="shared" si="134"/>
        <v>0</v>
      </c>
      <c r="Q196" s="317">
        <f t="shared" si="135"/>
        <v>0</v>
      </c>
      <c r="R196" s="317">
        <f t="shared" si="136"/>
        <v>0</v>
      </c>
      <c r="S196" s="317">
        <f t="shared" si="137"/>
        <v>0</v>
      </c>
      <c r="T196" s="317">
        <f t="shared" si="170"/>
        <v>0</v>
      </c>
      <c r="U196" s="317">
        <f t="shared" si="171"/>
        <v>0</v>
      </c>
      <c r="V196" s="317">
        <f t="shared" si="138"/>
        <v>0</v>
      </c>
      <c r="W196" s="317">
        <f t="shared" si="139"/>
        <v>0</v>
      </c>
      <c r="X196" s="317">
        <f t="shared" si="140"/>
        <v>0</v>
      </c>
      <c r="Y196" s="317">
        <f t="shared" si="141"/>
        <v>0</v>
      </c>
      <c r="Z196" s="317">
        <f t="shared" si="142"/>
        <v>0</v>
      </c>
      <c r="AA196" s="317">
        <f t="shared" si="143"/>
        <v>0</v>
      </c>
      <c r="AB196" s="317">
        <f t="shared" si="144"/>
        <v>0</v>
      </c>
      <c r="AC196" s="317">
        <f t="shared" si="145"/>
        <v>0</v>
      </c>
      <c r="AD196" s="317">
        <f t="shared" si="146"/>
        <v>0</v>
      </c>
      <c r="AE196" s="317">
        <f t="shared" si="147"/>
        <v>0</v>
      </c>
      <c r="AF196" s="317">
        <f t="shared" si="172"/>
        <v>0</v>
      </c>
      <c r="AG196" s="317">
        <f t="shared" si="173"/>
        <v>0</v>
      </c>
      <c r="AH196" s="317">
        <f t="shared" si="148"/>
        <v>0</v>
      </c>
      <c r="AI196" s="317">
        <f t="shared" si="149"/>
        <v>0</v>
      </c>
      <c r="AJ196" s="317">
        <f t="shared" si="150"/>
        <v>0</v>
      </c>
      <c r="AK196" s="317">
        <f t="shared" si="151"/>
        <v>0</v>
      </c>
      <c r="AL196" s="317">
        <f t="shared" si="152"/>
        <v>0</v>
      </c>
      <c r="AM196" s="317">
        <f t="shared" si="153"/>
        <v>0</v>
      </c>
      <c r="AN196" s="317">
        <f t="shared" si="154"/>
        <v>0</v>
      </c>
      <c r="AO196" s="317">
        <f t="shared" si="155"/>
        <v>0</v>
      </c>
      <c r="AP196" s="317">
        <f t="shared" si="156"/>
        <v>0</v>
      </c>
      <c r="AQ196" s="317">
        <f t="shared" si="157"/>
        <v>0</v>
      </c>
      <c r="AR196" s="317">
        <f t="shared" si="158"/>
        <v>0</v>
      </c>
      <c r="AS196" s="317">
        <f t="shared" si="159"/>
        <v>0</v>
      </c>
      <c r="AT196" s="317">
        <f t="shared" si="160"/>
        <v>0</v>
      </c>
      <c r="AU196" s="317">
        <f t="shared" si="161"/>
        <v>0</v>
      </c>
      <c r="AV196" s="317">
        <f t="shared" si="162"/>
        <v>0</v>
      </c>
      <c r="AW196" s="317">
        <f t="shared" si="163"/>
        <v>0</v>
      </c>
      <c r="AX196" s="317">
        <f t="shared" si="164"/>
        <v>0</v>
      </c>
      <c r="AY196" s="317">
        <f t="shared" si="165"/>
        <v>0</v>
      </c>
      <c r="AZ196" s="317">
        <f t="shared" si="166"/>
        <v>0</v>
      </c>
      <c r="BA196" s="317">
        <f t="shared" si="167"/>
        <v>0</v>
      </c>
    </row>
    <row r="197" spans="1:53" s="314" customFormat="1" ht="16.5" customHeight="1">
      <c r="A197" s="63" t="str">
        <f t="array" ref="A197">IF(C197&lt;&gt;0,SUM(($C$11:C197&lt;&gt;0)*1),"")</f>
        <v/>
      </c>
      <c r="B197" s="315"/>
      <c r="C197" s="315"/>
      <c r="D197" s="315"/>
      <c r="E197" s="432"/>
      <c r="F197" s="371"/>
      <c r="G197" s="373"/>
      <c r="H197" s="373"/>
      <c r="I197" s="63" t="str">
        <f t="shared" si="129"/>
        <v/>
      </c>
      <c r="J197" s="317">
        <f t="shared" si="130"/>
        <v>0</v>
      </c>
      <c r="K197" s="317">
        <f t="shared" si="131"/>
        <v>0</v>
      </c>
      <c r="L197" s="317">
        <f t="shared" si="132"/>
        <v>0</v>
      </c>
      <c r="M197" s="317">
        <f t="shared" si="133"/>
        <v>0</v>
      </c>
      <c r="N197" s="317">
        <f t="shared" si="168"/>
        <v>0</v>
      </c>
      <c r="O197" s="317">
        <f t="shared" si="169"/>
        <v>0</v>
      </c>
      <c r="P197" s="317">
        <f t="shared" si="134"/>
        <v>0</v>
      </c>
      <c r="Q197" s="317">
        <f t="shared" si="135"/>
        <v>0</v>
      </c>
      <c r="R197" s="317">
        <f t="shared" si="136"/>
        <v>0</v>
      </c>
      <c r="S197" s="317">
        <f t="shared" si="137"/>
        <v>0</v>
      </c>
      <c r="T197" s="317">
        <f t="shared" si="170"/>
        <v>0</v>
      </c>
      <c r="U197" s="317">
        <f t="shared" si="171"/>
        <v>0</v>
      </c>
      <c r="V197" s="317">
        <f t="shared" si="138"/>
        <v>0</v>
      </c>
      <c r="W197" s="317">
        <f t="shared" si="139"/>
        <v>0</v>
      </c>
      <c r="X197" s="317">
        <f t="shared" si="140"/>
        <v>0</v>
      </c>
      <c r="Y197" s="317">
        <f t="shared" si="141"/>
        <v>0</v>
      </c>
      <c r="Z197" s="317">
        <f t="shared" si="142"/>
        <v>0</v>
      </c>
      <c r="AA197" s="317">
        <f t="shared" si="143"/>
        <v>0</v>
      </c>
      <c r="AB197" s="317">
        <f t="shared" si="144"/>
        <v>0</v>
      </c>
      <c r="AC197" s="317">
        <f t="shared" si="145"/>
        <v>0</v>
      </c>
      <c r="AD197" s="317">
        <f t="shared" si="146"/>
        <v>0</v>
      </c>
      <c r="AE197" s="317">
        <f t="shared" si="147"/>
        <v>0</v>
      </c>
      <c r="AF197" s="317">
        <f t="shared" si="172"/>
        <v>0</v>
      </c>
      <c r="AG197" s="317">
        <f t="shared" si="173"/>
        <v>0</v>
      </c>
      <c r="AH197" s="317">
        <f t="shared" si="148"/>
        <v>0</v>
      </c>
      <c r="AI197" s="317">
        <f t="shared" si="149"/>
        <v>0</v>
      </c>
      <c r="AJ197" s="317">
        <f t="shared" si="150"/>
        <v>0</v>
      </c>
      <c r="AK197" s="317">
        <f t="shared" si="151"/>
        <v>0</v>
      </c>
      <c r="AL197" s="317">
        <f t="shared" si="152"/>
        <v>0</v>
      </c>
      <c r="AM197" s="317">
        <f t="shared" si="153"/>
        <v>0</v>
      </c>
      <c r="AN197" s="317">
        <f t="shared" si="154"/>
        <v>0</v>
      </c>
      <c r="AO197" s="317">
        <f t="shared" si="155"/>
        <v>0</v>
      </c>
      <c r="AP197" s="317">
        <f t="shared" si="156"/>
        <v>0</v>
      </c>
      <c r="AQ197" s="317">
        <f t="shared" si="157"/>
        <v>0</v>
      </c>
      <c r="AR197" s="317">
        <f t="shared" si="158"/>
        <v>0</v>
      </c>
      <c r="AS197" s="317">
        <f t="shared" si="159"/>
        <v>0</v>
      </c>
      <c r="AT197" s="317">
        <f t="shared" si="160"/>
        <v>0</v>
      </c>
      <c r="AU197" s="317">
        <f t="shared" si="161"/>
        <v>0</v>
      </c>
      <c r="AV197" s="317">
        <f t="shared" si="162"/>
        <v>0</v>
      </c>
      <c r="AW197" s="317">
        <f t="shared" si="163"/>
        <v>0</v>
      </c>
      <c r="AX197" s="317">
        <f t="shared" si="164"/>
        <v>0</v>
      </c>
      <c r="AY197" s="317">
        <f t="shared" si="165"/>
        <v>0</v>
      </c>
      <c r="AZ197" s="317">
        <f t="shared" si="166"/>
        <v>0</v>
      </c>
      <c r="BA197" s="317">
        <f t="shared" si="167"/>
        <v>0</v>
      </c>
    </row>
    <row r="198" spans="1:53" s="314" customFormat="1" ht="16.5" customHeight="1">
      <c r="A198" s="63" t="str">
        <f t="array" ref="A198">IF(C198&lt;&gt;0,SUM(($C$11:C198&lt;&gt;0)*1),"")</f>
        <v/>
      </c>
      <c r="B198" s="315"/>
      <c r="C198" s="315"/>
      <c r="D198" s="315"/>
      <c r="E198" s="432"/>
      <c r="F198" s="371"/>
      <c r="G198" s="373"/>
      <c r="H198" s="373"/>
      <c r="I198" s="63" t="str">
        <f t="shared" si="129"/>
        <v/>
      </c>
      <c r="J198" s="317">
        <f t="shared" si="130"/>
        <v>0</v>
      </c>
      <c r="K198" s="317">
        <f t="shared" si="131"/>
        <v>0</v>
      </c>
      <c r="L198" s="317">
        <f t="shared" si="132"/>
        <v>0</v>
      </c>
      <c r="M198" s="317">
        <f t="shared" si="133"/>
        <v>0</v>
      </c>
      <c r="N198" s="317">
        <f t="shared" si="168"/>
        <v>0</v>
      </c>
      <c r="O198" s="317">
        <f t="shared" si="169"/>
        <v>0</v>
      </c>
      <c r="P198" s="317">
        <f t="shared" si="134"/>
        <v>0</v>
      </c>
      <c r="Q198" s="317">
        <f t="shared" si="135"/>
        <v>0</v>
      </c>
      <c r="R198" s="317">
        <f t="shared" si="136"/>
        <v>0</v>
      </c>
      <c r="S198" s="317">
        <f t="shared" si="137"/>
        <v>0</v>
      </c>
      <c r="T198" s="317">
        <f t="shared" si="170"/>
        <v>0</v>
      </c>
      <c r="U198" s="317">
        <f t="shared" si="171"/>
        <v>0</v>
      </c>
      <c r="V198" s="317">
        <f t="shared" si="138"/>
        <v>0</v>
      </c>
      <c r="W198" s="317">
        <f t="shared" si="139"/>
        <v>0</v>
      </c>
      <c r="X198" s="317">
        <f t="shared" si="140"/>
        <v>0</v>
      </c>
      <c r="Y198" s="317">
        <f t="shared" si="141"/>
        <v>0</v>
      </c>
      <c r="Z198" s="317">
        <f t="shared" si="142"/>
        <v>0</v>
      </c>
      <c r="AA198" s="317">
        <f t="shared" si="143"/>
        <v>0</v>
      </c>
      <c r="AB198" s="317">
        <f t="shared" si="144"/>
        <v>0</v>
      </c>
      <c r="AC198" s="317">
        <f t="shared" si="145"/>
        <v>0</v>
      </c>
      <c r="AD198" s="317">
        <f t="shared" si="146"/>
        <v>0</v>
      </c>
      <c r="AE198" s="317">
        <f t="shared" si="147"/>
        <v>0</v>
      </c>
      <c r="AF198" s="317">
        <f t="shared" si="172"/>
        <v>0</v>
      </c>
      <c r="AG198" s="317">
        <f t="shared" si="173"/>
        <v>0</v>
      </c>
      <c r="AH198" s="317">
        <f t="shared" si="148"/>
        <v>0</v>
      </c>
      <c r="AI198" s="317">
        <f t="shared" si="149"/>
        <v>0</v>
      </c>
      <c r="AJ198" s="317">
        <f t="shared" si="150"/>
        <v>0</v>
      </c>
      <c r="AK198" s="317">
        <f t="shared" si="151"/>
        <v>0</v>
      </c>
      <c r="AL198" s="317">
        <f t="shared" si="152"/>
        <v>0</v>
      </c>
      <c r="AM198" s="317">
        <f t="shared" si="153"/>
        <v>0</v>
      </c>
      <c r="AN198" s="317">
        <f t="shared" si="154"/>
        <v>0</v>
      </c>
      <c r="AO198" s="317">
        <f t="shared" si="155"/>
        <v>0</v>
      </c>
      <c r="AP198" s="317">
        <f t="shared" si="156"/>
        <v>0</v>
      </c>
      <c r="AQ198" s="317">
        <f t="shared" si="157"/>
        <v>0</v>
      </c>
      <c r="AR198" s="317">
        <f t="shared" si="158"/>
        <v>0</v>
      </c>
      <c r="AS198" s="317">
        <f t="shared" si="159"/>
        <v>0</v>
      </c>
      <c r="AT198" s="317">
        <f t="shared" si="160"/>
        <v>0</v>
      </c>
      <c r="AU198" s="317">
        <f t="shared" si="161"/>
        <v>0</v>
      </c>
      <c r="AV198" s="317">
        <f t="shared" si="162"/>
        <v>0</v>
      </c>
      <c r="AW198" s="317">
        <f t="shared" si="163"/>
        <v>0</v>
      </c>
      <c r="AX198" s="317">
        <f t="shared" si="164"/>
        <v>0</v>
      </c>
      <c r="AY198" s="317">
        <f t="shared" si="165"/>
        <v>0</v>
      </c>
      <c r="AZ198" s="317">
        <f t="shared" si="166"/>
        <v>0</v>
      </c>
      <c r="BA198" s="317">
        <f t="shared" si="167"/>
        <v>0</v>
      </c>
    </row>
    <row r="199" spans="1:53" s="314" customFormat="1" ht="16.5" customHeight="1">
      <c r="A199" s="63" t="str">
        <f t="array" ref="A199">IF(C199&lt;&gt;0,SUM(($C$11:C199&lt;&gt;0)*1),"")</f>
        <v/>
      </c>
      <c r="B199" s="315"/>
      <c r="C199" s="315"/>
      <c r="D199" s="315"/>
      <c r="E199" s="432"/>
      <c r="F199" s="371"/>
      <c r="G199" s="373"/>
      <c r="H199" s="373"/>
      <c r="I199" s="63" t="str">
        <f t="shared" si="129"/>
        <v/>
      </c>
      <c r="J199" s="317">
        <f t="shared" si="130"/>
        <v>0</v>
      </c>
      <c r="K199" s="317">
        <f t="shared" si="131"/>
        <v>0</v>
      </c>
      <c r="L199" s="317">
        <f t="shared" si="132"/>
        <v>0</v>
      </c>
      <c r="M199" s="317">
        <f t="shared" si="133"/>
        <v>0</v>
      </c>
      <c r="N199" s="317">
        <f t="shared" si="168"/>
        <v>0</v>
      </c>
      <c r="O199" s="317">
        <f t="shared" si="169"/>
        <v>0</v>
      </c>
      <c r="P199" s="317">
        <f t="shared" si="134"/>
        <v>0</v>
      </c>
      <c r="Q199" s="317">
        <f t="shared" si="135"/>
        <v>0</v>
      </c>
      <c r="R199" s="317">
        <f t="shared" si="136"/>
        <v>0</v>
      </c>
      <c r="S199" s="317">
        <f t="shared" si="137"/>
        <v>0</v>
      </c>
      <c r="T199" s="317">
        <f t="shared" si="170"/>
        <v>0</v>
      </c>
      <c r="U199" s="317">
        <f t="shared" si="171"/>
        <v>0</v>
      </c>
      <c r="V199" s="317">
        <f t="shared" si="138"/>
        <v>0</v>
      </c>
      <c r="W199" s="317">
        <f t="shared" si="139"/>
        <v>0</v>
      </c>
      <c r="X199" s="317">
        <f t="shared" si="140"/>
        <v>0</v>
      </c>
      <c r="Y199" s="317">
        <f t="shared" si="141"/>
        <v>0</v>
      </c>
      <c r="Z199" s="317">
        <f t="shared" si="142"/>
        <v>0</v>
      </c>
      <c r="AA199" s="317">
        <f t="shared" si="143"/>
        <v>0</v>
      </c>
      <c r="AB199" s="317">
        <f t="shared" si="144"/>
        <v>0</v>
      </c>
      <c r="AC199" s="317">
        <f t="shared" si="145"/>
        <v>0</v>
      </c>
      <c r="AD199" s="317">
        <f t="shared" si="146"/>
        <v>0</v>
      </c>
      <c r="AE199" s="317">
        <f t="shared" si="147"/>
        <v>0</v>
      </c>
      <c r="AF199" s="317">
        <f t="shared" si="172"/>
        <v>0</v>
      </c>
      <c r="AG199" s="317">
        <f t="shared" si="173"/>
        <v>0</v>
      </c>
      <c r="AH199" s="317">
        <f t="shared" si="148"/>
        <v>0</v>
      </c>
      <c r="AI199" s="317">
        <f t="shared" si="149"/>
        <v>0</v>
      </c>
      <c r="AJ199" s="317">
        <f t="shared" si="150"/>
        <v>0</v>
      </c>
      <c r="AK199" s="317">
        <f t="shared" si="151"/>
        <v>0</v>
      </c>
      <c r="AL199" s="317">
        <f t="shared" si="152"/>
        <v>0</v>
      </c>
      <c r="AM199" s="317">
        <f t="shared" si="153"/>
        <v>0</v>
      </c>
      <c r="AN199" s="317">
        <f t="shared" si="154"/>
        <v>0</v>
      </c>
      <c r="AO199" s="317">
        <f t="shared" si="155"/>
        <v>0</v>
      </c>
      <c r="AP199" s="317">
        <f t="shared" si="156"/>
        <v>0</v>
      </c>
      <c r="AQ199" s="317">
        <f t="shared" si="157"/>
        <v>0</v>
      </c>
      <c r="AR199" s="317">
        <f t="shared" si="158"/>
        <v>0</v>
      </c>
      <c r="AS199" s="317">
        <f t="shared" si="159"/>
        <v>0</v>
      </c>
      <c r="AT199" s="317">
        <f t="shared" si="160"/>
        <v>0</v>
      </c>
      <c r="AU199" s="317">
        <f t="shared" si="161"/>
        <v>0</v>
      </c>
      <c r="AV199" s="317">
        <f t="shared" si="162"/>
        <v>0</v>
      </c>
      <c r="AW199" s="317">
        <f t="shared" si="163"/>
        <v>0</v>
      </c>
      <c r="AX199" s="317">
        <f t="shared" si="164"/>
        <v>0</v>
      </c>
      <c r="AY199" s="317">
        <f t="shared" si="165"/>
        <v>0</v>
      </c>
      <c r="AZ199" s="317">
        <f t="shared" si="166"/>
        <v>0</v>
      </c>
      <c r="BA199" s="317">
        <f t="shared" si="167"/>
        <v>0</v>
      </c>
    </row>
    <row r="200" spans="1:53" s="314" customFormat="1" ht="16.5" customHeight="1">
      <c r="A200" s="63" t="str">
        <f t="array" ref="A200">IF(C200&lt;&gt;0,SUM(($C$11:C200&lt;&gt;0)*1),"")</f>
        <v/>
      </c>
      <c r="B200" s="315"/>
      <c r="C200" s="315"/>
      <c r="D200" s="315"/>
      <c r="E200" s="432"/>
      <c r="F200" s="371"/>
      <c r="G200" s="373"/>
      <c r="H200" s="373"/>
      <c r="I200" s="63" t="str">
        <f t="shared" si="129"/>
        <v/>
      </c>
      <c r="J200" s="317">
        <f t="shared" si="130"/>
        <v>0</v>
      </c>
      <c r="K200" s="317">
        <f t="shared" si="131"/>
        <v>0</v>
      </c>
      <c r="L200" s="317">
        <f t="shared" si="132"/>
        <v>0</v>
      </c>
      <c r="M200" s="317">
        <f t="shared" si="133"/>
        <v>0</v>
      </c>
      <c r="N200" s="317">
        <f t="shared" si="168"/>
        <v>0</v>
      </c>
      <c r="O200" s="317">
        <f t="shared" si="169"/>
        <v>0</v>
      </c>
      <c r="P200" s="317">
        <f t="shared" si="134"/>
        <v>0</v>
      </c>
      <c r="Q200" s="317">
        <f t="shared" si="135"/>
        <v>0</v>
      </c>
      <c r="R200" s="317">
        <f t="shared" si="136"/>
        <v>0</v>
      </c>
      <c r="S200" s="317">
        <f t="shared" si="137"/>
        <v>0</v>
      </c>
      <c r="T200" s="317">
        <f t="shared" si="170"/>
        <v>0</v>
      </c>
      <c r="U200" s="317">
        <f t="shared" si="171"/>
        <v>0</v>
      </c>
      <c r="V200" s="317">
        <f t="shared" si="138"/>
        <v>0</v>
      </c>
      <c r="W200" s="317">
        <f t="shared" si="139"/>
        <v>0</v>
      </c>
      <c r="X200" s="317">
        <f t="shared" si="140"/>
        <v>0</v>
      </c>
      <c r="Y200" s="317">
        <f t="shared" si="141"/>
        <v>0</v>
      </c>
      <c r="Z200" s="317">
        <f t="shared" si="142"/>
        <v>0</v>
      </c>
      <c r="AA200" s="317">
        <f t="shared" si="143"/>
        <v>0</v>
      </c>
      <c r="AB200" s="317">
        <f t="shared" si="144"/>
        <v>0</v>
      </c>
      <c r="AC200" s="317">
        <f t="shared" si="145"/>
        <v>0</v>
      </c>
      <c r="AD200" s="317">
        <f t="shared" si="146"/>
        <v>0</v>
      </c>
      <c r="AE200" s="317">
        <f t="shared" si="147"/>
        <v>0</v>
      </c>
      <c r="AF200" s="317">
        <f t="shared" si="172"/>
        <v>0</v>
      </c>
      <c r="AG200" s="317">
        <f t="shared" si="173"/>
        <v>0</v>
      </c>
      <c r="AH200" s="317">
        <f t="shared" si="148"/>
        <v>0</v>
      </c>
      <c r="AI200" s="317">
        <f t="shared" si="149"/>
        <v>0</v>
      </c>
      <c r="AJ200" s="317">
        <f t="shared" si="150"/>
        <v>0</v>
      </c>
      <c r="AK200" s="317">
        <f t="shared" si="151"/>
        <v>0</v>
      </c>
      <c r="AL200" s="317">
        <f t="shared" si="152"/>
        <v>0</v>
      </c>
      <c r="AM200" s="317">
        <f t="shared" si="153"/>
        <v>0</v>
      </c>
      <c r="AN200" s="317">
        <f t="shared" si="154"/>
        <v>0</v>
      </c>
      <c r="AO200" s="317">
        <f t="shared" si="155"/>
        <v>0</v>
      </c>
      <c r="AP200" s="317">
        <f t="shared" si="156"/>
        <v>0</v>
      </c>
      <c r="AQ200" s="317">
        <f t="shared" si="157"/>
        <v>0</v>
      </c>
      <c r="AR200" s="317">
        <f t="shared" si="158"/>
        <v>0</v>
      </c>
      <c r="AS200" s="317">
        <f t="shared" si="159"/>
        <v>0</v>
      </c>
      <c r="AT200" s="317">
        <f t="shared" si="160"/>
        <v>0</v>
      </c>
      <c r="AU200" s="317">
        <f t="shared" si="161"/>
        <v>0</v>
      </c>
      <c r="AV200" s="317">
        <f t="shared" si="162"/>
        <v>0</v>
      </c>
      <c r="AW200" s="317">
        <f t="shared" si="163"/>
        <v>0</v>
      </c>
      <c r="AX200" s="317">
        <f t="shared" si="164"/>
        <v>0</v>
      </c>
      <c r="AY200" s="317">
        <f t="shared" si="165"/>
        <v>0</v>
      </c>
      <c r="AZ200" s="317">
        <f t="shared" si="166"/>
        <v>0</v>
      </c>
      <c r="BA200" s="317">
        <f t="shared" si="167"/>
        <v>0</v>
      </c>
    </row>
    <row r="201" spans="1:53" s="314" customFormat="1" ht="16.5" customHeight="1">
      <c r="A201" s="63" t="str">
        <f t="array" ref="A201">IF(C201&lt;&gt;0,SUM(($C$11:C201&lt;&gt;0)*1),"")</f>
        <v/>
      </c>
      <c r="B201" s="315"/>
      <c r="C201" s="315"/>
      <c r="D201" s="315"/>
      <c r="E201" s="432"/>
      <c r="F201" s="371"/>
      <c r="G201" s="373"/>
      <c r="H201" s="373"/>
      <c r="I201" s="63" t="str">
        <f t="shared" si="129"/>
        <v/>
      </c>
      <c r="J201" s="317">
        <f t="shared" si="130"/>
        <v>0</v>
      </c>
      <c r="K201" s="317">
        <f t="shared" si="131"/>
        <v>0</v>
      </c>
      <c r="L201" s="317">
        <f t="shared" si="132"/>
        <v>0</v>
      </c>
      <c r="M201" s="317">
        <f t="shared" si="133"/>
        <v>0</v>
      </c>
      <c r="N201" s="317">
        <f t="shared" si="168"/>
        <v>0</v>
      </c>
      <c r="O201" s="317">
        <f t="shared" si="169"/>
        <v>0</v>
      </c>
      <c r="P201" s="317">
        <f t="shared" si="134"/>
        <v>0</v>
      </c>
      <c r="Q201" s="317">
        <f t="shared" si="135"/>
        <v>0</v>
      </c>
      <c r="R201" s="317">
        <f t="shared" si="136"/>
        <v>0</v>
      </c>
      <c r="S201" s="317">
        <f t="shared" si="137"/>
        <v>0</v>
      </c>
      <c r="T201" s="317">
        <f t="shared" si="170"/>
        <v>0</v>
      </c>
      <c r="U201" s="317">
        <f t="shared" si="171"/>
        <v>0</v>
      </c>
      <c r="V201" s="317">
        <f t="shared" si="138"/>
        <v>0</v>
      </c>
      <c r="W201" s="317">
        <f t="shared" si="139"/>
        <v>0</v>
      </c>
      <c r="X201" s="317">
        <f t="shared" si="140"/>
        <v>0</v>
      </c>
      <c r="Y201" s="317">
        <f t="shared" si="141"/>
        <v>0</v>
      </c>
      <c r="Z201" s="317">
        <f t="shared" si="142"/>
        <v>0</v>
      </c>
      <c r="AA201" s="317">
        <f t="shared" si="143"/>
        <v>0</v>
      </c>
      <c r="AB201" s="317">
        <f t="shared" si="144"/>
        <v>0</v>
      </c>
      <c r="AC201" s="317">
        <f t="shared" si="145"/>
        <v>0</v>
      </c>
      <c r="AD201" s="317">
        <f t="shared" si="146"/>
        <v>0</v>
      </c>
      <c r="AE201" s="317">
        <f t="shared" si="147"/>
        <v>0</v>
      </c>
      <c r="AF201" s="317">
        <f t="shared" si="172"/>
        <v>0</v>
      </c>
      <c r="AG201" s="317">
        <f t="shared" si="173"/>
        <v>0</v>
      </c>
      <c r="AH201" s="317">
        <f t="shared" si="148"/>
        <v>0</v>
      </c>
      <c r="AI201" s="317">
        <f t="shared" si="149"/>
        <v>0</v>
      </c>
      <c r="AJ201" s="317">
        <f t="shared" si="150"/>
        <v>0</v>
      </c>
      <c r="AK201" s="317">
        <f t="shared" si="151"/>
        <v>0</v>
      </c>
      <c r="AL201" s="317">
        <f t="shared" si="152"/>
        <v>0</v>
      </c>
      <c r="AM201" s="317">
        <f t="shared" si="153"/>
        <v>0</v>
      </c>
      <c r="AN201" s="317">
        <f t="shared" si="154"/>
        <v>0</v>
      </c>
      <c r="AO201" s="317">
        <f t="shared" si="155"/>
        <v>0</v>
      </c>
      <c r="AP201" s="317">
        <f t="shared" si="156"/>
        <v>0</v>
      </c>
      <c r="AQ201" s="317">
        <f t="shared" si="157"/>
        <v>0</v>
      </c>
      <c r="AR201" s="317">
        <f t="shared" si="158"/>
        <v>0</v>
      </c>
      <c r="AS201" s="317">
        <f t="shared" si="159"/>
        <v>0</v>
      </c>
      <c r="AT201" s="317">
        <f t="shared" si="160"/>
        <v>0</v>
      </c>
      <c r="AU201" s="317">
        <f t="shared" si="161"/>
        <v>0</v>
      </c>
      <c r="AV201" s="317">
        <f t="shared" si="162"/>
        <v>0</v>
      </c>
      <c r="AW201" s="317">
        <f t="shared" si="163"/>
        <v>0</v>
      </c>
      <c r="AX201" s="317">
        <f t="shared" si="164"/>
        <v>0</v>
      </c>
      <c r="AY201" s="317">
        <f t="shared" si="165"/>
        <v>0</v>
      </c>
      <c r="AZ201" s="317">
        <f t="shared" si="166"/>
        <v>0</v>
      </c>
      <c r="BA201" s="317">
        <f t="shared" si="167"/>
        <v>0</v>
      </c>
    </row>
    <row r="202" spans="1:53" s="314" customFormat="1" ht="16.5" customHeight="1">
      <c r="A202" s="63" t="str">
        <f t="array" ref="A202">IF(C202&lt;&gt;0,SUM(($C$11:C202&lt;&gt;0)*1),"")</f>
        <v/>
      </c>
      <c r="B202" s="315"/>
      <c r="C202" s="315"/>
      <c r="D202" s="315"/>
      <c r="E202" s="432"/>
      <c r="F202" s="371"/>
      <c r="G202" s="373"/>
      <c r="H202" s="373"/>
      <c r="I202" s="63" t="str">
        <f t="shared" si="129"/>
        <v/>
      </c>
      <c r="J202" s="317">
        <f t="shared" si="130"/>
        <v>0</v>
      </c>
      <c r="K202" s="317">
        <f t="shared" si="131"/>
        <v>0</v>
      </c>
      <c r="L202" s="317">
        <f t="shared" si="132"/>
        <v>0</v>
      </c>
      <c r="M202" s="317">
        <f t="shared" si="133"/>
        <v>0</v>
      </c>
      <c r="N202" s="317">
        <f t="shared" si="168"/>
        <v>0</v>
      </c>
      <c r="O202" s="317">
        <f t="shared" si="169"/>
        <v>0</v>
      </c>
      <c r="P202" s="317">
        <f t="shared" si="134"/>
        <v>0</v>
      </c>
      <c r="Q202" s="317">
        <f t="shared" si="135"/>
        <v>0</v>
      </c>
      <c r="R202" s="317">
        <f t="shared" si="136"/>
        <v>0</v>
      </c>
      <c r="S202" s="317">
        <f t="shared" si="137"/>
        <v>0</v>
      </c>
      <c r="T202" s="317">
        <f t="shared" si="170"/>
        <v>0</v>
      </c>
      <c r="U202" s="317">
        <f t="shared" si="171"/>
        <v>0</v>
      </c>
      <c r="V202" s="317">
        <f t="shared" si="138"/>
        <v>0</v>
      </c>
      <c r="W202" s="317">
        <f t="shared" si="139"/>
        <v>0</v>
      </c>
      <c r="X202" s="317">
        <f t="shared" si="140"/>
        <v>0</v>
      </c>
      <c r="Y202" s="317">
        <f t="shared" si="141"/>
        <v>0</v>
      </c>
      <c r="Z202" s="317">
        <f t="shared" si="142"/>
        <v>0</v>
      </c>
      <c r="AA202" s="317">
        <f t="shared" si="143"/>
        <v>0</v>
      </c>
      <c r="AB202" s="317">
        <f t="shared" si="144"/>
        <v>0</v>
      </c>
      <c r="AC202" s="317">
        <f t="shared" si="145"/>
        <v>0</v>
      </c>
      <c r="AD202" s="317">
        <f t="shared" si="146"/>
        <v>0</v>
      </c>
      <c r="AE202" s="317">
        <f t="shared" si="147"/>
        <v>0</v>
      </c>
      <c r="AF202" s="317">
        <f t="shared" si="172"/>
        <v>0</v>
      </c>
      <c r="AG202" s="317">
        <f t="shared" si="173"/>
        <v>0</v>
      </c>
      <c r="AH202" s="317">
        <f t="shared" si="148"/>
        <v>0</v>
      </c>
      <c r="AI202" s="317">
        <f t="shared" si="149"/>
        <v>0</v>
      </c>
      <c r="AJ202" s="317">
        <f t="shared" si="150"/>
        <v>0</v>
      </c>
      <c r="AK202" s="317">
        <f t="shared" si="151"/>
        <v>0</v>
      </c>
      <c r="AL202" s="317">
        <f t="shared" si="152"/>
        <v>0</v>
      </c>
      <c r="AM202" s="317">
        <f t="shared" si="153"/>
        <v>0</v>
      </c>
      <c r="AN202" s="317">
        <f t="shared" si="154"/>
        <v>0</v>
      </c>
      <c r="AO202" s="317">
        <f t="shared" si="155"/>
        <v>0</v>
      </c>
      <c r="AP202" s="317">
        <f t="shared" si="156"/>
        <v>0</v>
      </c>
      <c r="AQ202" s="317">
        <f t="shared" si="157"/>
        <v>0</v>
      </c>
      <c r="AR202" s="317">
        <f t="shared" si="158"/>
        <v>0</v>
      </c>
      <c r="AS202" s="317">
        <f t="shared" si="159"/>
        <v>0</v>
      </c>
      <c r="AT202" s="317">
        <f t="shared" si="160"/>
        <v>0</v>
      </c>
      <c r="AU202" s="317">
        <f t="shared" si="161"/>
        <v>0</v>
      </c>
      <c r="AV202" s="317">
        <f t="shared" si="162"/>
        <v>0</v>
      </c>
      <c r="AW202" s="317">
        <f t="shared" si="163"/>
        <v>0</v>
      </c>
      <c r="AX202" s="317">
        <f t="shared" si="164"/>
        <v>0</v>
      </c>
      <c r="AY202" s="317">
        <f t="shared" si="165"/>
        <v>0</v>
      </c>
      <c r="AZ202" s="317">
        <f t="shared" si="166"/>
        <v>0</v>
      </c>
      <c r="BA202" s="317">
        <f t="shared" si="167"/>
        <v>0</v>
      </c>
    </row>
    <row r="203" spans="1:53" s="314" customFormat="1" ht="16.5" customHeight="1">
      <c r="A203" s="63" t="str">
        <f t="array" ref="A203">IF(C203&lt;&gt;0,SUM(($C$11:C203&lt;&gt;0)*1),"")</f>
        <v/>
      </c>
      <c r="B203" s="315"/>
      <c r="C203" s="315"/>
      <c r="D203" s="315"/>
      <c r="E203" s="432"/>
      <c r="F203" s="371"/>
      <c r="G203" s="373"/>
      <c r="H203" s="373"/>
      <c r="I203" s="63" t="str">
        <f t="shared" si="129"/>
        <v/>
      </c>
      <c r="J203" s="317">
        <f t="shared" si="130"/>
        <v>0</v>
      </c>
      <c r="K203" s="317">
        <f t="shared" si="131"/>
        <v>0</v>
      </c>
      <c r="L203" s="317">
        <f t="shared" si="132"/>
        <v>0</v>
      </c>
      <c r="M203" s="317">
        <f t="shared" si="133"/>
        <v>0</v>
      </c>
      <c r="N203" s="317">
        <f t="shared" si="168"/>
        <v>0</v>
      </c>
      <c r="O203" s="317">
        <f t="shared" si="169"/>
        <v>0</v>
      </c>
      <c r="P203" s="317">
        <f t="shared" si="134"/>
        <v>0</v>
      </c>
      <c r="Q203" s="317">
        <f t="shared" si="135"/>
        <v>0</v>
      </c>
      <c r="R203" s="317">
        <f t="shared" si="136"/>
        <v>0</v>
      </c>
      <c r="S203" s="317">
        <f t="shared" si="137"/>
        <v>0</v>
      </c>
      <c r="T203" s="317">
        <f t="shared" si="170"/>
        <v>0</v>
      </c>
      <c r="U203" s="317">
        <f t="shared" si="171"/>
        <v>0</v>
      </c>
      <c r="V203" s="317">
        <f t="shared" si="138"/>
        <v>0</v>
      </c>
      <c r="W203" s="317">
        <f t="shared" si="139"/>
        <v>0</v>
      </c>
      <c r="X203" s="317">
        <f t="shared" si="140"/>
        <v>0</v>
      </c>
      <c r="Y203" s="317">
        <f t="shared" si="141"/>
        <v>0</v>
      </c>
      <c r="Z203" s="317">
        <f t="shared" si="142"/>
        <v>0</v>
      </c>
      <c r="AA203" s="317">
        <f t="shared" si="143"/>
        <v>0</v>
      </c>
      <c r="AB203" s="317">
        <f t="shared" si="144"/>
        <v>0</v>
      </c>
      <c r="AC203" s="317">
        <f t="shared" si="145"/>
        <v>0</v>
      </c>
      <c r="AD203" s="317">
        <f t="shared" si="146"/>
        <v>0</v>
      </c>
      <c r="AE203" s="317">
        <f t="shared" si="147"/>
        <v>0</v>
      </c>
      <c r="AF203" s="317">
        <f t="shared" si="172"/>
        <v>0</v>
      </c>
      <c r="AG203" s="317">
        <f t="shared" si="173"/>
        <v>0</v>
      </c>
      <c r="AH203" s="317">
        <f t="shared" si="148"/>
        <v>0</v>
      </c>
      <c r="AI203" s="317">
        <f t="shared" si="149"/>
        <v>0</v>
      </c>
      <c r="AJ203" s="317">
        <f t="shared" si="150"/>
        <v>0</v>
      </c>
      <c r="AK203" s="317">
        <f t="shared" si="151"/>
        <v>0</v>
      </c>
      <c r="AL203" s="317">
        <f t="shared" si="152"/>
        <v>0</v>
      </c>
      <c r="AM203" s="317">
        <f t="shared" si="153"/>
        <v>0</v>
      </c>
      <c r="AN203" s="317">
        <f t="shared" si="154"/>
        <v>0</v>
      </c>
      <c r="AO203" s="317">
        <f t="shared" si="155"/>
        <v>0</v>
      </c>
      <c r="AP203" s="317">
        <f t="shared" si="156"/>
        <v>0</v>
      </c>
      <c r="AQ203" s="317">
        <f t="shared" si="157"/>
        <v>0</v>
      </c>
      <c r="AR203" s="317">
        <f t="shared" si="158"/>
        <v>0</v>
      </c>
      <c r="AS203" s="317">
        <f t="shared" si="159"/>
        <v>0</v>
      </c>
      <c r="AT203" s="317">
        <f t="shared" si="160"/>
        <v>0</v>
      </c>
      <c r="AU203" s="317">
        <f t="shared" si="161"/>
        <v>0</v>
      </c>
      <c r="AV203" s="317">
        <f t="shared" si="162"/>
        <v>0</v>
      </c>
      <c r="AW203" s="317">
        <f t="shared" si="163"/>
        <v>0</v>
      </c>
      <c r="AX203" s="317">
        <f t="shared" si="164"/>
        <v>0</v>
      </c>
      <c r="AY203" s="317">
        <f t="shared" si="165"/>
        <v>0</v>
      </c>
      <c r="AZ203" s="317">
        <f t="shared" si="166"/>
        <v>0</v>
      </c>
      <c r="BA203" s="317">
        <f t="shared" si="167"/>
        <v>0</v>
      </c>
    </row>
    <row r="204" spans="1:53" s="314" customFormat="1" ht="16.5" customHeight="1">
      <c r="A204" s="63" t="str">
        <f t="array" ref="A204">IF(C204&lt;&gt;0,SUM(($C$11:C204&lt;&gt;0)*1),"")</f>
        <v/>
      </c>
      <c r="B204" s="315"/>
      <c r="C204" s="315"/>
      <c r="D204" s="315"/>
      <c r="E204" s="432"/>
      <c r="F204" s="371"/>
      <c r="G204" s="373"/>
      <c r="H204" s="373"/>
      <c r="I204" s="63" t="str">
        <f t="shared" si="129"/>
        <v/>
      </c>
      <c r="J204" s="317">
        <f t="shared" si="130"/>
        <v>0</v>
      </c>
      <c r="K204" s="317">
        <f t="shared" si="131"/>
        <v>0</v>
      </c>
      <c r="L204" s="317">
        <f t="shared" si="132"/>
        <v>0</v>
      </c>
      <c r="M204" s="317">
        <f t="shared" si="133"/>
        <v>0</v>
      </c>
      <c r="N204" s="317">
        <f t="shared" ref="N204:N267" si="174">IF($G204="1122",$F204,0)</f>
        <v>0</v>
      </c>
      <c r="O204" s="317">
        <f t="shared" ref="O204:O267" si="175">IF($H204="1122",$F204,0)</f>
        <v>0</v>
      </c>
      <c r="P204" s="317">
        <f t="shared" si="134"/>
        <v>0</v>
      </c>
      <c r="Q204" s="317">
        <f t="shared" si="135"/>
        <v>0</v>
      </c>
      <c r="R204" s="317">
        <f t="shared" si="136"/>
        <v>0</v>
      </c>
      <c r="S204" s="317">
        <f t="shared" si="137"/>
        <v>0</v>
      </c>
      <c r="T204" s="317">
        <f t="shared" ref="T204:T267" si="176">IF($G204="2412",$F204,0)</f>
        <v>0</v>
      </c>
      <c r="U204" s="317">
        <f t="shared" ref="U204:U267" si="177">IF($H204="2412",$F204,0)</f>
        <v>0</v>
      </c>
      <c r="V204" s="317">
        <f t="shared" si="138"/>
        <v>0</v>
      </c>
      <c r="W204" s="317">
        <f t="shared" si="139"/>
        <v>0</v>
      </c>
      <c r="X204" s="317">
        <f t="shared" si="140"/>
        <v>0</v>
      </c>
      <c r="Y204" s="317">
        <f t="shared" si="141"/>
        <v>0</v>
      </c>
      <c r="Z204" s="317">
        <f t="shared" si="142"/>
        <v>0</v>
      </c>
      <c r="AA204" s="317">
        <f t="shared" si="143"/>
        <v>0</v>
      </c>
      <c r="AB204" s="317">
        <f t="shared" si="144"/>
        <v>0</v>
      </c>
      <c r="AC204" s="317">
        <f t="shared" si="145"/>
        <v>0</v>
      </c>
      <c r="AD204" s="317">
        <f t="shared" si="146"/>
        <v>0</v>
      </c>
      <c r="AE204" s="317">
        <f t="shared" si="147"/>
        <v>0</v>
      </c>
      <c r="AF204" s="317">
        <f t="shared" ref="AF204:AF267" si="178">IF($G204="3412",$F204,0)</f>
        <v>0</v>
      </c>
      <c r="AG204" s="317">
        <f t="shared" ref="AG204:AG267" si="179">IF($H204="3412",$F204,0)</f>
        <v>0</v>
      </c>
      <c r="AH204" s="317">
        <f t="shared" si="148"/>
        <v>0</v>
      </c>
      <c r="AI204" s="317">
        <f t="shared" si="149"/>
        <v>0</v>
      </c>
      <c r="AJ204" s="317">
        <f t="shared" si="150"/>
        <v>0</v>
      </c>
      <c r="AK204" s="317">
        <f t="shared" si="151"/>
        <v>0</v>
      </c>
      <c r="AL204" s="317">
        <f t="shared" si="152"/>
        <v>0</v>
      </c>
      <c r="AM204" s="317">
        <f t="shared" si="153"/>
        <v>0</v>
      </c>
      <c r="AN204" s="317">
        <f t="shared" si="154"/>
        <v>0</v>
      </c>
      <c r="AO204" s="317">
        <f t="shared" si="155"/>
        <v>0</v>
      </c>
      <c r="AP204" s="317">
        <f t="shared" si="156"/>
        <v>0</v>
      </c>
      <c r="AQ204" s="317">
        <f t="shared" si="157"/>
        <v>0</v>
      </c>
      <c r="AR204" s="317">
        <f t="shared" si="158"/>
        <v>0</v>
      </c>
      <c r="AS204" s="317">
        <f t="shared" si="159"/>
        <v>0</v>
      </c>
      <c r="AT204" s="317">
        <f t="shared" si="160"/>
        <v>0</v>
      </c>
      <c r="AU204" s="317">
        <f t="shared" si="161"/>
        <v>0</v>
      </c>
      <c r="AV204" s="317">
        <f t="shared" si="162"/>
        <v>0</v>
      </c>
      <c r="AW204" s="317">
        <f t="shared" si="163"/>
        <v>0</v>
      </c>
      <c r="AX204" s="317">
        <f t="shared" si="164"/>
        <v>0</v>
      </c>
      <c r="AY204" s="317">
        <f t="shared" si="165"/>
        <v>0</v>
      </c>
      <c r="AZ204" s="317">
        <f t="shared" si="166"/>
        <v>0</v>
      </c>
      <c r="BA204" s="317">
        <f t="shared" si="167"/>
        <v>0</v>
      </c>
    </row>
    <row r="205" spans="1:53" s="314" customFormat="1" ht="16.5" customHeight="1">
      <c r="A205" s="63" t="str">
        <f t="array" ref="A205">IF(C205&lt;&gt;0,SUM(($C$11:C205&lt;&gt;0)*1),"")</f>
        <v/>
      </c>
      <c r="B205" s="315"/>
      <c r="C205" s="315"/>
      <c r="D205" s="315"/>
      <c r="E205" s="432"/>
      <c r="F205" s="371"/>
      <c r="G205" s="373"/>
      <c r="H205" s="373"/>
      <c r="I205" s="63" t="str">
        <f t="shared" si="129"/>
        <v/>
      </c>
      <c r="J205" s="317">
        <f t="shared" si="130"/>
        <v>0</v>
      </c>
      <c r="K205" s="317">
        <f t="shared" si="131"/>
        <v>0</v>
      </c>
      <c r="L205" s="317">
        <f t="shared" si="132"/>
        <v>0</v>
      </c>
      <c r="M205" s="317">
        <f t="shared" si="133"/>
        <v>0</v>
      </c>
      <c r="N205" s="317">
        <f t="shared" si="174"/>
        <v>0</v>
      </c>
      <c r="O205" s="317">
        <f t="shared" si="175"/>
        <v>0</v>
      </c>
      <c r="P205" s="317">
        <f t="shared" si="134"/>
        <v>0</v>
      </c>
      <c r="Q205" s="317">
        <f t="shared" si="135"/>
        <v>0</v>
      </c>
      <c r="R205" s="317">
        <f t="shared" si="136"/>
        <v>0</v>
      </c>
      <c r="S205" s="317">
        <f t="shared" si="137"/>
        <v>0</v>
      </c>
      <c r="T205" s="317">
        <f t="shared" si="176"/>
        <v>0</v>
      </c>
      <c r="U205" s="317">
        <f t="shared" si="177"/>
        <v>0</v>
      </c>
      <c r="V205" s="317">
        <f t="shared" si="138"/>
        <v>0</v>
      </c>
      <c r="W205" s="317">
        <f t="shared" si="139"/>
        <v>0</v>
      </c>
      <c r="X205" s="317">
        <f t="shared" si="140"/>
        <v>0</v>
      </c>
      <c r="Y205" s="317">
        <f t="shared" si="141"/>
        <v>0</v>
      </c>
      <c r="Z205" s="317">
        <f t="shared" si="142"/>
        <v>0</v>
      </c>
      <c r="AA205" s="317">
        <f t="shared" si="143"/>
        <v>0</v>
      </c>
      <c r="AB205" s="317">
        <f t="shared" si="144"/>
        <v>0</v>
      </c>
      <c r="AC205" s="317">
        <f t="shared" si="145"/>
        <v>0</v>
      </c>
      <c r="AD205" s="317">
        <f t="shared" si="146"/>
        <v>0</v>
      </c>
      <c r="AE205" s="317">
        <f t="shared" si="147"/>
        <v>0</v>
      </c>
      <c r="AF205" s="317">
        <f t="shared" si="178"/>
        <v>0</v>
      </c>
      <c r="AG205" s="317">
        <f t="shared" si="179"/>
        <v>0</v>
      </c>
      <c r="AH205" s="317">
        <f t="shared" si="148"/>
        <v>0</v>
      </c>
      <c r="AI205" s="317">
        <f t="shared" si="149"/>
        <v>0</v>
      </c>
      <c r="AJ205" s="317">
        <f t="shared" si="150"/>
        <v>0</v>
      </c>
      <c r="AK205" s="317">
        <f t="shared" si="151"/>
        <v>0</v>
      </c>
      <c r="AL205" s="317">
        <f t="shared" si="152"/>
        <v>0</v>
      </c>
      <c r="AM205" s="317">
        <f t="shared" si="153"/>
        <v>0</v>
      </c>
      <c r="AN205" s="317">
        <f t="shared" si="154"/>
        <v>0</v>
      </c>
      <c r="AO205" s="317">
        <f t="shared" si="155"/>
        <v>0</v>
      </c>
      <c r="AP205" s="317">
        <f t="shared" si="156"/>
        <v>0</v>
      </c>
      <c r="AQ205" s="317">
        <f t="shared" si="157"/>
        <v>0</v>
      </c>
      <c r="AR205" s="317">
        <f t="shared" si="158"/>
        <v>0</v>
      </c>
      <c r="AS205" s="317">
        <f t="shared" si="159"/>
        <v>0</v>
      </c>
      <c r="AT205" s="317">
        <f t="shared" si="160"/>
        <v>0</v>
      </c>
      <c r="AU205" s="317">
        <f t="shared" si="161"/>
        <v>0</v>
      </c>
      <c r="AV205" s="317">
        <f t="shared" si="162"/>
        <v>0</v>
      </c>
      <c r="AW205" s="317">
        <f t="shared" si="163"/>
        <v>0</v>
      </c>
      <c r="AX205" s="317">
        <f t="shared" si="164"/>
        <v>0</v>
      </c>
      <c r="AY205" s="317">
        <f t="shared" si="165"/>
        <v>0</v>
      </c>
      <c r="AZ205" s="317">
        <f t="shared" si="166"/>
        <v>0</v>
      </c>
      <c r="BA205" s="317">
        <f t="shared" si="167"/>
        <v>0</v>
      </c>
    </row>
    <row r="206" spans="1:53" s="314" customFormat="1" ht="16.5" customHeight="1">
      <c r="A206" s="63" t="str">
        <f t="array" ref="A206">IF(C206&lt;&gt;0,SUM(($C$11:C206&lt;&gt;0)*1),"")</f>
        <v/>
      </c>
      <c r="B206" s="315"/>
      <c r="C206" s="315"/>
      <c r="D206" s="315"/>
      <c r="E206" s="432"/>
      <c r="F206" s="371"/>
      <c r="G206" s="373"/>
      <c r="H206" s="373"/>
      <c r="I206" s="63" t="str">
        <f t="shared" si="129"/>
        <v/>
      </c>
      <c r="J206" s="317">
        <f t="shared" si="130"/>
        <v>0</v>
      </c>
      <c r="K206" s="317">
        <f t="shared" si="131"/>
        <v>0</v>
      </c>
      <c r="L206" s="317">
        <f t="shared" si="132"/>
        <v>0</v>
      </c>
      <c r="M206" s="317">
        <f t="shared" si="133"/>
        <v>0</v>
      </c>
      <c r="N206" s="317">
        <f t="shared" si="174"/>
        <v>0</v>
      </c>
      <c r="O206" s="317">
        <f t="shared" si="175"/>
        <v>0</v>
      </c>
      <c r="P206" s="317">
        <f t="shared" si="134"/>
        <v>0</v>
      </c>
      <c r="Q206" s="317">
        <f t="shared" si="135"/>
        <v>0</v>
      </c>
      <c r="R206" s="317">
        <f t="shared" si="136"/>
        <v>0</v>
      </c>
      <c r="S206" s="317">
        <f t="shared" si="137"/>
        <v>0</v>
      </c>
      <c r="T206" s="317">
        <f t="shared" si="176"/>
        <v>0</v>
      </c>
      <c r="U206" s="317">
        <f t="shared" si="177"/>
        <v>0</v>
      </c>
      <c r="V206" s="317">
        <f t="shared" si="138"/>
        <v>0</v>
      </c>
      <c r="W206" s="317">
        <f t="shared" si="139"/>
        <v>0</v>
      </c>
      <c r="X206" s="317">
        <f t="shared" si="140"/>
        <v>0</v>
      </c>
      <c r="Y206" s="317">
        <f t="shared" si="141"/>
        <v>0</v>
      </c>
      <c r="Z206" s="317">
        <f t="shared" si="142"/>
        <v>0</v>
      </c>
      <c r="AA206" s="317">
        <f t="shared" si="143"/>
        <v>0</v>
      </c>
      <c r="AB206" s="317">
        <f t="shared" si="144"/>
        <v>0</v>
      </c>
      <c r="AC206" s="317">
        <f t="shared" si="145"/>
        <v>0</v>
      </c>
      <c r="AD206" s="317">
        <f t="shared" si="146"/>
        <v>0</v>
      </c>
      <c r="AE206" s="317">
        <f t="shared" si="147"/>
        <v>0</v>
      </c>
      <c r="AF206" s="317">
        <f t="shared" si="178"/>
        <v>0</v>
      </c>
      <c r="AG206" s="317">
        <f t="shared" si="179"/>
        <v>0</v>
      </c>
      <c r="AH206" s="317">
        <f t="shared" si="148"/>
        <v>0</v>
      </c>
      <c r="AI206" s="317">
        <f t="shared" si="149"/>
        <v>0</v>
      </c>
      <c r="AJ206" s="317">
        <f t="shared" si="150"/>
        <v>0</v>
      </c>
      <c r="AK206" s="317">
        <f t="shared" si="151"/>
        <v>0</v>
      </c>
      <c r="AL206" s="317">
        <f t="shared" si="152"/>
        <v>0</v>
      </c>
      <c r="AM206" s="317">
        <f t="shared" si="153"/>
        <v>0</v>
      </c>
      <c r="AN206" s="317">
        <f t="shared" si="154"/>
        <v>0</v>
      </c>
      <c r="AO206" s="317">
        <f t="shared" si="155"/>
        <v>0</v>
      </c>
      <c r="AP206" s="317">
        <f t="shared" si="156"/>
        <v>0</v>
      </c>
      <c r="AQ206" s="317">
        <f t="shared" si="157"/>
        <v>0</v>
      </c>
      <c r="AR206" s="317">
        <f t="shared" si="158"/>
        <v>0</v>
      </c>
      <c r="AS206" s="317">
        <f t="shared" si="159"/>
        <v>0</v>
      </c>
      <c r="AT206" s="317">
        <f t="shared" si="160"/>
        <v>0</v>
      </c>
      <c r="AU206" s="317">
        <f t="shared" si="161"/>
        <v>0</v>
      </c>
      <c r="AV206" s="317">
        <f t="shared" si="162"/>
        <v>0</v>
      </c>
      <c r="AW206" s="317">
        <f t="shared" si="163"/>
        <v>0</v>
      </c>
      <c r="AX206" s="317">
        <f t="shared" si="164"/>
        <v>0</v>
      </c>
      <c r="AY206" s="317">
        <f t="shared" si="165"/>
        <v>0</v>
      </c>
      <c r="AZ206" s="317">
        <f t="shared" si="166"/>
        <v>0</v>
      </c>
      <c r="BA206" s="317">
        <f t="shared" si="167"/>
        <v>0</v>
      </c>
    </row>
    <row r="207" spans="1:53" s="314" customFormat="1" ht="16.5" customHeight="1">
      <c r="A207" s="63" t="str">
        <f t="array" ref="A207">IF(C207&lt;&gt;0,SUM(($C$11:C207&lt;&gt;0)*1),"")</f>
        <v/>
      </c>
      <c r="B207" s="315"/>
      <c r="C207" s="315"/>
      <c r="D207" s="315"/>
      <c r="E207" s="432"/>
      <c r="F207" s="371"/>
      <c r="G207" s="373"/>
      <c r="H207" s="373"/>
      <c r="I207" s="63" t="str">
        <f t="shared" ref="I207:I240" si="180">A207</f>
        <v/>
      </c>
      <c r="J207" s="317">
        <f t="shared" ref="J207:J270" si="181">IF($G207="1111",$F207,0)</f>
        <v>0</v>
      </c>
      <c r="K207" s="317">
        <f t="shared" ref="K207:K270" si="182">IF($H207="1111",$F207,0)</f>
        <v>0</v>
      </c>
      <c r="L207" s="317">
        <f t="shared" si="132"/>
        <v>0</v>
      </c>
      <c r="M207" s="317">
        <f t="shared" si="133"/>
        <v>0</v>
      </c>
      <c r="N207" s="317">
        <f t="shared" si="174"/>
        <v>0</v>
      </c>
      <c r="O207" s="317">
        <f t="shared" si="175"/>
        <v>0</v>
      </c>
      <c r="P207" s="317">
        <f t="shared" si="134"/>
        <v>0</v>
      </c>
      <c r="Q207" s="317">
        <f t="shared" si="135"/>
        <v>0</v>
      </c>
      <c r="R207" s="317">
        <f t="shared" si="136"/>
        <v>0</v>
      </c>
      <c r="S207" s="317">
        <f t="shared" si="137"/>
        <v>0</v>
      </c>
      <c r="T207" s="317">
        <f t="shared" si="176"/>
        <v>0</v>
      </c>
      <c r="U207" s="317">
        <f t="shared" si="177"/>
        <v>0</v>
      </c>
      <c r="V207" s="317">
        <f t="shared" si="138"/>
        <v>0</v>
      </c>
      <c r="W207" s="317">
        <f t="shared" si="139"/>
        <v>0</v>
      </c>
      <c r="X207" s="317">
        <f t="shared" si="140"/>
        <v>0</v>
      </c>
      <c r="Y207" s="317">
        <f t="shared" si="141"/>
        <v>0</v>
      </c>
      <c r="Z207" s="317">
        <f t="shared" ref="Z207:Z270" si="183">IF($G207="33382",$F207,0)</f>
        <v>0</v>
      </c>
      <c r="AA207" s="317">
        <f t="shared" ref="AA207:AA270" si="184">IF($H207="33382",$F207,0)</f>
        <v>0</v>
      </c>
      <c r="AB207" s="317">
        <f t="shared" si="144"/>
        <v>0</v>
      </c>
      <c r="AC207" s="317">
        <f t="shared" si="145"/>
        <v>0</v>
      </c>
      <c r="AD207" s="317">
        <f t="shared" ref="AD207:AD270" si="185">IF($G207="3411",$F207,0)</f>
        <v>0</v>
      </c>
      <c r="AE207" s="317">
        <f t="shared" ref="AE207:AE270" si="186">IF($H207="3411",$F207,0)</f>
        <v>0</v>
      </c>
      <c r="AF207" s="317">
        <f t="shared" si="178"/>
        <v>0</v>
      </c>
      <c r="AG207" s="317">
        <f t="shared" si="179"/>
        <v>0</v>
      </c>
      <c r="AH207" s="317">
        <f t="shared" si="148"/>
        <v>0</v>
      </c>
      <c r="AI207" s="317">
        <f t="shared" si="149"/>
        <v>0</v>
      </c>
      <c r="AJ207" s="317">
        <f t="shared" si="150"/>
        <v>0</v>
      </c>
      <c r="AK207" s="317">
        <f t="shared" si="151"/>
        <v>0</v>
      </c>
      <c r="AL207" s="317">
        <f t="shared" si="152"/>
        <v>0</v>
      </c>
      <c r="AM207" s="317">
        <f t="shared" si="153"/>
        <v>0</v>
      </c>
      <c r="AN207" s="317">
        <f t="shared" si="154"/>
        <v>0</v>
      </c>
      <c r="AO207" s="317">
        <f t="shared" si="155"/>
        <v>0</v>
      </c>
      <c r="AP207" s="317">
        <f t="shared" si="156"/>
        <v>0</v>
      </c>
      <c r="AQ207" s="317">
        <f t="shared" si="157"/>
        <v>0</v>
      </c>
      <c r="AR207" s="317">
        <f t="shared" ref="AR207:AR270" si="187">IF($G207="642",$F207,0)</f>
        <v>0</v>
      </c>
      <c r="AS207" s="317">
        <f t="shared" ref="AS207:AS270" si="188">IF($H207="642",$F207,0)</f>
        <v>0</v>
      </c>
      <c r="AT207" s="317">
        <f t="shared" si="160"/>
        <v>0</v>
      </c>
      <c r="AU207" s="317">
        <f t="shared" si="161"/>
        <v>0</v>
      </c>
      <c r="AV207" s="317">
        <f t="shared" si="162"/>
        <v>0</v>
      </c>
      <c r="AW207" s="317">
        <f t="shared" si="163"/>
        <v>0</v>
      </c>
      <c r="AX207" s="317">
        <f t="shared" ref="AX207:AX270" si="189">IF($G207="821",$F207,0)</f>
        <v>0</v>
      </c>
      <c r="AY207" s="317">
        <f t="shared" ref="AY207:AY270" si="190">IF($H207="821",$F207,0)</f>
        <v>0</v>
      </c>
      <c r="AZ207" s="317">
        <f t="shared" ref="AZ207:AZ270" si="191">IF($G207="911",$F207,0)</f>
        <v>0</v>
      </c>
      <c r="BA207" s="317">
        <f t="shared" ref="BA207:BA270" si="192">IF($H207="911",$F207,0)</f>
        <v>0</v>
      </c>
    </row>
    <row r="208" spans="1:53" s="314" customFormat="1" ht="16.5" customHeight="1">
      <c r="A208" s="63" t="str">
        <f t="array" ref="A208">IF(C208&lt;&gt;0,SUM(($C$11:C208&lt;&gt;0)*1),"")</f>
        <v/>
      </c>
      <c r="B208" s="315"/>
      <c r="C208" s="315"/>
      <c r="D208" s="315"/>
      <c r="E208" s="432"/>
      <c r="F208" s="371"/>
      <c r="G208" s="373"/>
      <c r="H208" s="373"/>
      <c r="I208" s="63" t="str">
        <f t="shared" si="180"/>
        <v/>
      </c>
      <c r="J208" s="317">
        <f t="shared" si="181"/>
        <v>0</v>
      </c>
      <c r="K208" s="317">
        <f t="shared" si="182"/>
        <v>0</v>
      </c>
      <c r="L208" s="317">
        <f t="shared" ref="L208:L271" si="193">IF($G208="1121",$F208,0)</f>
        <v>0</v>
      </c>
      <c r="M208" s="317">
        <f t="shared" ref="M208:M271" si="194">IF($H208="1121",$F208,0)</f>
        <v>0</v>
      </c>
      <c r="N208" s="317">
        <f t="shared" si="174"/>
        <v>0</v>
      </c>
      <c r="O208" s="317">
        <f t="shared" si="175"/>
        <v>0</v>
      </c>
      <c r="P208" s="317">
        <f t="shared" ref="P208:P271" si="195">IF($G208="1331",$F208,0)</f>
        <v>0</v>
      </c>
      <c r="Q208" s="317">
        <f t="shared" ref="Q208:Q271" si="196">IF($H208="1331",$F208,0)</f>
        <v>0</v>
      </c>
      <c r="R208" s="317">
        <f t="shared" ref="R208:R271" si="197">IF($G208="1388",$F208,0)</f>
        <v>0</v>
      </c>
      <c r="S208" s="317">
        <f t="shared" ref="S208:S271" si="198">IF($H208="1388",$F208,0)</f>
        <v>0</v>
      </c>
      <c r="T208" s="317">
        <f t="shared" si="176"/>
        <v>0</v>
      </c>
      <c r="U208" s="317">
        <f t="shared" si="177"/>
        <v>0</v>
      </c>
      <c r="V208" s="317">
        <f t="shared" ref="V208:V271" si="199">IF($G208="331",$F208,0)</f>
        <v>0</v>
      </c>
      <c r="W208" s="317">
        <f t="shared" ref="W208:W271" si="200">IF($H208="331",$F208,0)</f>
        <v>0</v>
      </c>
      <c r="X208" s="317">
        <f t="shared" ref="X208:X271" si="201">IF($G208="3334",$F208,0)</f>
        <v>0</v>
      </c>
      <c r="Y208" s="317">
        <f t="shared" ref="Y208:Y271" si="202">IF($H208="3334",$F208,0)</f>
        <v>0</v>
      </c>
      <c r="Z208" s="317">
        <f t="shared" si="183"/>
        <v>0</v>
      </c>
      <c r="AA208" s="317">
        <f t="shared" si="184"/>
        <v>0</v>
      </c>
      <c r="AB208" s="317">
        <f t="shared" ref="AB208:AB271" si="203">IF($G208="3388",$F208,0)</f>
        <v>0</v>
      </c>
      <c r="AC208" s="317">
        <f t="shared" ref="AC208:AC271" si="204">IF($H208="3388",$F208,0)</f>
        <v>0</v>
      </c>
      <c r="AD208" s="317">
        <f t="shared" si="185"/>
        <v>0</v>
      </c>
      <c r="AE208" s="317">
        <f t="shared" si="186"/>
        <v>0</v>
      </c>
      <c r="AF208" s="317">
        <f t="shared" si="178"/>
        <v>0</v>
      </c>
      <c r="AG208" s="317">
        <f t="shared" si="179"/>
        <v>0</v>
      </c>
      <c r="AH208" s="317">
        <f t="shared" ref="AH208:AH271" si="205">IF($G208="4111",$F208,0)</f>
        <v>0</v>
      </c>
      <c r="AI208" s="317">
        <f t="shared" ref="AI208:AI271" si="206">IF($H208="4111",$F208,0)</f>
        <v>0</v>
      </c>
      <c r="AJ208" s="317">
        <f t="shared" ref="AJ208:AJ271" si="207">IF($G208="4211",$F208,0)</f>
        <v>0</v>
      </c>
      <c r="AK208" s="317">
        <f t="shared" ref="AK208:AK271" si="208">IF($H208="4211",$F208,0)</f>
        <v>0</v>
      </c>
      <c r="AL208" s="317">
        <f t="shared" ref="AL208:AL271" si="209">IF($G208="4212",$F208,0)</f>
        <v>0</v>
      </c>
      <c r="AM208" s="317">
        <f t="shared" ref="AM208:AM271" si="210">IF($H208="4212",$F208,0)</f>
        <v>0</v>
      </c>
      <c r="AN208" s="317">
        <f t="shared" ref="AN208:AN271" si="211">IF($G208="515",$F208,0)</f>
        <v>0</v>
      </c>
      <c r="AO208" s="317">
        <f t="shared" ref="AO208:AO271" si="212">IF($H208="515",$F208,0)</f>
        <v>0</v>
      </c>
      <c r="AP208" s="317">
        <f t="shared" ref="AP208:AP271" si="213">IF($G208="635",$F208,0)</f>
        <v>0</v>
      </c>
      <c r="AQ208" s="317">
        <f t="shared" ref="AQ208:AQ271" si="214">IF($H208="635",$F208,0)</f>
        <v>0</v>
      </c>
      <c r="AR208" s="317">
        <f t="shared" si="187"/>
        <v>0</v>
      </c>
      <c r="AS208" s="317">
        <f t="shared" si="188"/>
        <v>0</v>
      </c>
      <c r="AT208" s="317">
        <f t="shared" ref="AT208:AT271" si="215">IF($G208="711",$F208,0)</f>
        <v>0</v>
      </c>
      <c r="AU208" s="317">
        <f t="shared" ref="AU208:AU271" si="216">IF($H208="711",$F208,0)</f>
        <v>0</v>
      </c>
      <c r="AV208" s="317">
        <f t="shared" ref="AV208:AV271" si="217">IF($G208="811",$F208,0)</f>
        <v>0</v>
      </c>
      <c r="AW208" s="317">
        <f t="shared" ref="AW208:AW271" si="218">IF($H208="811",$F208,0)</f>
        <v>0</v>
      </c>
      <c r="AX208" s="317">
        <f t="shared" si="189"/>
        <v>0</v>
      </c>
      <c r="AY208" s="317">
        <f t="shared" si="190"/>
        <v>0</v>
      </c>
      <c r="AZ208" s="317">
        <f t="shared" si="191"/>
        <v>0</v>
      </c>
      <c r="BA208" s="317">
        <f t="shared" si="192"/>
        <v>0</v>
      </c>
    </row>
    <row r="209" spans="1:53" s="314" customFormat="1" ht="16.5" customHeight="1">
      <c r="A209" s="63" t="str">
        <f t="array" ref="A209">IF(C209&lt;&gt;0,SUM(($C$11:C209&lt;&gt;0)*1),"")</f>
        <v/>
      </c>
      <c r="B209" s="315"/>
      <c r="C209" s="315"/>
      <c r="D209" s="315"/>
      <c r="E209" s="432"/>
      <c r="F209" s="371"/>
      <c r="G209" s="373"/>
      <c r="H209" s="373"/>
      <c r="I209" s="63" t="str">
        <f t="shared" si="180"/>
        <v/>
      </c>
      <c r="J209" s="317">
        <f t="shared" si="181"/>
        <v>0</v>
      </c>
      <c r="K209" s="317">
        <f t="shared" si="182"/>
        <v>0</v>
      </c>
      <c r="L209" s="317">
        <f t="shared" si="193"/>
        <v>0</v>
      </c>
      <c r="M209" s="317">
        <f t="shared" si="194"/>
        <v>0</v>
      </c>
      <c r="N209" s="317">
        <f t="shared" si="174"/>
        <v>0</v>
      </c>
      <c r="O209" s="317">
        <f t="shared" si="175"/>
        <v>0</v>
      </c>
      <c r="P209" s="317">
        <f t="shared" si="195"/>
        <v>0</v>
      </c>
      <c r="Q209" s="317">
        <f t="shared" si="196"/>
        <v>0</v>
      </c>
      <c r="R209" s="317">
        <f t="shared" si="197"/>
        <v>0</v>
      </c>
      <c r="S209" s="317">
        <f t="shared" si="198"/>
        <v>0</v>
      </c>
      <c r="T209" s="317">
        <f t="shared" si="176"/>
        <v>0</v>
      </c>
      <c r="U209" s="317">
        <f t="shared" si="177"/>
        <v>0</v>
      </c>
      <c r="V209" s="317">
        <f t="shared" si="199"/>
        <v>0</v>
      </c>
      <c r="W209" s="317">
        <f t="shared" si="200"/>
        <v>0</v>
      </c>
      <c r="X209" s="317">
        <f t="shared" si="201"/>
        <v>0</v>
      </c>
      <c r="Y209" s="317">
        <f t="shared" si="202"/>
        <v>0</v>
      </c>
      <c r="Z209" s="317">
        <f t="shared" si="183"/>
        <v>0</v>
      </c>
      <c r="AA209" s="317">
        <f t="shared" si="184"/>
        <v>0</v>
      </c>
      <c r="AB209" s="317">
        <f t="shared" si="203"/>
        <v>0</v>
      </c>
      <c r="AC209" s="317">
        <f t="shared" si="204"/>
        <v>0</v>
      </c>
      <c r="AD209" s="317">
        <f t="shared" si="185"/>
        <v>0</v>
      </c>
      <c r="AE209" s="317">
        <f t="shared" si="186"/>
        <v>0</v>
      </c>
      <c r="AF209" s="317">
        <f t="shared" si="178"/>
        <v>0</v>
      </c>
      <c r="AG209" s="317">
        <f t="shared" si="179"/>
        <v>0</v>
      </c>
      <c r="AH209" s="317">
        <f t="shared" si="205"/>
        <v>0</v>
      </c>
      <c r="AI209" s="317">
        <f t="shared" si="206"/>
        <v>0</v>
      </c>
      <c r="AJ209" s="317">
        <f t="shared" si="207"/>
        <v>0</v>
      </c>
      <c r="AK209" s="317">
        <f t="shared" si="208"/>
        <v>0</v>
      </c>
      <c r="AL209" s="317">
        <f t="shared" si="209"/>
        <v>0</v>
      </c>
      <c r="AM209" s="317">
        <f t="shared" si="210"/>
        <v>0</v>
      </c>
      <c r="AN209" s="317">
        <f t="shared" si="211"/>
        <v>0</v>
      </c>
      <c r="AO209" s="317">
        <f t="shared" si="212"/>
        <v>0</v>
      </c>
      <c r="AP209" s="317">
        <f t="shared" si="213"/>
        <v>0</v>
      </c>
      <c r="AQ209" s="317">
        <f t="shared" si="214"/>
        <v>0</v>
      </c>
      <c r="AR209" s="317">
        <f t="shared" si="187"/>
        <v>0</v>
      </c>
      <c r="AS209" s="317">
        <f t="shared" si="188"/>
        <v>0</v>
      </c>
      <c r="AT209" s="317">
        <f t="shared" si="215"/>
        <v>0</v>
      </c>
      <c r="AU209" s="317">
        <f t="shared" si="216"/>
        <v>0</v>
      </c>
      <c r="AV209" s="317">
        <f t="shared" si="217"/>
        <v>0</v>
      </c>
      <c r="AW209" s="317">
        <f t="shared" si="218"/>
        <v>0</v>
      </c>
      <c r="AX209" s="317">
        <f t="shared" si="189"/>
        <v>0</v>
      </c>
      <c r="AY209" s="317">
        <f t="shared" si="190"/>
        <v>0</v>
      </c>
      <c r="AZ209" s="317">
        <f t="shared" si="191"/>
        <v>0</v>
      </c>
      <c r="BA209" s="317">
        <f t="shared" si="192"/>
        <v>0</v>
      </c>
    </row>
    <row r="210" spans="1:53" s="314" customFormat="1" ht="16.5" customHeight="1">
      <c r="A210" s="63" t="str">
        <f t="array" ref="A210">IF(C210&lt;&gt;0,SUM(($C$11:C210&lt;&gt;0)*1),"")</f>
        <v/>
      </c>
      <c r="B210" s="315"/>
      <c r="C210" s="315"/>
      <c r="D210" s="315"/>
      <c r="E210" s="432"/>
      <c r="F210" s="371"/>
      <c r="G210" s="373"/>
      <c r="H210" s="373"/>
      <c r="I210" s="63" t="str">
        <f t="shared" si="180"/>
        <v/>
      </c>
      <c r="J210" s="317">
        <f t="shared" si="181"/>
        <v>0</v>
      </c>
      <c r="K210" s="317">
        <f t="shared" si="182"/>
        <v>0</v>
      </c>
      <c r="L210" s="317">
        <f t="shared" si="193"/>
        <v>0</v>
      </c>
      <c r="M210" s="317">
        <f t="shared" si="194"/>
        <v>0</v>
      </c>
      <c r="N210" s="317">
        <f t="shared" si="174"/>
        <v>0</v>
      </c>
      <c r="O210" s="317">
        <f t="shared" si="175"/>
        <v>0</v>
      </c>
      <c r="P210" s="317">
        <f t="shared" si="195"/>
        <v>0</v>
      </c>
      <c r="Q210" s="317">
        <f t="shared" si="196"/>
        <v>0</v>
      </c>
      <c r="R210" s="317">
        <f t="shared" si="197"/>
        <v>0</v>
      </c>
      <c r="S210" s="317">
        <f t="shared" si="198"/>
        <v>0</v>
      </c>
      <c r="T210" s="317">
        <f t="shared" si="176"/>
        <v>0</v>
      </c>
      <c r="U210" s="317">
        <f t="shared" si="177"/>
        <v>0</v>
      </c>
      <c r="V210" s="317">
        <f t="shared" si="199"/>
        <v>0</v>
      </c>
      <c r="W210" s="317">
        <f t="shared" si="200"/>
        <v>0</v>
      </c>
      <c r="X210" s="317">
        <f t="shared" si="201"/>
        <v>0</v>
      </c>
      <c r="Y210" s="317">
        <f t="shared" si="202"/>
        <v>0</v>
      </c>
      <c r="Z210" s="317">
        <f t="shared" si="183"/>
        <v>0</v>
      </c>
      <c r="AA210" s="317">
        <f t="shared" si="184"/>
        <v>0</v>
      </c>
      <c r="AB210" s="317">
        <f t="shared" si="203"/>
        <v>0</v>
      </c>
      <c r="AC210" s="317">
        <f t="shared" si="204"/>
        <v>0</v>
      </c>
      <c r="AD210" s="317">
        <f t="shared" si="185"/>
        <v>0</v>
      </c>
      <c r="AE210" s="317">
        <f t="shared" si="186"/>
        <v>0</v>
      </c>
      <c r="AF210" s="317">
        <f t="shared" si="178"/>
        <v>0</v>
      </c>
      <c r="AG210" s="317">
        <f t="shared" si="179"/>
        <v>0</v>
      </c>
      <c r="AH210" s="317">
        <f t="shared" si="205"/>
        <v>0</v>
      </c>
      <c r="AI210" s="317">
        <f t="shared" si="206"/>
        <v>0</v>
      </c>
      <c r="AJ210" s="317">
        <f t="shared" si="207"/>
        <v>0</v>
      </c>
      <c r="AK210" s="317">
        <f t="shared" si="208"/>
        <v>0</v>
      </c>
      <c r="AL210" s="317">
        <f t="shared" si="209"/>
        <v>0</v>
      </c>
      <c r="AM210" s="317">
        <f t="shared" si="210"/>
        <v>0</v>
      </c>
      <c r="AN210" s="317">
        <f t="shared" si="211"/>
        <v>0</v>
      </c>
      <c r="AO210" s="317">
        <f t="shared" si="212"/>
        <v>0</v>
      </c>
      <c r="AP210" s="317">
        <f t="shared" si="213"/>
        <v>0</v>
      </c>
      <c r="AQ210" s="317">
        <f t="shared" si="214"/>
        <v>0</v>
      </c>
      <c r="AR210" s="317">
        <f t="shared" si="187"/>
        <v>0</v>
      </c>
      <c r="AS210" s="317">
        <f t="shared" si="188"/>
        <v>0</v>
      </c>
      <c r="AT210" s="317">
        <f t="shared" si="215"/>
        <v>0</v>
      </c>
      <c r="AU210" s="317">
        <f t="shared" si="216"/>
        <v>0</v>
      </c>
      <c r="AV210" s="317">
        <f t="shared" si="217"/>
        <v>0</v>
      </c>
      <c r="AW210" s="317">
        <f t="shared" si="218"/>
        <v>0</v>
      </c>
      <c r="AX210" s="317">
        <f t="shared" si="189"/>
        <v>0</v>
      </c>
      <c r="AY210" s="317">
        <f t="shared" si="190"/>
        <v>0</v>
      </c>
      <c r="AZ210" s="317">
        <f t="shared" si="191"/>
        <v>0</v>
      </c>
      <c r="BA210" s="317">
        <f t="shared" si="192"/>
        <v>0</v>
      </c>
    </row>
    <row r="211" spans="1:53" s="314" customFormat="1" ht="16.5" customHeight="1">
      <c r="A211" s="63" t="str">
        <f t="array" ref="A211">IF(C211&lt;&gt;0,SUM(($C$11:C211&lt;&gt;0)*1),"")</f>
        <v/>
      </c>
      <c r="B211" s="315"/>
      <c r="C211" s="315"/>
      <c r="D211" s="315"/>
      <c r="E211" s="432"/>
      <c r="F211" s="371"/>
      <c r="G211" s="373"/>
      <c r="H211" s="373"/>
      <c r="I211" s="63" t="str">
        <f t="shared" si="180"/>
        <v/>
      </c>
      <c r="J211" s="317">
        <f t="shared" si="181"/>
        <v>0</v>
      </c>
      <c r="K211" s="317">
        <f t="shared" si="182"/>
        <v>0</v>
      </c>
      <c r="L211" s="317">
        <f t="shared" si="193"/>
        <v>0</v>
      </c>
      <c r="M211" s="317">
        <f t="shared" si="194"/>
        <v>0</v>
      </c>
      <c r="N211" s="317">
        <f t="shared" si="174"/>
        <v>0</v>
      </c>
      <c r="O211" s="317">
        <f t="shared" si="175"/>
        <v>0</v>
      </c>
      <c r="P211" s="317">
        <f t="shared" si="195"/>
        <v>0</v>
      </c>
      <c r="Q211" s="317">
        <f t="shared" si="196"/>
        <v>0</v>
      </c>
      <c r="R211" s="317">
        <f t="shared" si="197"/>
        <v>0</v>
      </c>
      <c r="S211" s="317">
        <f t="shared" si="198"/>
        <v>0</v>
      </c>
      <c r="T211" s="317">
        <f t="shared" si="176"/>
        <v>0</v>
      </c>
      <c r="U211" s="317">
        <f t="shared" si="177"/>
        <v>0</v>
      </c>
      <c r="V211" s="317">
        <f t="shared" si="199"/>
        <v>0</v>
      </c>
      <c r="W211" s="317">
        <f t="shared" si="200"/>
        <v>0</v>
      </c>
      <c r="X211" s="317">
        <f t="shared" si="201"/>
        <v>0</v>
      </c>
      <c r="Y211" s="317">
        <f t="shared" si="202"/>
        <v>0</v>
      </c>
      <c r="Z211" s="317">
        <f t="shared" si="183"/>
        <v>0</v>
      </c>
      <c r="AA211" s="317">
        <f t="shared" si="184"/>
        <v>0</v>
      </c>
      <c r="AB211" s="317">
        <f t="shared" si="203"/>
        <v>0</v>
      </c>
      <c r="AC211" s="317">
        <f t="shared" si="204"/>
        <v>0</v>
      </c>
      <c r="AD211" s="317">
        <f t="shared" si="185"/>
        <v>0</v>
      </c>
      <c r="AE211" s="317">
        <f t="shared" si="186"/>
        <v>0</v>
      </c>
      <c r="AF211" s="317">
        <f t="shared" si="178"/>
        <v>0</v>
      </c>
      <c r="AG211" s="317">
        <f t="shared" si="179"/>
        <v>0</v>
      </c>
      <c r="AH211" s="317">
        <f t="shared" si="205"/>
        <v>0</v>
      </c>
      <c r="AI211" s="317">
        <f t="shared" si="206"/>
        <v>0</v>
      </c>
      <c r="AJ211" s="317">
        <f t="shared" si="207"/>
        <v>0</v>
      </c>
      <c r="AK211" s="317">
        <f t="shared" si="208"/>
        <v>0</v>
      </c>
      <c r="AL211" s="317">
        <f t="shared" si="209"/>
        <v>0</v>
      </c>
      <c r="AM211" s="317">
        <f t="shared" si="210"/>
        <v>0</v>
      </c>
      <c r="AN211" s="317">
        <f t="shared" si="211"/>
        <v>0</v>
      </c>
      <c r="AO211" s="317">
        <f t="shared" si="212"/>
        <v>0</v>
      </c>
      <c r="AP211" s="317">
        <f t="shared" si="213"/>
        <v>0</v>
      </c>
      <c r="AQ211" s="317">
        <f t="shared" si="214"/>
        <v>0</v>
      </c>
      <c r="AR211" s="317">
        <f t="shared" si="187"/>
        <v>0</v>
      </c>
      <c r="AS211" s="317">
        <f t="shared" si="188"/>
        <v>0</v>
      </c>
      <c r="AT211" s="317">
        <f t="shared" si="215"/>
        <v>0</v>
      </c>
      <c r="AU211" s="317">
        <f t="shared" si="216"/>
        <v>0</v>
      </c>
      <c r="AV211" s="317">
        <f t="shared" si="217"/>
        <v>0</v>
      </c>
      <c r="AW211" s="317">
        <f t="shared" si="218"/>
        <v>0</v>
      </c>
      <c r="AX211" s="317">
        <f t="shared" si="189"/>
        <v>0</v>
      </c>
      <c r="AY211" s="317">
        <f t="shared" si="190"/>
        <v>0</v>
      </c>
      <c r="AZ211" s="317">
        <f t="shared" si="191"/>
        <v>0</v>
      </c>
      <c r="BA211" s="317">
        <f t="shared" si="192"/>
        <v>0</v>
      </c>
    </row>
    <row r="212" spans="1:53" s="314" customFormat="1" ht="16.5" customHeight="1">
      <c r="A212" s="63" t="str">
        <f t="array" ref="A212">IF(C212&lt;&gt;0,SUM(($C$11:C212&lt;&gt;0)*1),"")</f>
        <v/>
      </c>
      <c r="B212" s="315"/>
      <c r="C212" s="315"/>
      <c r="D212" s="315"/>
      <c r="E212" s="432"/>
      <c r="F212" s="371"/>
      <c r="G212" s="373"/>
      <c r="H212" s="373"/>
      <c r="I212" s="63" t="str">
        <f t="shared" si="180"/>
        <v/>
      </c>
      <c r="J212" s="317">
        <f t="shared" si="181"/>
        <v>0</v>
      </c>
      <c r="K212" s="317">
        <f t="shared" si="182"/>
        <v>0</v>
      </c>
      <c r="L212" s="317">
        <f t="shared" si="193"/>
        <v>0</v>
      </c>
      <c r="M212" s="317">
        <f t="shared" si="194"/>
        <v>0</v>
      </c>
      <c r="N212" s="317">
        <f t="shared" si="174"/>
        <v>0</v>
      </c>
      <c r="O212" s="317">
        <f t="shared" si="175"/>
        <v>0</v>
      </c>
      <c r="P212" s="317">
        <f t="shared" si="195"/>
        <v>0</v>
      </c>
      <c r="Q212" s="317">
        <f t="shared" si="196"/>
        <v>0</v>
      </c>
      <c r="R212" s="317">
        <f t="shared" si="197"/>
        <v>0</v>
      </c>
      <c r="S212" s="317">
        <f t="shared" si="198"/>
        <v>0</v>
      </c>
      <c r="T212" s="317">
        <f t="shared" si="176"/>
        <v>0</v>
      </c>
      <c r="U212" s="317">
        <f t="shared" si="177"/>
        <v>0</v>
      </c>
      <c r="V212" s="317">
        <f t="shared" si="199"/>
        <v>0</v>
      </c>
      <c r="W212" s="317">
        <f t="shared" si="200"/>
        <v>0</v>
      </c>
      <c r="X212" s="317">
        <f t="shared" si="201"/>
        <v>0</v>
      </c>
      <c r="Y212" s="317">
        <f t="shared" si="202"/>
        <v>0</v>
      </c>
      <c r="Z212" s="317">
        <f t="shared" si="183"/>
        <v>0</v>
      </c>
      <c r="AA212" s="317">
        <f t="shared" si="184"/>
        <v>0</v>
      </c>
      <c r="AB212" s="317">
        <f t="shared" si="203"/>
        <v>0</v>
      </c>
      <c r="AC212" s="317">
        <f t="shared" si="204"/>
        <v>0</v>
      </c>
      <c r="AD212" s="317">
        <f t="shared" si="185"/>
        <v>0</v>
      </c>
      <c r="AE212" s="317">
        <f t="shared" si="186"/>
        <v>0</v>
      </c>
      <c r="AF212" s="317">
        <f t="shared" si="178"/>
        <v>0</v>
      </c>
      <c r="AG212" s="317">
        <f t="shared" si="179"/>
        <v>0</v>
      </c>
      <c r="AH212" s="317">
        <f t="shared" si="205"/>
        <v>0</v>
      </c>
      <c r="AI212" s="317">
        <f t="shared" si="206"/>
        <v>0</v>
      </c>
      <c r="AJ212" s="317">
        <f t="shared" si="207"/>
        <v>0</v>
      </c>
      <c r="AK212" s="317">
        <f t="shared" si="208"/>
        <v>0</v>
      </c>
      <c r="AL212" s="317">
        <f t="shared" si="209"/>
        <v>0</v>
      </c>
      <c r="AM212" s="317">
        <f t="shared" si="210"/>
        <v>0</v>
      </c>
      <c r="AN212" s="317">
        <f t="shared" si="211"/>
        <v>0</v>
      </c>
      <c r="AO212" s="317">
        <f t="shared" si="212"/>
        <v>0</v>
      </c>
      <c r="AP212" s="317">
        <f t="shared" si="213"/>
        <v>0</v>
      </c>
      <c r="AQ212" s="317">
        <f t="shared" si="214"/>
        <v>0</v>
      </c>
      <c r="AR212" s="317">
        <f t="shared" si="187"/>
        <v>0</v>
      </c>
      <c r="AS212" s="317">
        <f t="shared" si="188"/>
        <v>0</v>
      </c>
      <c r="AT212" s="317">
        <f t="shared" si="215"/>
        <v>0</v>
      </c>
      <c r="AU212" s="317">
        <f t="shared" si="216"/>
        <v>0</v>
      </c>
      <c r="AV212" s="317">
        <f t="shared" si="217"/>
        <v>0</v>
      </c>
      <c r="AW212" s="317">
        <f t="shared" si="218"/>
        <v>0</v>
      </c>
      <c r="AX212" s="317">
        <f t="shared" si="189"/>
        <v>0</v>
      </c>
      <c r="AY212" s="317">
        <f t="shared" si="190"/>
        <v>0</v>
      </c>
      <c r="AZ212" s="317">
        <f t="shared" si="191"/>
        <v>0</v>
      </c>
      <c r="BA212" s="317">
        <f t="shared" si="192"/>
        <v>0</v>
      </c>
    </row>
    <row r="213" spans="1:53" s="314" customFormat="1" ht="16.5" customHeight="1">
      <c r="A213" s="63" t="str">
        <f t="array" ref="A213">IF(C213&lt;&gt;0,SUM(($C$11:C213&lt;&gt;0)*1),"")</f>
        <v/>
      </c>
      <c r="B213" s="315"/>
      <c r="C213" s="315"/>
      <c r="D213" s="315"/>
      <c r="E213" s="432"/>
      <c r="F213" s="371"/>
      <c r="G213" s="373"/>
      <c r="H213" s="373"/>
      <c r="I213" s="63" t="str">
        <f t="shared" si="180"/>
        <v/>
      </c>
      <c r="J213" s="317">
        <f t="shared" si="181"/>
        <v>0</v>
      </c>
      <c r="K213" s="317">
        <f t="shared" si="182"/>
        <v>0</v>
      </c>
      <c r="L213" s="317">
        <f t="shared" si="193"/>
        <v>0</v>
      </c>
      <c r="M213" s="317">
        <f t="shared" si="194"/>
        <v>0</v>
      </c>
      <c r="N213" s="317">
        <f t="shared" si="174"/>
        <v>0</v>
      </c>
      <c r="O213" s="317">
        <f t="shared" si="175"/>
        <v>0</v>
      </c>
      <c r="P213" s="317">
        <f t="shared" si="195"/>
        <v>0</v>
      </c>
      <c r="Q213" s="317">
        <f t="shared" si="196"/>
        <v>0</v>
      </c>
      <c r="R213" s="317">
        <f t="shared" si="197"/>
        <v>0</v>
      </c>
      <c r="S213" s="317">
        <f t="shared" si="198"/>
        <v>0</v>
      </c>
      <c r="T213" s="317">
        <f t="shared" si="176"/>
        <v>0</v>
      </c>
      <c r="U213" s="317">
        <f t="shared" si="177"/>
        <v>0</v>
      </c>
      <c r="V213" s="317">
        <f t="shared" si="199"/>
        <v>0</v>
      </c>
      <c r="W213" s="317">
        <f t="shared" si="200"/>
        <v>0</v>
      </c>
      <c r="X213" s="317">
        <f t="shared" si="201"/>
        <v>0</v>
      </c>
      <c r="Y213" s="317">
        <f t="shared" si="202"/>
        <v>0</v>
      </c>
      <c r="Z213" s="317">
        <f t="shared" si="183"/>
        <v>0</v>
      </c>
      <c r="AA213" s="317">
        <f t="shared" si="184"/>
        <v>0</v>
      </c>
      <c r="AB213" s="317">
        <f t="shared" si="203"/>
        <v>0</v>
      </c>
      <c r="AC213" s="317">
        <f t="shared" si="204"/>
        <v>0</v>
      </c>
      <c r="AD213" s="317">
        <f t="shared" si="185"/>
        <v>0</v>
      </c>
      <c r="AE213" s="317">
        <f t="shared" si="186"/>
        <v>0</v>
      </c>
      <c r="AF213" s="317">
        <f t="shared" si="178"/>
        <v>0</v>
      </c>
      <c r="AG213" s="317">
        <f t="shared" si="179"/>
        <v>0</v>
      </c>
      <c r="AH213" s="317">
        <f t="shared" si="205"/>
        <v>0</v>
      </c>
      <c r="AI213" s="317">
        <f t="shared" si="206"/>
        <v>0</v>
      </c>
      <c r="AJ213" s="317">
        <f t="shared" si="207"/>
        <v>0</v>
      </c>
      <c r="AK213" s="317">
        <f t="shared" si="208"/>
        <v>0</v>
      </c>
      <c r="AL213" s="317">
        <f t="shared" si="209"/>
        <v>0</v>
      </c>
      <c r="AM213" s="317">
        <f t="shared" si="210"/>
        <v>0</v>
      </c>
      <c r="AN213" s="317">
        <f t="shared" si="211"/>
        <v>0</v>
      </c>
      <c r="AO213" s="317">
        <f t="shared" si="212"/>
        <v>0</v>
      </c>
      <c r="AP213" s="317">
        <f t="shared" si="213"/>
        <v>0</v>
      </c>
      <c r="AQ213" s="317">
        <f t="shared" si="214"/>
        <v>0</v>
      </c>
      <c r="AR213" s="317">
        <f t="shared" si="187"/>
        <v>0</v>
      </c>
      <c r="AS213" s="317">
        <f t="shared" si="188"/>
        <v>0</v>
      </c>
      <c r="AT213" s="317">
        <f t="shared" si="215"/>
        <v>0</v>
      </c>
      <c r="AU213" s="317">
        <f t="shared" si="216"/>
        <v>0</v>
      </c>
      <c r="AV213" s="317">
        <f t="shared" si="217"/>
        <v>0</v>
      </c>
      <c r="AW213" s="317">
        <f t="shared" si="218"/>
        <v>0</v>
      </c>
      <c r="AX213" s="317">
        <f t="shared" si="189"/>
        <v>0</v>
      </c>
      <c r="AY213" s="317">
        <f t="shared" si="190"/>
        <v>0</v>
      </c>
      <c r="AZ213" s="317">
        <f t="shared" si="191"/>
        <v>0</v>
      </c>
      <c r="BA213" s="317">
        <f t="shared" si="192"/>
        <v>0</v>
      </c>
    </row>
    <row r="214" spans="1:53" s="314" customFormat="1" ht="16.5" customHeight="1">
      <c r="A214" s="63" t="str">
        <f t="array" ref="A214">IF(C214&lt;&gt;0,SUM(($C$11:C214&lt;&gt;0)*1),"")</f>
        <v/>
      </c>
      <c r="B214" s="315"/>
      <c r="C214" s="315"/>
      <c r="D214" s="315"/>
      <c r="E214" s="432"/>
      <c r="F214" s="371"/>
      <c r="G214" s="373"/>
      <c r="H214" s="373"/>
      <c r="I214" s="63" t="str">
        <f t="shared" si="180"/>
        <v/>
      </c>
      <c r="J214" s="317">
        <f t="shared" si="181"/>
        <v>0</v>
      </c>
      <c r="K214" s="317">
        <f t="shared" si="182"/>
        <v>0</v>
      </c>
      <c r="L214" s="317">
        <f t="shared" si="193"/>
        <v>0</v>
      </c>
      <c r="M214" s="317">
        <f t="shared" si="194"/>
        <v>0</v>
      </c>
      <c r="N214" s="317">
        <f t="shared" si="174"/>
        <v>0</v>
      </c>
      <c r="O214" s="317">
        <f t="shared" si="175"/>
        <v>0</v>
      </c>
      <c r="P214" s="317">
        <f t="shared" si="195"/>
        <v>0</v>
      </c>
      <c r="Q214" s="317">
        <f t="shared" si="196"/>
        <v>0</v>
      </c>
      <c r="R214" s="317">
        <f t="shared" si="197"/>
        <v>0</v>
      </c>
      <c r="S214" s="317">
        <f t="shared" si="198"/>
        <v>0</v>
      </c>
      <c r="T214" s="317">
        <f t="shared" si="176"/>
        <v>0</v>
      </c>
      <c r="U214" s="317">
        <f t="shared" si="177"/>
        <v>0</v>
      </c>
      <c r="V214" s="317">
        <f t="shared" si="199"/>
        <v>0</v>
      </c>
      <c r="W214" s="317">
        <f t="shared" si="200"/>
        <v>0</v>
      </c>
      <c r="X214" s="317">
        <f t="shared" si="201"/>
        <v>0</v>
      </c>
      <c r="Y214" s="317">
        <f t="shared" si="202"/>
        <v>0</v>
      </c>
      <c r="Z214" s="317">
        <f t="shared" si="183"/>
        <v>0</v>
      </c>
      <c r="AA214" s="317">
        <f t="shared" si="184"/>
        <v>0</v>
      </c>
      <c r="AB214" s="317">
        <f t="shared" si="203"/>
        <v>0</v>
      </c>
      <c r="AC214" s="317">
        <f t="shared" si="204"/>
        <v>0</v>
      </c>
      <c r="AD214" s="317">
        <f t="shared" si="185"/>
        <v>0</v>
      </c>
      <c r="AE214" s="317">
        <f t="shared" si="186"/>
        <v>0</v>
      </c>
      <c r="AF214" s="317">
        <f t="shared" si="178"/>
        <v>0</v>
      </c>
      <c r="AG214" s="317">
        <f t="shared" si="179"/>
        <v>0</v>
      </c>
      <c r="AH214" s="317">
        <f t="shared" si="205"/>
        <v>0</v>
      </c>
      <c r="AI214" s="317">
        <f t="shared" si="206"/>
        <v>0</v>
      </c>
      <c r="AJ214" s="317">
        <f t="shared" si="207"/>
        <v>0</v>
      </c>
      <c r="AK214" s="317">
        <f t="shared" si="208"/>
        <v>0</v>
      </c>
      <c r="AL214" s="317">
        <f t="shared" si="209"/>
        <v>0</v>
      </c>
      <c r="AM214" s="317">
        <f t="shared" si="210"/>
        <v>0</v>
      </c>
      <c r="AN214" s="317">
        <f t="shared" si="211"/>
        <v>0</v>
      </c>
      <c r="AO214" s="317">
        <f t="shared" si="212"/>
        <v>0</v>
      </c>
      <c r="AP214" s="317">
        <f t="shared" si="213"/>
        <v>0</v>
      </c>
      <c r="AQ214" s="317">
        <f t="shared" si="214"/>
        <v>0</v>
      </c>
      <c r="AR214" s="317">
        <f t="shared" si="187"/>
        <v>0</v>
      </c>
      <c r="AS214" s="317">
        <f t="shared" si="188"/>
        <v>0</v>
      </c>
      <c r="AT214" s="317">
        <f t="shared" si="215"/>
        <v>0</v>
      </c>
      <c r="AU214" s="317">
        <f t="shared" si="216"/>
        <v>0</v>
      </c>
      <c r="AV214" s="317">
        <f t="shared" si="217"/>
        <v>0</v>
      </c>
      <c r="AW214" s="317">
        <f t="shared" si="218"/>
        <v>0</v>
      </c>
      <c r="AX214" s="317">
        <f t="shared" si="189"/>
        <v>0</v>
      </c>
      <c r="AY214" s="317">
        <f t="shared" si="190"/>
        <v>0</v>
      </c>
      <c r="AZ214" s="317">
        <f t="shared" si="191"/>
        <v>0</v>
      </c>
      <c r="BA214" s="317">
        <f t="shared" si="192"/>
        <v>0</v>
      </c>
    </row>
    <row r="215" spans="1:53" s="314" customFormat="1" ht="16.5" customHeight="1">
      <c r="A215" s="63" t="str">
        <f t="array" ref="A215">IF(C215&lt;&gt;0,SUM(($C$11:C215&lt;&gt;0)*1),"")</f>
        <v/>
      </c>
      <c r="B215" s="315"/>
      <c r="C215" s="315"/>
      <c r="D215" s="315"/>
      <c r="E215" s="432"/>
      <c r="F215" s="371"/>
      <c r="G215" s="373"/>
      <c r="H215" s="373"/>
      <c r="I215" s="63" t="str">
        <f t="shared" si="180"/>
        <v/>
      </c>
      <c r="J215" s="317">
        <f t="shared" si="181"/>
        <v>0</v>
      </c>
      <c r="K215" s="317">
        <f t="shared" si="182"/>
        <v>0</v>
      </c>
      <c r="L215" s="317">
        <f t="shared" si="193"/>
        <v>0</v>
      </c>
      <c r="M215" s="317">
        <f t="shared" si="194"/>
        <v>0</v>
      </c>
      <c r="N215" s="317">
        <f t="shared" si="174"/>
        <v>0</v>
      </c>
      <c r="O215" s="317">
        <f t="shared" si="175"/>
        <v>0</v>
      </c>
      <c r="P215" s="317">
        <f t="shared" si="195"/>
        <v>0</v>
      </c>
      <c r="Q215" s="317">
        <f t="shared" si="196"/>
        <v>0</v>
      </c>
      <c r="R215" s="317">
        <f t="shared" si="197"/>
        <v>0</v>
      </c>
      <c r="S215" s="317">
        <f t="shared" si="198"/>
        <v>0</v>
      </c>
      <c r="T215" s="317">
        <f t="shared" si="176"/>
        <v>0</v>
      </c>
      <c r="U215" s="317">
        <f t="shared" si="177"/>
        <v>0</v>
      </c>
      <c r="V215" s="317">
        <f t="shared" si="199"/>
        <v>0</v>
      </c>
      <c r="W215" s="317">
        <f t="shared" si="200"/>
        <v>0</v>
      </c>
      <c r="X215" s="317">
        <f t="shared" si="201"/>
        <v>0</v>
      </c>
      <c r="Y215" s="317">
        <f t="shared" si="202"/>
        <v>0</v>
      </c>
      <c r="Z215" s="317">
        <f t="shared" si="183"/>
        <v>0</v>
      </c>
      <c r="AA215" s="317">
        <f t="shared" si="184"/>
        <v>0</v>
      </c>
      <c r="AB215" s="317">
        <f t="shared" si="203"/>
        <v>0</v>
      </c>
      <c r="AC215" s="317">
        <f t="shared" si="204"/>
        <v>0</v>
      </c>
      <c r="AD215" s="317">
        <f t="shared" si="185"/>
        <v>0</v>
      </c>
      <c r="AE215" s="317">
        <f t="shared" si="186"/>
        <v>0</v>
      </c>
      <c r="AF215" s="317">
        <f t="shared" si="178"/>
        <v>0</v>
      </c>
      <c r="AG215" s="317">
        <f t="shared" si="179"/>
        <v>0</v>
      </c>
      <c r="AH215" s="317">
        <f t="shared" si="205"/>
        <v>0</v>
      </c>
      <c r="AI215" s="317">
        <f t="shared" si="206"/>
        <v>0</v>
      </c>
      <c r="AJ215" s="317">
        <f t="shared" si="207"/>
        <v>0</v>
      </c>
      <c r="AK215" s="317">
        <f t="shared" si="208"/>
        <v>0</v>
      </c>
      <c r="AL215" s="317">
        <f t="shared" si="209"/>
        <v>0</v>
      </c>
      <c r="AM215" s="317">
        <f t="shared" si="210"/>
        <v>0</v>
      </c>
      <c r="AN215" s="317">
        <f t="shared" si="211"/>
        <v>0</v>
      </c>
      <c r="AO215" s="317">
        <f t="shared" si="212"/>
        <v>0</v>
      </c>
      <c r="AP215" s="317">
        <f t="shared" si="213"/>
        <v>0</v>
      </c>
      <c r="AQ215" s="317">
        <f t="shared" si="214"/>
        <v>0</v>
      </c>
      <c r="AR215" s="317">
        <f t="shared" si="187"/>
        <v>0</v>
      </c>
      <c r="AS215" s="317">
        <f t="shared" si="188"/>
        <v>0</v>
      </c>
      <c r="AT215" s="317">
        <f t="shared" si="215"/>
        <v>0</v>
      </c>
      <c r="AU215" s="317">
        <f t="shared" si="216"/>
        <v>0</v>
      </c>
      <c r="AV215" s="317">
        <f t="shared" si="217"/>
        <v>0</v>
      </c>
      <c r="AW215" s="317">
        <f t="shared" si="218"/>
        <v>0</v>
      </c>
      <c r="AX215" s="317">
        <f t="shared" si="189"/>
        <v>0</v>
      </c>
      <c r="AY215" s="317">
        <f t="shared" si="190"/>
        <v>0</v>
      </c>
      <c r="AZ215" s="317">
        <f t="shared" si="191"/>
        <v>0</v>
      </c>
      <c r="BA215" s="317">
        <f t="shared" si="192"/>
        <v>0</v>
      </c>
    </row>
    <row r="216" spans="1:53" s="314" customFormat="1" ht="16.5" customHeight="1">
      <c r="A216" s="63" t="str">
        <f t="array" ref="A216">IF(C216&lt;&gt;0,SUM(($C$11:C216&lt;&gt;0)*1),"")</f>
        <v/>
      </c>
      <c r="B216" s="315"/>
      <c r="C216" s="315"/>
      <c r="D216" s="315"/>
      <c r="E216" s="432"/>
      <c r="F216" s="371"/>
      <c r="G216" s="373"/>
      <c r="H216" s="373"/>
      <c r="I216" s="63" t="str">
        <f t="shared" si="180"/>
        <v/>
      </c>
      <c r="J216" s="317">
        <f t="shared" si="181"/>
        <v>0</v>
      </c>
      <c r="K216" s="317">
        <f t="shared" si="182"/>
        <v>0</v>
      </c>
      <c r="L216" s="317">
        <f t="shared" si="193"/>
        <v>0</v>
      </c>
      <c r="M216" s="317">
        <f t="shared" si="194"/>
        <v>0</v>
      </c>
      <c r="N216" s="317">
        <f t="shared" si="174"/>
        <v>0</v>
      </c>
      <c r="O216" s="317">
        <f t="shared" si="175"/>
        <v>0</v>
      </c>
      <c r="P216" s="317">
        <f t="shared" si="195"/>
        <v>0</v>
      </c>
      <c r="Q216" s="317">
        <f t="shared" si="196"/>
        <v>0</v>
      </c>
      <c r="R216" s="317">
        <f t="shared" si="197"/>
        <v>0</v>
      </c>
      <c r="S216" s="317">
        <f t="shared" si="198"/>
        <v>0</v>
      </c>
      <c r="T216" s="317">
        <f t="shared" si="176"/>
        <v>0</v>
      </c>
      <c r="U216" s="317">
        <f t="shared" si="177"/>
        <v>0</v>
      </c>
      <c r="V216" s="317">
        <f t="shared" si="199"/>
        <v>0</v>
      </c>
      <c r="W216" s="317">
        <f t="shared" si="200"/>
        <v>0</v>
      </c>
      <c r="X216" s="317">
        <f t="shared" si="201"/>
        <v>0</v>
      </c>
      <c r="Y216" s="317">
        <f t="shared" si="202"/>
        <v>0</v>
      </c>
      <c r="Z216" s="317">
        <f t="shared" si="183"/>
        <v>0</v>
      </c>
      <c r="AA216" s="317">
        <f t="shared" si="184"/>
        <v>0</v>
      </c>
      <c r="AB216" s="317">
        <f t="shared" si="203"/>
        <v>0</v>
      </c>
      <c r="AC216" s="317">
        <f t="shared" si="204"/>
        <v>0</v>
      </c>
      <c r="AD216" s="317">
        <f t="shared" si="185"/>
        <v>0</v>
      </c>
      <c r="AE216" s="317">
        <f t="shared" si="186"/>
        <v>0</v>
      </c>
      <c r="AF216" s="317">
        <f t="shared" si="178"/>
        <v>0</v>
      </c>
      <c r="AG216" s="317">
        <f t="shared" si="179"/>
        <v>0</v>
      </c>
      <c r="AH216" s="317">
        <f t="shared" si="205"/>
        <v>0</v>
      </c>
      <c r="AI216" s="317">
        <f t="shared" si="206"/>
        <v>0</v>
      </c>
      <c r="AJ216" s="317">
        <f t="shared" si="207"/>
        <v>0</v>
      </c>
      <c r="AK216" s="317">
        <f t="shared" si="208"/>
        <v>0</v>
      </c>
      <c r="AL216" s="317">
        <f t="shared" si="209"/>
        <v>0</v>
      </c>
      <c r="AM216" s="317">
        <f t="shared" si="210"/>
        <v>0</v>
      </c>
      <c r="AN216" s="317">
        <f t="shared" si="211"/>
        <v>0</v>
      </c>
      <c r="AO216" s="317">
        <f t="shared" si="212"/>
        <v>0</v>
      </c>
      <c r="AP216" s="317">
        <f t="shared" si="213"/>
        <v>0</v>
      </c>
      <c r="AQ216" s="317">
        <f t="shared" si="214"/>
        <v>0</v>
      </c>
      <c r="AR216" s="317">
        <f t="shared" si="187"/>
        <v>0</v>
      </c>
      <c r="AS216" s="317">
        <f t="shared" si="188"/>
        <v>0</v>
      </c>
      <c r="AT216" s="317">
        <f t="shared" si="215"/>
        <v>0</v>
      </c>
      <c r="AU216" s="317">
        <f t="shared" si="216"/>
        <v>0</v>
      </c>
      <c r="AV216" s="317">
        <f t="shared" si="217"/>
        <v>0</v>
      </c>
      <c r="AW216" s="317">
        <f t="shared" si="218"/>
        <v>0</v>
      </c>
      <c r="AX216" s="317">
        <f t="shared" si="189"/>
        <v>0</v>
      </c>
      <c r="AY216" s="317">
        <f t="shared" si="190"/>
        <v>0</v>
      </c>
      <c r="AZ216" s="317">
        <f t="shared" si="191"/>
        <v>0</v>
      </c>
      <c r="BA216" s="317">
        <f t="shared" si="192"/>
        <v>0</v>
      </c>
    </row>
    <row r="217" spans="1:53" s="314" customFormat="1" ht="16.5" customHeight="1">
      <c r="A217" s="63" t="str">
        <f t="array" ref="A217">IF(C217&lt;&gt;0,SUM(($C$11:C217&lt;&gt;0)*1),"")</f>
        <v/>
      </c>
      <c r="B217" s="315"/>
      <c r="C217" s="315"/>
      <c r="D217" s="315"/>
      <c r="E217" s="432"/>
      <c r="F217" s="371"/>
      <c r="G217" s="373"/>
      <c r="H217" s="373"/>
      <c r="I217" s="63" t="str">
        <f t="shared" si="180"/>
        <v/>
      </c>
      <c r="J217" s="317">
        <f t="shared" si="181"/>
        <v>0</v>
      </c>
      <c r="K217" s="317">
        <f t="shared" si="182"/>
        <v>0</v>
      </c>
      <c r="L217" s="317">
        <f t="shared" si="193"/>
        <v>0</v>
      </c>
      <c r="M217" s="317">
        <f t="shared" si="194"/>
        <v>0</v>
      </c>
      <c r="N217" s="317">
        <f t="shared" si="174"/>
        <v>0</v>
      </c>
      <c r="O217" s="317">
        <f t="shared" si="175"/>
        <v>0</v>
      </c>
      <c r="P217" s="317">
        <f t="shared" si="195"/>
        <v>0</v>
      </c>
      <c r="Q217" s="317">
        <f t="shared" si="196"/>
        <v>0</v>
      </c>
      <c r="R217" s="317">
        <f t="shared" si="197"/>
        <v>0</v>
      </c>
      <c r="S217" s="317">
        <f t="shared" si="198"/>
        <v>0</v>
      </c>
      <c r="T217" s="317">
        <f t="shared" si="176"/>
        <v>0</v>
      </c>
      <c r="U217" s="317">
        <f t="shared" si="177"/>
        <v>0</v>
      </c>
      <c r="V217" s="317">
        <f t="shared" si="199"/>
        <v>0</v>
      </c>
      <c r="W217" s="317">
        <f t="shared" si="200"/>
        <v>0</v>
      </c>
      <c r="X217" s="317">
        <f t="shared" si="201"/>
        <v>0</v>
      </c>
      <c r="Y217" s="317">
        <f t="shared" si="202"/>
        <v>0</v>
      </c>
      <c r="Z217" s="317">
        <f t="shared" si="183"/>
        <v>0</v>
      </c>
      <c r="AA217" s="317">
        <f t="shared" si="184"/>
        <v>0</v>
      </c>
      <c r="AB217" s="317">
        <f t="shared" si="203"/>
        <v>0</v>
      </c>
      <c r="AC217" s="317">
        <f t="shared" si="204"/>
        <v>0</v>
      </c>
      <c r="AD217" s="317">
        <f t="shared" si="185"/>
        <v>0</v>
      </c>
      <c r="AE217" s="317">
        <f t="shared" si="186"/>
        <v>0</v>
      </c>
      <c r="AF217" s="317">
        <f t="shared" si="178"/>
        <v>0</v>
      </c>
      <c r="AG217" s="317">
        <f t="shared" si="179"/>
        <v>0</v>
      </c>
      <c r="AH217" s="317">
        <f t="shared" si="205"/>
        <v>0</v>
      </c>
      <c r="AI217" s="317">
        <f t="shared" si="206"/>
        <v>0</v>
      </c>
      <c r="AJ217" s="317">
        <f t="shared" si="207"/>
        <v>0</v>
      </c>
      <c r="AK217" s="317">
        <f t="shared" si="208"/>
        <v>0</v>
      </c>
      <c r="AL217" s="317">
        <f t="shared" si="209"/>
        <v>0</v>
      </c>
      <c r="AM217" s="317">
        <f t="shared" si="210"/>
        <v>0</v>
      </c>
      <c r="AN217" s="317">
        <f t="shared" si="211"/>
        <v>0</v>
      </c>
      <c r="AO217" s="317">
        <f t="shared" si="212"/>
        <v>0</v>
      </c>
      <c r="AP217" s="317">
        <f t="shared" si="213"/>
        <v>0</v>
      </c>
      <c r="AQ217" s="317">
        <f t="shared" si="214"/>
        <v>0</v>
      </c>
      <c r="AR217" s="317">
        <f t="shared" si="187"/>
        <v>0</v>
      </c>
      <c r="AS217" s="317">
        <f t="shared" si="188"/>
        <v>0</v>
      </c>
      <c r="AT217" s="317">
        <f t="shared" si="215"/>
        <v>0</v>
      </c>
      <c r="AU217" s="317">
        <f t="shared" si="216"/>
        <v>0</v>
      </c>
      <c r="AV217" s="317">
        <f t="shared" si="217"/>
        <v>0</v>
      </c>
      <c r="AW217" s="317">
        <f t="shared" si="218"/>
        <v>0</v>
      </c>
      <c r="AX217" s="317">
        <f t="shared" si="189"/>
        <v>0</v>
      </c>
      <c r="AY217" s="317">
        <f t="shared" si="190"/>
        <v>0</v>
      </c>
      <c r="AZ217" s="317">
        <f t="shared" si="191"/>
        <v>0</v>
      </c>
      <c r="BA217" s="317">
        <f t="shared" si="192"/>
        <v>0</v>
      </c>
    </row>
    <row r="218" spans="1:53" s="314" customFormat="1" ht="16.5" customHeight="1">
      <c r="A218" s="63" t="str">
        <f t="array" ref="A218">IF(C218&lt;&gt;0,SUM(($C$11:C218&lt;&gt;0)*1),"")</f>
        <v/>
      </c>
      <c r="B218" s="315"/>
      <c r="C218" s="315"/>
      <c r="D218" s="315"/>
      <c r="E218" s="432"/>
      <c r="F218" s="371"/>
      <c r="G218" s="373"/>
      <c r="H218" s="373"/>
      <c r="I218" s="63" t="str">
        <f t="shared" si="180"/>
        <v/>
      </c>
      <c r="J218" s="317">
        <f t="shared" si="181"/>
        <v>0</v>
      </c>
      <c r="K218" s="317">
        <f t="shared" si="182"/>
        <v>0</v>
      </c>
      <c r="L218" s="317">
        <f t="shared" si="193"/>
        <v>0</v>
      </c>
      <c r="M218" s="317">
        <f t="shared" si="194"/>
        <v>0</v>
      </c>
      <c r="N218" s="317">
        <f t="shared" si="174"/>
        <v>0</v>
      </c>
      <c r="O218" s="317">
        <f t="shared" si="175"/>
        <v>0</v>
      </c>
      <c r="P218" s="317">
        <f t="shared" si="195"/>
        <v>0</v>
      </c>
      <c r="Q218" s="317">
        <f t="shared" si="196"/>
        <v>0</v>
      </c>
      <c r="R218" s="317">
        <f t="shared" si="197"/>
        <v>0</v>
      </c>
      <c r="S218" s="317">
        <f t="shared" si="198"/>
        <v>0</v>
      </c>
      <c r="T218" s="317">
        <f t="shared" si="176"/>
        <v>0</v>
      </c>
      <c r="U218" s="317">
        <f t="shared" si="177"/>
        <v>0</v>
      </c>
      <c r="V218" s="317">
        <f t="shared" si="199"/>
        <v>0</v>
      </c>
      <c r="W218" s="317">
        <f t="shared" si="200"/>
        <v>0</v>
      </c>
      <c r="X218" s="317">
        <f t="shared" si="201"/>
        <v>0</v>
      </c>
      <c r="Y218" s="317">
        <f t="shared" si="202"/>
        <v>0</v>
      </c>
      <c r="Z218" s="317">
        <f t="shared" si="183"/>
        <v>0</v>
      </c>
      <c r="AA218" s="317">
        <f t="shared" si="184"/>
        <v>0</v>
      </c>
      <c r="AB218" s="317">
        <f t="shared" si="203"/>
        <v>0</v>
      </c>
      <c r="AC218" s="317">
        <f t="shared" si="204"/>
        <v>0</v>
      </c>
      <c r="AD218" s="317">
        <f t="shared" si="185"/>
        <v>0</v>
      </c>
      <c r="AE218" s="317">
        <f t="shared" si="186"/>
        <v>0</v>
      </c>
      <c r="AF218" s="317">
        <f t="shared" si="178"/>
        <v>0</v>
      </c>
      <c r="AG218" s="317">
        <f t="shared" si="179"/>
        <v>0</v>
      </c>
      <c r="AH218" s="317">
        <f t="shared" si="205"/>
        <v>0</v>
      </c>
      <c r="AI218" s="317">
        <f t="shared" si="206"/>
        <v>0</v>
      </c>
      <c r="AJ218" s="317">
        <f t="shared" si="207"/>
        <v>0</v>
      </c>
      <c r="AK218" s="317">
        <f t="shared" si="208"/>
        <v>0</v>
      </c>
      <c r="AL218" s="317">
        <f t="shared" si="209"/>
        <v>0</v>
      </c>
      <c r="AM218" s="317">
        <f t="shared" si="210"/>
        <v>0</v>
      </c>
      <c r="AN218" s="317">
        <f t="shared" si="211"/>
        <v>0</v>
      </c>
      <c r="AO218" s="317">
        <f t="shared" si="212"/>
        <v>0</v>
      </c>
      <c r="AP218" s="317">
        <f t="shared" si="213"/>
        <v>0</v>
      </c>
      <c r="AQ218" s="317">
        <f t="shared" si="214"/>
        <v>0</v>
      </c>
      <c r="AR218" s="317">
        <f t="shared" si="187"/>
        <v>0</v>
      </c>
      <c r="AS218" s="317">
        <f t="shared" si="188"/>
        <v>0</v>
      </c>
      <c r="AT218" s="317">
        <f t="shared" si="215"/>
        <v>0</v>
      </c>
      <c r="AU218" s="317">
        <f t="shared" si="216"/>
        <v>0</v>
      </c>
      <c r="AV218" s="317">
        <f t="shared" si="217"/>
        <v>0</v>
      </c>
      <c r="AW218" s="317">
        <f t="shared" si="218"/>
        <v>0</v>
      </c>
      <c r="AX218" s="317">
        <f t="shared" si="189"/>
        <v>0</v>
      </c>
      <c r="AY218" s="317">
        <f t="shared" si="190"/>
        <v>0</v>
      </c>
      <c r="AZ218" s="317">
        <f t="shared" si="191"/>
        <v>0</v>
      </c>
      <c r="BA218" s="317">
        <f t="shared" si="192"/>
        <v>0</v>
      </c>
    </row>
    <row r="219" spans="1:53" s="314" customFormat="1" ht="16.5" customHeight="1">
      <c r="A219" s="63" t="str">
        <f t="array" ref="A219">IF(C219&lt;&gt;0,SUM(($C$11:C219&lt;&gt;0)*1),"")</f>
        <v/>
      </c>
      <c r="B219" s="315"/>
      <c r="C219" s="315"/>
      <c r="D219" s="315"/>
      <c r="E219" s="432"/>
      <c r="F219" s="371"/>
      <c r="G219" s="373"/>
      <c r="H219" s="373"/>
      <c r="I219" s="63" t="str">
        <f t="shared" si="180"/>
        <v/>
      </c>
      <c r="J219" s="317">
        <f t="shared" si="181"/>
        <v>0</v>
      </c>
      <c r="K219" s="317">
        <f t="shared" si="182"/>
        <v>0</v>
      </c>
      <c r="L219" s="317">
        <f t="shared" si="193"/>
        <v>0</v>
      </c>
      <c r="M219" s="317">
        <f t="shared" si="194"/>
        <v>0</v>
      </c>
      <c r="N219" s="317">
        <f t="shared" si="174"/>
        <v>0</v>
      </c>
      <c r="O219" s="317">
        <f t="shared" si="175"/>
        <v>0</v>
      </c>
      <c r="P219" s="317">
        <f t="shared" si="195"/>
        <v>0</v>
      </c>
      <c r="Q219" s="317">
        <f t="shared" si="196"/>
        <v>0</v>
      </c>
      <c r="R219" s="317">
        <f t="shared" si="197"/>
        <v>0</v>
      </c>
      <c r="S219" s="317">
        <f t="shared" si="198"/>
        <v>0</v>
      </c>
      <c r="T219" s="317">
        <f t="shared" si="176"/>
        <v>0</v>
      </c>
      <c r="U219" s="317">
        <f t="shared" si="177"/>
        <v>0</v>
      </c>
      <c r="V219" s="317">
        <f t="shared" si="199"/>
        <v>0</v>
      </c>
      <c r="W219" s="317">
        <f t="shared" si="200"/>
        <v>0</v>
      </c>
      <c r="X219" s="317">
        <f t="shared" si="201"/>
        <v>0</v>
      </c>
      <c r="Y219" s="317">
        <f t="shared" si="202"/>
        <v>0</v>
      </c>
      <c r="Z219" s="317">
        <f t="shared" si="183"/>
        <v>0</v>
      </c>
      <c r="AA219" s="317">
        <f t="shared" si="184"/>
        <v>0</v>
      </c>
      <c r="AB219" s="317">
        <f t="shared" si="203"/>
        <v>0</v>
      </c>
      <c r="AC219" s="317">
        <f t="shared" si="204"/>
        <v>0</v>
      </c>
      <c r="AD219" s="317">
        <f t="shared" si="185"/>
        <v>0</v>
      </c>
      <c r="AE219" s="317">
        <f t="shared" si="186"/>
        <v>0</v>
      </c>
      <c r="AF219" s="317">
        <f t="shared" si="178"/>
        <v>0</v>
      </c>
      <c r="AG219" s="317">
        <f t="shared" si="179"/>
        <v>0</v>
      </c>
      <c r="AH219" s="317">
        <f t="shared" si="205"/>
        <v>0</v>
      </c>
      <c r="AI219" s="317">
        <f t="shared" si="206"/>
        <v>0</v>
      </c>
      <c r="AJ219" s="317">
        <f t="shared" si="207"/>
        <v>0</v>
      </c>
      <c r="AK219" s="317">
        <f t="shared" si="208"/>
        <v>0</v>
      </c>
      <c r="AL219" s="317">
        <f t="shared" si="209"/>
        <v>0</v>
      </c>
      <c r="AM219" s="317">
        <f t="shared" si="210"/>
        <v>0</v>
      </c>
      <c r="AN219" s="317">
        <f t="shared" si="211"/>
        <v>0</v>
      </c>
      <c r="AO219" s="317">
        <f t="shared" si="212"/>
        <v>0</v>
      </c>
      <c r="AP219" s="317">
        <f t="shared" si="213"/>
        <v>0</v>
      </c>
      <c r="AQ219" s="317">
        <f t="shared" si="214"/>
        <v>0</v>
      </c>
      <c r="AR219" s="317">
        <f t="shared" si="187"/>
        <v>0</v>
      </c>
      <c r="AS219" s="317">
        <f t="shared" si="188"/>
        <v>0</v>
      </c>
      <c r="AT219" s="317">
        <f t="shared" si="215"/>
        <v>0</v>
      </c>
      <c r="AU219" s="317">
        <f t="shared" si="216"/>
        <v>0</v>
      </c>
      <c r="AV219" s="317">
        <f t="shared" si="217"/>
        <v>0</v>
      </c>
      <c r="AW219" s="317">
        <f t="shared" si="218"/>
        <v>0</v>
      </c>
      <c r="AX219" s="317">
        <f t="shared" si="189"/>
        <v>0</v>
      </c>
      <c r="AY219" s="317">
        <f t="shared" si="190"/>
        <v>0</v>
      </c>
      <c r="AZ219" s="317">
        <f t="shared" si="191"/>
        <v>0</v>
      </c>
      <c r="BA219" s="317">
        <f t="shared" si="192"/>
        <v>0</v>
      </c>
    </row>
    <row r="220" spans="1:53" s="314" customFormat="1" ht="16.5" customHeight="1">
      <c r="A220" s="63" t="str">
        <f t="array" ref="A220">IF(C220&lt;&gt;0,SUM(($C$11:C220&lt;&gt;0)*1),"")</f>
        <v/>
      </c>
      <c r="B220" s="315"/>
      <c r="C220" s="315"/>
      <c r="D220" s="315"/>
      <c r="E220" s="432"/>
      <c r="F220" s="371"/>
      <c r="G220" s="373"/>
      <c r="H220" s="373"/>
      <c r="I220" s="63" t="str">
        <f t="shared" si="180"/>
        <v/>
      </c>
      <c r="J220" s="317">
        <f t="shared" si="181"/>
        <v>0</v>
      </c>
      <c r="K220" s="317">
        <f t="shared" si="182"/>
        <v>0</v>
      </c>
      <c r="L220" s="317">
        <f t="shared" si="193"/>
        <v>0</v>
      </c>
      <c r="M220" s="317">
        <f t="shared" si="194"/>
        <v>0</v>
      </c>
      <c r="N220" s="317">
        <f t="shared" si="174"/>
        <v>0</v>
      </c>
      <c r="O220" s="317">
        <f t="shared" si="175"/>
        <v>0</v>
      </c>
      <c r="P220" s="317">
        <f t="shared" si="195"/>
        <v>0</v>
      </c>
      <c r="Q220" s="317">
        <f t="shared" si="196"/>
        <v>0</v>
      </c>
      <c r="R220" s="317">
        <f t="shared" si="197"/>
        <v>0</v>
      </c>
      <c r="S220" s="317">
        <f t="shared" si="198"/>
        <v>0</v>
      </c>
      <c r="T220" s="317">
        <f t="shared" si="176"/>
        <v>0</v>
      </c>
      <c r="U220" s="317">
        <f t="shared" si="177"/>
        <v>0</v>
      </c>
      <c r="V220" s="317">
        <f t="shared" si="199"/>
        <v>0</v>
      </c>
      <c r="W220" s="317">
        <f t="shared" si="200"/>
        <v>0</v>
      </c>
      <c r="X220" s="317">
        <f t="shared" si="201"/>
        <v>0</v>
      </c>
      <c r="Y220" s="317">
        <f t="shared" si="202"/>
        <v>0</v>
      </c>
      <c r="Z220" s="317">
        <f t="shared" si="183"/>
        <v>0</v>
      </c>
      <c r="AA220" s="317">
        <f t="shared" si="184"/>
        <v>0</v>
      </c>
      <c r="AB220" s="317">
        <f t="shared" si="203"/>
        <v>0</v>
      </c>
      <c r="AC220" s="317">
        <f t="shared" si="204"/>
        <v>0</v>
      </c>
      <c r="AD220" s="317">
        <f t="shared" si="185"/>
        <v>0</v>
      </c>
      <c r="AE220" s="317">
        <f t="shared" si="186"/>
        <v>0</v>
      </c>
      <c r="AF220" s="317">
        <f t="shared" si="178"/>
        <v>0</v>
      </c>
      <c r="AG220" s="317">
        <f t="shared" si="179"/>
        <v>0</v>
      </c>
      <c r="AH220" s="317">
        <f t="shared" si="205"/>
        <v>0</v>
      </c>
      <c r="AI220" s="317">
        <f t="shared" si="206"/>
        <v>0</v>
      </c>
      <c r="AJ220" s="317">
        <f t="shared" si="207"/>
        <v>0</v>
      </c>
      <c r="AK220" s="317">
        <f t="shared" si="208"/>
        <v>0</v>
      </c>
      <c r="AL220" s="317">
        <f t="shared" si="209"/>
        <v>0</v>
      </c>
      <c r="AM220" s="317">
        <f t="shared" si="210"/>
        <v>0</v>
      </c>
      <c r="AN220" s="317">
        <f t="shared" si="211"/>
        <v>0</v>
      </c>
      <c r="AO220" s="317">
        <f t="shared" si="212"/>
        <v>0</v>
      </c>
      <c r="AP220" s="317">
        <f t="shared" si="213"/>
        <v>0</v>
      </c>
      <c r="AQ220" s="317">
        <f t="shared" si="214"/>
        <v>0</v>
      </c>
      <c r="AR220" s="317">
        <f t="shared" si="187"/>
        <v>0</v>
      </c>
      <c r="AS220" s="317">
        <f t="shared" si="188"/>
        <v>0</v>
      </c>
      <c r="AT220" s="317">
        <f t="shared" si="215"/>
        <v>0</v>
      </c>
      <c r="AU220" s="317">
        <f t="shared" si="216"/>
        <v>0</v>
      </c>
      <c r="AV220" s="317">
        <f t="shared" si="217"/>
        <v>0</v>
      </c>
      <c r="AW220" s="317">
        <f t="shared" si="218"/>
        <v>0</v>
      </c>
      <c r="AX220" s="317">
        <f t="shared" si="189"/>
        <v>0</v>
      </c>
      <c r="AY220" s="317">
        <f t="shared" si="190"/>
        <v>0</v>
      </c>
      <c r="AZ220" s="317">
        <f t="shared" si="191"/>
        <v>0</v>
      </c>
      <c r="BA220" s="317">
        <f t="shared" si="192"/>
        <v>0</v>
      </c>
    </row>
    <row r="221" spans="1:53" s="314" customFormat="1" ht="16.5" customHeight="1">
      <c r="A221" s="63" t="str">
        <f t="array" ref="A221">IF(C221&lt;&gt;0,SUM(($C$11:C221&lt;&gt;0)*1),"")</f>
        <v/>
      </c>
      <c r="B221" s="315"/>
      <c r="C221" s="315"/>
      <c r="D221" s="315"/>
      <c r="E221" s="432"/>
      <c r="F221" s="371"/>
      <c r="G221" s="373"/>
      <c r="H221" s="373"/>
      <c r="I221" s="63" t="str">
        <f t="shared" si="180"/>
        <v/>
      </c>
      <c r="J221" s="317">
        <f t="shared" si="181"/>
        <v>0</v>
      </c>
      <c r="K221" s="317">
        <f t="shared" si="182"/>
        <v>0</v>
      </c>
      <c r="L221" s="317">
        <f t="shared" si="193"/>
        <v>0</v>
      </c>
      <c r="M221" s="317">
        <f t="shared" si="194"/>
        <v>0</v>
      </c>
      <c r="N221" s="317">
        <f t="shared" si="174"/>
        <v>0</v>
      </c>
      <c r="O221" s="317">
        <f t="shared" si="175"/>
        <v>0</v>
      </c>
      <c r="P221" s="317">
        <f t="shared" si="195"/>
        <v>0</v>
      </c>
      <c r="Q221" s="317">
        <f t="shared" si="196"/>
        <v>0</v>
      </c>
      <c r="R221" s="317">
        <f t="shared" si="197"/>
        <v>0</v>
      </c>
      <c r="S221" s="317">
        <f t="shared" si="198"/>
        <v>0</v>
      </c>
      <c r="T221" s="317">
        <f t="shared" si="176"/>
        <v>0</v>
      </c>
      <c r="U221" s="317">
        <f t="shared" si="177"/>
        <v>0</v>
      </c>
      <c r="V221" s="317">
        <f t="shared" si="199"/>
        <v>0</v>
      </c>
      <c r="W221" s="317">
        <f t="shared" si="200"/>
        <v>0</v>
      </c>
      <c r="X221" s="317">
        <f t="shared" si="201"/>
        <v>0</v>
      </c>
      <c r="Y221" s="317">
        <f t="shared" si="202"/>
        <v>0</v>
      </c>
      <c r="Z221" s="317">
        <f t="shared" si="183"/>
        <v>0</v>
      </c>
      <c r="AA221" s="317">
        <f t="shared" si="184"/>
        <v>0</v>
      </c>
      <c r="AB221" s="317">
        <f t="shared" si="203"/>
        <v>0</v>
      </c>
      <c r="AC221" s="317">
        <f t="shared" si="204"/>
        <v>0</v>
      </c>
      <c r="AD221" s="317">
        <f t="shared" si="185"/>
        <v>0</v>
      </c>
      <c r="AE221" s="317">
        <f t="shared" si="186"/>
        <v>0</v>
      </c>
      <c r="AF221" s="317">
        <f t="shared" si="178"/>
        <v>0</v>
      </c>
      <c r="AG221" s="317">
        <f t="shared" si="179"/>
        <v>0</v>
      </c>
      <c r="AH221" s="317">
        <f t="shared" si="205"/>
        <v>0</v>
      </c>
      <c r="AI221" s="317">
        <f t="shared" si="206"/>
        <v>0</v>
      </c>
      <c r="AJ221" s="317">
        <f t="shared" si="207"/>
        <v>0</v>
      </c>
      <c r="AK221" s="317">
        <f t="shared" si="208"/>
        <v>0</v>
      </c>
      <c r="AL221" s="317">
        <f t="shared" si="209"/>
        <v>0</v>
      </c>
      <c r="AM221" s="317">
        <f t="shared" si="210"/>
        <v>0</v>
      </c>
      <c r="AN221" s="317">
        <f t="shared" si="211"/>
        <v>0</v>
      </c>
      <c r="AO221" s="317">
        <f t="shared" si="212"/>
        <v>0</v>
      </c>
      <c r="AP221" s="317">
        <f t="shared" si="213"/>
        <v>0</v>
      </c>
      <c r="AQ221" s="317">
        <f t="shared" si="214"/>
        <v>0</v>
      </c>
      <c r="AR221" s="317">
        <f t="shared" si="187"/>
        <v>0</v>
      </c>
      <c r="AS221" s="317">
        <f t="shared" si="188"/>
        <v>0</v>
      </c>
      <c r="AT221" s="317">
        <f t="shared" si="215"/>
        <v>0</v>
      </c>
      <c r="AU221" s="317">
        <f t="shared" si="216"/>
        <v>0</v>
      </c>
      <c r="AV221" s="317">
        <f t="shared" si="217"/>
        <v>0</v>
      </c>
      <c r="AW221" s="317">
        <f t="shared" si="218"/>
        <v>0</v>
      </c>
      <c r="AX221" s="317">
        <f t="shared" si="189"/>
        <v>0</v>
      </c>
      <c r="AY221" s="317">
        <f t="shared" si="190"/>
        <v>0</v>
      </c>
      <c r="AZ221" s="317">
        <f t="shared" si="191"/>
        <v>0</v>
      </c>
      <c r="BA221" s="317">
        <f t="shared" si="192"/>
        <v>0</v>
      </c>
    </row>
    <row r="222" spans="1:53" s="314" customFormat="1" ht="16.5" customHeight="1">
      <c r="A222" s="63" t="str">
        <f t="array" ref="A222">IF(C222&lt;&gt;0,SUM(($C$11:C222&lt;&gt;0)*1),"")</f>
        <v/>
      </c>
      <c r="B222" s="315"/>
      <c r="C222" s="315"/>
      <c r="D222" s="315"/>
      <c r="E222" s="432"/>
      <c r="F222" s="371"/>
      <c r="G222" s="373"/>
      <c r="H222" s="373"/>
      <c r="I222" s="63" t="str">
        <f t="shared" si="180"/>
        <v/>
      </c>
      <c r="J222" s="317">
        <f t="shared" si="181"/>
        <v>0</v>
      </c>
      <c r="K222" s="317">
        <f t="shared" si="182"/>
        <v>0</v>
      </c>
      <c r="L222" s="317">
        <f t="shared" si="193"/>
        <v>0</v>
      </c>
      <c r="M222" s="317">
        <f t="shared" si="194"/>
        <v>0</v>
      </c>
      <c r="N222" s="317">
        <f t="shared" si="174"/>
        <v>0</v>
      </c>
      <c r="O222" s="317">
        <f t="shared" si="175"/>
        <v>0</v>
      </c>
      <c r="P222" s="317">
        <f t="shared" si="195"/>
        <v>0</v>
      </c>
      <c r="Q222" s="317">
        <f t="shared" si="196"/>
        <v>0</v>
      </c>
      <c r="R222" s="317">
        <f t="shared" si="197"/>
        <v>0</v>
      </c>
      <c r="S222" s="317">
        <f t="shared" si="198"/>
        <v>0</v>
      </c>
      <c r="T222" s="317">
        <f t="shared" si="176"/>
        <v>0</v>
      </c>
      <c r="U222" s="317">
        <f t="shared" si="177"/>
        <v>0</v>
      </c>
      <c r="V222" s="317">
        <f t="shared" si="199"/>
        <v>0</v>
      </c>
      <c r="W222" s="317">
        <f t="shared" si="200"/>
        <v>0</v>
      </c>
      <c r="X222" s="317">
        <f t="shared" si="201"/>
        <v>0</v>
      </c>
      <c r="Y222" s="317">
        <f t="shared" si="202"/>
        <v>0</v>
      </c>
      <c r="Z222" s="317">
        <f t="shared" si="183"/>
        <v>0</v>
      </c>
      <c r="AA222" s="317">
        <f t="shared" si="184"/>
        <v>0</v>
      </c>
      <c r="AB222" s="317">
        <f t="shared" si="203"/>
        <v>0</v>
      </c>
      <c r="AC222" s="317">
        <f t="shared" si="204"/>
        <v>0</v>
      </c>
      <c r="AD222" s="317">
        <f t="shared" si="185"/>
        <v>0</v>
      </c>
      <c r="AE222" s="317">
        <f t="shared" si="186"/>
        <v>0</v>
      </c>
      <c r="AF222" s="317">
        <f t="shared" si="178"/>
        <v>0</v>
      </c>
      <c r="AG222" s="317">
        <f t="shared" si="179"/>
        <v>0</v>
      </c>
      <c r="AH222" s="317">
        <f t="shared" si="205"/>
        <v>0</v>
      </c>
      <c r="AI222" s="317">
        <f t="shared" si="206"/>
        <v>0</v>
      </c>
      <c r="AJ222" s="317">
        <f t="shared" si="207"/>
        <v>0</v>
      </c>
      <c r="AK222" s="317">
        <f t="shared" si="208"/>
        <v>0</v>
      </c>
      <c r="AL222" s="317">
        <f t="shared" si="209"/>
        <v>0</v>
      </c>
      <c r="AM222" s="317">
        <f t="shared" si="210"/>
        <v>0</v>
      </c>
      <c r="AN222" s="317">
        <f t="shared" si="211"/>
        <v>0</v>
      </c>
      <c r="AO222" s="317">
        <f t="shared" si="212"/>
        <v>0</v>
      </c>
      <c r="AP222" s="317">
        <f t="shared" si="213"/>
        <v>0</v>
      </c>
      <c r="AQ222" s="317">
        <f t="shared" si="214"/>
        <v>0</v>
      </c>
      <c r="AR222" s="317">
        <f t="shared" si="187"/>
        <v>0</v>
      </c>
      <c r="AS222" s="317">
        <f t="shared" si="188"/>
        <v>0</v>
      </c>
      <c r="AT222" s="317">
        <f t="shared" si="215"/>
        <v>0</v>
      </c>
      <c r="AU222" s="317">
        <f t="shared" si="216"/>
        <v>0</v>
      </c>
      <c r="AV222" s="317">
        <f t="shared" si="217"/>
        <v>0</v>
      </c>
      <c r="AW222" s="317">
        <f t="shared" si="218"/>
        <v>0</v>
      </c>
      <c r="AX222" s="317">
        <f t="shared" si="189"/>
        <v>0</v>
      </c>
      <c r="AY222" s="317">
        <f t="shared" si="190"/>
        <v>0</v>
      </c>
      <c r="AZ222" s="317">
        <f t="shared" si="191"/>
        <v>0</v>
      </c>
      <c r="BA222" s="317">
        <f t="shared" si="192"/>
        <v>0</v>
      </c>
    </row>
    <row r="223" spans="1:53" s="314" customFormat="1" ht="16.5" customHeight="1">
      <c r="A223" s="63" t="str">
        <f t="array" ref="A223">IF(C223&lt;&gt;0,SUM(($C$11:C223&lt;&gt;0)*1),"")</f>
        <v/>
      </c>
      <c r="B223" s="315"/>
      <c r="C223" s="315"/>
      <c r="D223" s="315"/>
      <c r="E223" s="432"/>
      <c r="F223" s="371"/>
      <c r="G223" s="373"/>
      <c r="H223" s="373"/>
      <c r="I223" s="63" t="str">
        <f t="shared" si="180"/>
        <v/>
      </c>
      <c r="J223" s="317">
        <f t="shared" si="181"/>
        <v>0</v>
      </c>
      <c r="K223" s="317">
        <f t="shared" si="182"/>
        <v>0</v>
      </c>
      <c r="L223" s="317">
        <f t="shared" si="193"/>
        <v>0</v>
      </c>
      <c r="M223" s="317">
        <f t="shared" si="194"/>
        <v>0</v>
      </c>
      <c r="N223" s="317">
        <f t="shared" si="174"/>
        <v>0</v>
      </c>
      <c r="O223" s="317">
        <f t="shared" si="175"/>
        <v>0</v>
      </c>
      <c r="P223" s="317">
        <f t="shared" si="195"/>
        <v>0</v>
      </c>
      <c r="Q223" s="317">
        <f t="shared" si="196"/>
        <v>0</v>
      </c>
      <c r="R223" s="317">
        <f t="shared" si="197"/>
        <v>0</v>
      </c>
      <c r="S223" s="317">
        <f t="shared" si="198"/>
        <v>0</v>
      </c>
      <c r="T223" s="317">
        <f t="shared" si="176"/>
        <v>0</v>
      </c>
      <c r="U223" s="317">
        <f t="shared" si="177"/>
        <v>0</v>
      </c>
      <c r="V223" s="317">
        <f t="shared" si="199"/>
        <v>0</v>
      </c>
      <c r="W223" s="317">
        <f t="shared" si="200"/>
        <v>0</v>
      </c>
      <c r="X223" s="317">
        <f t="shared" si="201"/>
        <v>0</v>
      </c>
      <c r="Y223" s="317">
        <f t="shared" si="202"/>
        <v>0</v>
      </c>
      <c r="Z223" s="317">
        <f t="shared" si="183"/>
        <v>0</v>
      </c>
      <c r="AA223" s="317">
        <f t="shared" si="184"/>
        <v>0</v>
      </c>
      <c r="AB223" s="317">
        <f t="shared" si="203"/>
        <v>0</v>
      </c>
      <c r="AC223" s="317">
        <f t="shared" si="204"/>
        <v>0</v>
      </c>
      <c r="AD223" s="317">
        <f t="shared" si="185"/>
        <v>0</v>
      </c>
      <c r="AE223" s="317">
        <f t="shared" si="186"/>
        <v>0</v>
      </c>
      <c r="AF223" s="317">
        <f t="shared" si="178"/>
        <v>0</v>
      </c>
      <c r="AG223" s="317">
        <f t="shared" si="179"/>
        <v>0</v>
      </c>
      <c r="AH223" s="317">
        <f t="shared" si="205"/>
        <v>0</v>
      </c>
      <c r="AI223" s="317">
        <f t="shared" si="206"/>
        <v>0</v>
      </c>
      <c r="AJ223" s="317">
        <f t="shared" si="207"/>
        <v>0</v>
      </c>
      <c r="AK223" s="317">
        <f t="shared" si="208"/>
        <v>0</v>
      </c>
      <c r="AL223" s="317">
        <f t="shared" si="209"/>
        <v>0</v>
      </c>
      <c r="AM223" s="317">
        <f t="shared" si="210"/>
        <v>0</v>
      </c>
      <c r="AN223" s="317">
        <f t="shared" si="211"/>
        <v>0</v>
      </c>
      <c r="AO223" s="317">
        <f t="shared" si="212"/>
        <v>0</v>
      </c>
      <c r="AP223" s="317">
        <f t="shared" si="213"/>
        <v>0</v>
      </c>
      <c r="AQ223" s="317">
        <f t="shared" si="214"/>
        <v>0</v>
      </c>
      <c r="AR223" s="317">
        <f t="shared" si="187"/>
        <v>0</v>
      </c>
      <c r="AS223" s="317">
        <f t="shared" si="188"/>
        <v>0</v>
      </c>
      <c r="AT223" s="317">
        <f t="shared" si="215"/>
        <v>0</v>
      </c>
      <c r="AU223" s="317">
        <f t="shared" si="216"/>
        <v>0</v>
      </c>
      <c r="AV223" s="317">
        <f t="shared" si="217"/>
        <v>0</v>
      </c>
      <c r="AW223" s="317">
        <f t="shared" si="218"/>
        <v>0</v>
      </c>
      <c r="AX223" s="317">
        <f t="shared" si="189"/>
        <v>0</v>
      </c>
      <c r="AY223" s="317">
        <f t="shared" si="190"/>
        <v>0</v>
      </c>
      <c r="AZ223" s="317">
        <f t="shared" si="191"/>
        <v>0</v>
      </c>
      <c r="BA223" s="317">
        <f t="shared" si="192"/>
        <v>0</v>
      </c>
    </row>
    <row r="224" spans="1:53" s="314" customFormat="1" ht="16.5" customHeight="1">
      <c r="A224" s="63" t="str">
        <f t="array" ref="A224">IF(C224&lt;&gt;0,SUM(($C$11:C224&lt;&gt;0)*1),"")</f>
        <v/>
      </c>
      <c r="B224" s="315"/>
      <c r="C224" s="315"/>
      <c r="D224" s="315"/>
      <c r="E224" s="432"/>
      <c r="F224" s="371"/>
      <c r="G224" s="373"/>
      <c r="H224" s="373"/>
      <c r="I224" s="63" t="str">
        <f t="shared" si="180"/>
        <v/>
      </c>
      <c r="J224" s="317">
        <f t="shared" si="181"/>
        <v>0</v>
      </c>
      <c r="K224" s="317">
        <f t="shared" si="182"/>
        <v>0</v>
      </c>
      <c r="L224" s="317">
        <f t="shared" si="193"/>
        <v>0</v>
      </c>
      <c r="M224" s="317">
        <f t="shared" si="194"/>
        <v>0</v>
      </c>
      <c r="N224" s="317">
        <f t="shared" si="174"/>
        <v>0</v>
      </c>
      <c r="O224" s="317">
        <f t="shared" si="175"/>
        <v>0</v>
      </c>
      <c r="P224" s="317">
        <f t="shared" si="195"/>
        <v>0</v>
      </c>
      <c r="Q224" s="317">
        <f t="shared" si="196"/>
        <v>0</v>
      </c>
      <c r="R224" s="317">
        <f t="shared" si="197"/>
        <v>0</v>
      </c>
      <c r="S224" s="317">
        <f t="shared" si="198"/>
        <v>0</v>
      </c>
      <c r="T224" s="317">
        <f t="shared" si="176"/>
        <v>0</v>
      </c>
      <c r="U224" s="317">
        <f t="shared" si="177"/>
        <v>0</v>
      </c>
      <c r="V224" s="317">
        <f t="shared" si="199"/>
        <v>0</v>
      </c>
      <c r="W224" s="317">
        <f t="shared" si="200"/>
        <v>0</v>
      </c>
      <c r="X224" s="317">
        <f t="shared" si="201"/>
        <v>0</v>
      </c>
      <c r="Y224" s="317">
        <f t="shared" si="202"/>
        <v>0</v>
      </c>
      <c r="Z224" s="317">
        <f t="shared" si="183"/>
        <v>0</v>
      </c>
      <c r="AA224" s="317">
        <f t="shared" si="184"/>
        <v>0</v>
      </c>
      <c r="AB224" s="317">
        <f t="shared" si="203"/>
        <v>0</v>
      </c>
      <c r="AC224" s="317">
        <f t="shared" si="204"/>
        <v>0</v>
      </c>
      <c r="AD224" s="317">
        <f t="shared" si="185"/>
        <v>0</v>
      </c>
      <c r="AE224" s="317">
        <f t="shared" si="186"/>
        <v>0</v>
      </c>
      <c r="AF224" s="317">
        <f t="shared" si="178"/>
        <v>0</v>
      </c>
      <c r="AG224" s="317">
        <f t="shared" si="179"/>
        <v>0</v>
      </c>
      <c r="AH224" s="317">
        <f t="shared" si="205"/>
        <v>0</v>
      </c>
      <c r="AI224" s="317">
        <f t="shared" si="206"/>
        <v>0</v>
      </c>
      <c r="AJ224" s="317">
        <f t="shared" si="207"/>
        <v>0</v>
      </c>
      <c r="AK224" s="317">
        <f t="shared" si="208"/>
        <v>0</v>
      </c>
      <c r="AL224" s="317">
        <f t="shared" si="209"/>
        <v>0</v>
      </c>
      <c r="AM224" s="317">
        <f t="shared" si="210"/>
        <v>0</v>
      </c>
      <c r="AN224" s="317">
        <f t="shared" si="211"/>
        <v>0</v>
      </c>
      <c r="AO224" s="317">
        <f t="shared" si="212"/>
        <v>0</v>
      </c>
      <c r="AP224" s="317">
        <f t="shared" si="213"/>
        <v>0</v>
      </c>
      <c r="AQ224" s="317">
        <f t="shared" si="214"/>
        <v>0</v>
      </c>
      <c r="AR224" s="317">
        <f t="shared" si="187"/>
        <v>0</v>
      </c>
      <c r="AS224" s="317">
        <f t="shared" si="188"/>
        <v>0</v>
      </c>
      <c r="AT224" s="317">
        <f t="shared" si="215"/>
        <v>0</v>
      </c>
      <c r="AU224" s="317">
        <f t="shared" si="216"/>
        <v>0</v>
      </c>
      <c r="AV224" s="317">
        <f t="shared" si="217"/>
        <v>0</v>
      </c>
      <c r="AW224" s="317">
        <f t="shared" si="218"/>
        <v>0</v>
      </c>
      <c r="AX224" s="317">
        <f t="shared" si="189"/>
        <v>0</v>
      </c>
      <c r="AY224" s="317">
        <f t="shared" si="190"/>
        <v>0</v>
      </c>
      <c r="AZ224" s="317">
        <f t="shared" si="191"/>
        <v>0</v>
      </c>
      <c r="BA224" s="317">
        <f t="shared" si="192"/>
        <v>0</v>
      </c>
    </row>
    <row r="225" spans="1:53" s="314" customFormat="1" ht="16.5" customHeight="1">
      <c r="A225" s="63" t="str">
        <f t="array" ref="A225">IF(C225&lt;&gt;0,SUM(($C$11:C225&lt;&gt;0)*1),"")</f>
        <v/>
      </c>
      <c r="B225" s="315"/>
      <c r="C225" s="315"/>
      <c r="D225" s="315"/>
      <c r="E225" s="432"/>
      <c r="F225" s="371"/>
      <c r="G225" s="373"/>
      <c r="H225" s="373"/>
      <c r="I225" s="63" t="str">
        <f t="shared" si="180"/>
        <v/>
      </c>
      <c r="J225" s="317">
        <f t="shared" si="181"/>
        <v>0</v>
      </c>
      <c r="K225" s="317">
        <f t="shared" si="182"/>
        <v>0</v>
      </c>
      <c r="L225" s="317">
        <f t="shared" si="193"/>
        <v>0</v>
      </c>
      <c r="M225" s="317">
        <f t="shared" si="194"/>
        <v>0</v>
      </c>
      <c r="N225" s="317">
        <f t="shared" si="174"/>
        <v>0</v>
      </c>
      <c r="O225" s="317">
        <f t="shared" si="175"/>
        <v>0</v>
      </c>
      <c r="P225" s="317">
        <f t="shared" si="195"/>
        <v>0</v>
      </c>
      <c r="Q225" s="317">
        <f t="shared" si="196"/>
        <v>0</v>
      </c>
      <c r="R225" s="317">
        <f t="shared" si="197"/>
        <v>0</v>
      </c>
      <c r="S225" s="317">
        <f t="shared" si="198"/>
        <v>0</v>
      </c>
      <c r="T225" s="317">
        <f t="shared" si="176"/>
        <v>0</v>
      </c>
      <c r="U225" s="317">
        <f t="shared" si="177"/>
        <v>0</v>
      </c>
      <c r="V225" s="317">
        <f t="shared" si="199"/>
        <v>0</v>
      </c>
      <c r="W225" s="317">
        <f t="shared" si="200"/>
        <v>0</v>
      </c>
      <c r="X225" s="317">
        <f t="shared" si="201"/>
        <v>0</v>
      </c>
      <c r="Y225" s="317">
        <f t="shared" si="202"/>
        <v>0</v>
      </c>
      <c r="Z225" s="317">
        <f t="shared" si="183"/>
        <v>0</v>
      </c>
      <c r="AA225" s="317">
        <f t="shared" si="184"/>
        <v>0</v>
      </c>
      <c r="AB225" s="317">
        <f t="shared" si="203"/>
        <v>0</v>
      </c>
      <c r="AC225" s="317">
        <f t="shared" si="204"/>
        <v>0</v>
      </c>
      <c r="AD225" s="317">
        <f t="shared" si="185"/>
        <v>0</v>
      </c>
      <c r="AE225" s="317">
        <f t="shared" si="186"/>
        <v>0</v>
      </c>
      <c r="AF225" s="317">
        <f t="shared" si="178"/>
        <v>0</v>
      </c>
      <c r="AG225" s="317">
        <f t="shared" si="179"/>
        <v>0</v>
      </c>
      <c r="AH225" s="317">
        <f t="shared" si="205"/>
        <v>0</v>
      </c>
      <c r="AI225" s="317">
        <f t="shared" si="206"/>
        <v>0</v>
      </c>
      <c r="AJ225" s="317">
        <f t="shared" si="207"/>
        <v>0</v>
      </c>
      <c r="AK225" s="317">
        <f t="shared" si="208"/>
        <v>0</v>
      </c>
      <c r="AL225" s="317">
        <f t="shared" si="209"/>
        <v>0</v>
      </c>
      <c r="AM225" s="317">
        <f t="shared" si="210"/>
        <v>0</v>
      </c>
      <c r="AN225" s="317">
        <f t="shared" si="211"/>
        <v>0</v>
      </c>
      <c r="AO225" s="317">
        <f t="shared" si="212"/>
        <v>0</v>
      </c>
      <c r="AP225" s="317">
        <f t="shared" si="213"/>
        <v>0</v>
      </c>
      <c r="AQ225" s="317">
        <f t="shared" si="214"/>
        <v>0</v>
      </c>
      <c r="AR225" s="317">
        <f t="shared" si="187"/>
        <v>0</v>
      </c>
      <c r="AS225" s="317">
        <f t="shared" si="188"/>
        <v>0</v>
      </c>
      <c r="AT225" s="317">
        <f t="shared" si="215"/>
        <v>0</v>
      </c>
      <c r="AU225" s="317">
        <f t="shared" si="216"/>
        <v>0</v>
      </c>
      <c r="AV225" s="317">
        <f t="shared" si="217"/>
        <v>0</v>
      </c>
      <c r="AW225" s="317">
        <f t="shared" si="218"/>
        <v>0</v>
      </c>
      <c r="AX225" s="317">
        <f t="shared" si="189"/>
        <v>0</v>
      </c>
      <c r="AY225" s="317">
        <f t="shared" si="190"/>
        <v>0</v>
      </c>
      <c r="AZ225" s="317">
        <f t="shared" si="191"/>
        <v>0</v>
      </c>
      <c r="BA225" s="317">
        <f t="shared" si="192"/>
        <v>0</v>
      </c>
    </row>
    <row r="226" spans="1:53" s="314" customFormat="1" ht="16.5" customHeight="1">
      <c r="A226" s="63" t="str">
        <f t="array" ref="A226">IF(C226&lt;&gt;0,SUM(($C$11:C226&lt;&gt;0)*1),"")</f>
        <v/>
      </c>
      <c r="B226" s="315"/>
      <c r="C226" s="315"/>
      <c r="D226" s="315"/>
      <c r="E226" s="432"/>
      <c r="F226" s="371"/>
      <c r="G226" s="373"/>
      <c r="H226" s="373"/>
      <c r="I226" s="63" t="str">
        <f t="shared" si="180"/>
        <v/>
      </c>
      <c r="J226" s="317">
        <f t="shared" si="181"/>
        <v>0</v>
      </c>
      <c r="K226" s="317">
        <f t="shared" si="182"/>
        <v>0</v>
      </c>
      <c r="L226" s="317">
        <f t="shared" si="193"/>
        <v>0</v>
      </c>
      <c r="M226" s="317">
        <f t="shared" si="194"/>
        <v>0</v>
      </c>
      <c r="N226" s="317">
        <f t="shared" si="174"/>
        <v>0</v>
      </c>
      <c r="O226" s="317">
        <f t="shared" si="175"/>
        <v>0</v>
      </c>
      <c r="P226" s="317">
        <f t="shared" si="195"/>
        <v>0</v>
      </c>
      <c r="Q226" s="317">
        <f t="shared" si="196"/>
        <v>0</v>
      </c>
      <c r="R226" s="317">
        <f t="shared" si="197"/>
        <v>0</v>
      </c>
      <c r="S226" s="317">
        <f t="shared" si="198"/>
        <v>0</v>
      </c>
      <c r="T226" s="317">
        <f t="shared" si="176"/>
        <v>0</v>
      </c>
      <c r="U226" s="317">
        <f t="shared" si="177"/>
        <v>0</v>
      </c>
      <c r="V226" s="317">
        <f t="shared" si="199"/>
        <v>0</v>
      </c>
      <c r="W226" s="317">
        <f t="shared" si="200"/>
        <v>0</v>
      </c>
      <c r="X226" s="317">
        <f t="shared" si="201"/>
        <v>0</v>
      </c>
      <c r="Y226" s="317">
        <f t="shared" si="202"/>
        <v>0</v>
      </c>
      <c r="Z226" s="317">
        <f t="shared" si="183"/>
        <v>0</v>
      </c>
      <c r="AA226" s="317">
        <f t="shared" si="184"/>
        <v>0</v>
      </c>
      <c r="AB226" s="317">
        <f t="shared" si="203"/>
        <v>0</v>
      </c>
      <c r="AC226" s="317">
        <f t="shared" si="204"/>
        <v>0</v>
      </c>
      <c r="AD226" s="317">
        <f t="shared" si="185"/>
        <v>0</v>
      </c>
      <c r="AE226" s="317">
        <f t="shared" si="186"/>
        <v>0</v>
      </c>
      <c r="AF226" s="317">
        <f t="shared" si="178"/>
        <v>0</v>
      </c>
      <c r="AG226" s="317">
        <f t="shared" si="179"/>
        <v>0</v>
      </c>
      <c r="AH226" s="317">
        <f t="shared" si="205"/>
        <v>0</v>
      </c>
      <c r="AI226" s="317">
        <f t="shared" si="206"/>
        <v>0</v>
      </c>
      <c r="AJ226" s="317">
        <f t="shared" si="207"/>
        <v>0</v>
      </c>
      <c r="AK226" s="317">
        <f t="shared" si="208"/>
        <v>0</v>
      </c>
      <c r="AL226" s="317">
        <f t="shared" si="209"/>
        <v>0</v>
      </c>
      <c r="AM226" s="317">
        <f t="shared" si="210"/>
        <v>0</v>
      </c>
      <c r="AN226" s="317">
        <f t="shared" si="211"/>
        <v>0</v>
      </c>
      <c r="AO226" s="317">
        <f t="shared" si="212"/>
        <v>0</v>
      </c>
      <c r="AP226" s="317">
        <f t="shared" si="213"/>
        <v>0</v>
      </c>
      <c r="AQ226" s="317">
        <f t="shared" si="214"/>
        <v>0</v>
      </c>
      <c r="AR226" s="317">
        <f t="shared" si="187"/>
        <v>0</v>
      </c>
      <c r="AS226" s="317">
        <f t="shared" si="188"/>
        <v>0</v>
      </c>
      <c r="AT226" s="317">
        <f t="shared" si="215"/>
        <v>0</v>
      </c>
      <c r="AU226" s="317">
        <f t="shared" si="216"/>
        <v>0</v>
      </c>
      <c r="AV226" s="317">
        <f t="shared" si="217"/>
        <v>0</v>
      </c>
      <c r="AW226" s="317">
        <f t="shared" si="218"/>
        <v>0</v>
      </c>
      <c r="AX226" s="317">
        <f t="shared" si="189"/>
        <v>0</v>
      </c>
      <c r="AY226" s="317">
        <f t="shared" si="190"/>
        <v>0</v>
      </c>
      <c r="AZ226" s="317">
        <f t="shared" si="191"/>
        <v>0</v>
      </c>
      <c r="BA226" s="317">
        <f t="shared" si="192"/>
        <v>0</v>
      </c>
    </row>
    <row r="227" spans="1:53" s="314" customFormat="1" ht="16.5" customHeight="1">
      <c r="A227" s="63" t="str">
        <f t="array" ref="A227">IF(C227&lt;&gt;0,SUM(($C$11:C227&lt;&gt;0)*1),"")</f>
        <v/>
      </c>
      <c r="B227" s="315"/>
      <c r="C227" s="315"/>
      <c r="D227" s="315"/>
      <c r="E227" s="432"/>
      <c r="F227" s="371"/>
      <c r="G227" s="373"/>
      <c r="H227" s="373"/>
      <c r="I227" s="63" t="str">
        <f t="shared" si="180"/>
        <v/>
      </c>
      <c r="J227" s="317">
        <f t="shared" si="181"/>
        <v>0</v>
      </c>
      <c r="K227" s="317">
        <f t="shared" si="182"/>
        <v>0</v>
      </c>
      <c r="L227" s="317">
        <f t="shared" si="193"/>
        <v>0</v>
      </c>
      <c r="M227" s="317">
        <f t="shared" si="194"/>
        <v>0</v>
      </c>
      <c r="N227" s="317">
        <f t="shared" si="174"/>
        <v>0</v>
      </c>
      <c r="O227" s="317">
        <f t="shared" si="175"/>
        <v>0</v>
      </c>
      <c r="P227" s="317">
        <f t="shared" si="195"/>
        <v>0</v>
      </c>
      <c r="Q227" s="317">
        <f t="shared" si="196"/>
        <v>0</v>
      </c>
      <c r="R227" s="317">
        <f t="shared" si="197"/>
        <v>0</v>
      </c>
      <c r="S227" s="317">
        <f t="shared" si="198"/>
        <v>0</v>
      </c>
      <c r="T227" s="317">
        <f t="shared" si="176"/>
        <v>0</v>
      </c>
      <c r="U227" s="317">
        <f t="shared" si="177"/>
        <v>0</v>
      </c>
      <c r="V227" s="317">
        <f t="shared" si="199"/>
        <v>0</v>
      </c>
      <c r="W227" s="317">
        <f t="shared" si="200"/>
        <v>0</v>
      </c>
      <c r="X227" s="317">
        <f t="shared" si="201"/>
        <v>0</v>
      </c>
      <c r="Y227" s="317">
        <f t="shared" si="202"/>
        <v>0</v>
      </c>
      <c r="Z227" s="317">
        <f t="shared" si="183"/>
        <v>0</v>
      </c>
      <c r="AA227" s="317">
        <f t="shared" si="184"/>
        <v>0</v>
      </c>
      <c r="AB227" s="317">
        <f t="shared" si="203"/>
        <v>0</v>
      </c>
      <c r="AC227" s="317">
        <f t="shared" si="204"/>
        <v>0</v>
      </c>
      <c r="AD227" s="317">
        <f t="shared" si="185"/>
        <v>0</v>
      </c>
      <c r="AE227" s="317">
        <f t="shared" si="186"/>
        <v>0</v>
      </c>
      <c r="AF227" s="317">
        <f t="shared" si="178"/>
        <v>0</v>
      </c>
      <c r="AG227" s="317">
        <f t="shared" si="179"/>
        <v>0</v>
      </c>
      <c r="AH227" s="317">
        <f t="shared" si="205"/>
        <v>0</v>
      </c>
      <c r="AI227" s="317">
        <f t="shared" si="206"/>
        <v>0</v>
      </c>
      <c r="AJ227" s="317">
        <f t="shared" si="207"/>
        <v>0</v>
      </c>
      <c r="AK227" s="317">
        <f t="shared" si="208"/>
        <v>0</v>
      </c>
      <c r="AL227" s="317">
        <f t="shared" si="209"/>
        <v>0</v>
      </c>
      <c r="AM227" s="317">
        <f t="shared" si="210"/>
        <v>0</v>
      </c>
      <c r="AN227" s="317">
        <f t="shared" si="211"/>
        <v>0</v>
      </c>
      <c r="AO227" s="317">
        <f t="shared" si="212"/>
        <v>0</v>
      </c>
      <c r="AP227" s="317">
        <f t="shared" si="213"/>
        <v>0</v>
      </c>
      <c r="AQ227" s="317">
        <f t="shared" si="214"/>
        <v>0</v>
      </c>
      <c r="AR227" s="317">
        <f t="shared" si="187"/>
        <v>0</v>
      </c>
      <c r="AS227" s="317">
        <f t="shared" si="188"/>
        <v>0</v>
      </c>
      <c r="AT227" s="317">
        <f t="shared" si="215"/>
        <v>0</v>
      </c>
      <c r="AU227" s="317">
        <f t="shared" si="216"/>
        <v>0</v>
      </c>
      <c r="AV227" s="317">
        <f t="shared" si="217"/>
        <v>0</v>
      </c>
      <c r="AW227" s="317">
        <f t="shared" si="218"/>
        <v>0</v>
      </c>
      <c r="AX227" s="317">
        <f t="shared" si="189"/>
        <v>0</v>
      </c>
      <c r="AY227" s="317">
        <f t="shared" si="190"/>
        <v>0</v>
      </c>
      <c r="AZ227" s="317">
        <f t="shared" si="191"/>
        <v>0</v>
      </c>
      <c r="BA227" s="317">
        <f t="shared" si="192"/>
        <v>0</v>
      </c>
    </row>
    <row r="228" spans="1:53" s="314" customFormat="1" ht="16.5" customHeight="1">
      <c r="A228" s="63" t="str">
        <f t="array" ref="A228">IF(C228&lt;&gt;0,SUM(($C$11:C228&lt;&gt;0)*1),"")</f>
        <v/>
      </c>
      <c r="B228" s="315"/>
      <c r="C228" s="315"/>
      <c r="D228" s="315"/>
      <c r="E228" s="432"/>
      <c r="F228" s="371"/>
      <c r="G228" s="373"/>
      <c r="H228" s="373"/>
      <c r="I228" s="63" t="str">
        <f t="shared" si="180"/>
        <v/>
      </c>
      <c r="J228" s="317">
        <f t="shared" si="181"/>
        <v>0</v>
      </c>
      <c r="K228" s="317">
        <f t="shared" si="182"/>
        <v>0</v>
      </c>
      <c r="L228" s="317">
        <f t="shared" si="193"/>
        <v>0</v>
      </c>
      <c r="M228" s="317">
        <f t="shared" si="194"/>
        <v>0</v>
      </c>
      <c r="N228" s="317">
        <f t="shared" si="174"/>
        <v>0</v>
      </c>
      <c r="O228" s="317">
        <f t="shared" si="175"/>
        <v>0</v>
      </c>
      <c r="P228" s="317">
        <f t="shared" si="195"/>
        <v>0</v>
      </c>
      <c r="Q228" s="317">
        <f t="shared" si="196"/>
        <v>0</v>
      </c>
      <c r="R228" s="317">
        <f t="shared" si="197"/>
        <v>0</v>
      </c>
      <c r="S228" s="317">
        <f t="shared" si="198"/>
        <v>0</v>
      </c>
      <c r="T228" s="317">
        <f t="shared" si="176"/>
        <v>0</v>
      </c>
      <c r="U228" s="317">
        <f t="shared" si="177"/>
        <v>0</v>
      </c>
      <c r="V228" s="317">
        <f t="shared" si="199"/>
        <v>0</v>
      </c>
      <c r="W228" s="317">
        <f t="shared" si="200"/>
        <v>0</v>
      </c>
      <c r="X228" s="317">
        <f t="shared" si="201"/>
        <v>0</v>
      </c>
      <c r="Y228" s="317">
        <f t="shared" si="202"/>
        <v>0</v>
      </c>
      <c r="Z228" s="317">
        <f t="shared" si="183"/>
        <v>0</v>
      </c>
      <c r="AA228" s="317">
        <f t="shared" si="184"/>
        <v>0</v>
      </c>
      <c r="AB228" s="317">
        <f t="shared" si="203"/>
        <v>0</v>
      </c>
      <c r="AC228" s="317">
        <f t="shared" si="204"/>
        <v>0</v>
      </c>
      <c r="AD228" s="317">
        <f t="shared" si="185"/>
        <v>0</v>
      </c>
      <c r="AE228" s="317">
        <f t="shared" si="186"/>
        <v>0</v>
      </c>
      <c r="AF228" s="317">
        <f t="shared" si="178"/>
        <v>0</v>
      </c>
      <c r="AG228" s="317">
        <f t="shared" si="179"/>
        <v>0</v>
      </c>
      <c r="AH228" s="317">
        <f t="shared" si="205"/>
        <v>0</v>
      </c>
      <c r="AI228" s="317">
        <f t="shared" si="206"/>
        <v>0</v>
      </c>
      <c r="AJ228" s="317">
        <f t="shared" si="207"/>
        <v>0</v>
      </c>
      <c r="AK228" s="317">
        <f t="shared" si="208"/>
        <v>0</v>
      </c>
      <c r="AL228" s="317">
        <f t="shared" si="209"/>
        <v>0</v>
      </c>
      <c r="AM228" s="317">
        <f t="shared" si="210"/>
        <v>0</v>
      </c>
      <c r="AN228" s="317">
        <f t="shared" si="211"/>
        <v>0</v>
      </c>
      <c r="AO228" s="317">
        <f t="shared" si="212"/>
        <v>0</v>
      </c>
      <c r="AP228" s="317">
        <f t="shared" si="213"/>
        <v>0</v>
      </c>
      <c r="AQ228" s="317">
        <f t="shared" si="214"/>
        <v>0</v>
      </c>
      <c r="AR228" s="317">
        <f t="shared" si="187"/>
        <v>0</v>
      </c>
      <c r="AS228" s="317">
        <f t="shared" si="188"/>
        <v>0</v>
      </c>
      <c r="AT228" s="317">
        <f t="shared" si="215"/>
        <v>0</v>
      </c>
      <c r="AU228" s="317">
        <f t="shared" si="216"/>
        <v>0</v>
      </c>
      <c r="AV228" s="317">
        <f t="shared" si="217"/>
        <v>0</v>
      </c>
      <c r="AW228" s="317">
        <f t="shared" si="218"/>
        <v>0</v>
      </c>
      <c r="AX228" s="317">
        <f t="shared" si="189"/>
        <v>0</v>
      </c>
      <c r="AY228" s="317">
        <f t="shared" si="190"/>
        <v>0</v>
      </c>
      <c r="AZ228" s="317">
        <f t="shared" si="191"/>
        <v>0</v>
      </c>
      <c r="BA228" s="317">
        <f t="shared" si="192"/>
        <v>0</v>
      </c>
    </row>
    <row r="229" spans="1:53" s="314" customFormat="1" ht="16.5" customHeight="1">
      <c r="A229" s="63" t="str">
        <f t="array" ref="A229">IF(C229&lt;&gt;0,SUM(($C$11:C229&lt;&gt;0)*1),"")</f>
        <v/>
      </c>
      <c r="B229" s="315"/>
      <c r="C229" s="315"/>
      <c r="D229" s="315"/>
      <c r="E229" s="432"/>
      <c r="F229" s="371"/>
      <c r="G229" s="373"/>
      <c r="H229" s="373"/>
      <c r="I229" s="63" t="str">
        <f t="shared" si="180"/>
        <v/>
      </c>
      <c r="J229" s="317">
        <f t="shared" si="181"/>
        <v>0</v>
      </c>
      <c r="K229" s="317">
        <f t="shared" si="182"/>
        <v>0</v>
      </c>
      <c r="L229" s="317">
        <f t="shared" si="193"/>
        <v>0</v>
      </c>
      <c r="M229" s="317">
        <f t="shared" si="194"/>
        <v>0</v>
      </c>
      <c r="N229" s="317">
        <f t="shared" si="174"/>
        <v>0</v>
      </c>
      <c r="O229" s="317">
        <f t="shared" si="175"/>
        <v>0</v>
      </c>
      <c r="P229" s="317">
        <f t="shared" si="195"/>
        <v>0</v>
      </c>
      <c r="Q229" s="317">
        <f t="shared" si="196"/>
        <v>0</v>
      </c>
      <c r="R229" s="317">
        <f t="shared" si="197"/>
        <v>0</v>
      </c>
      <c r="S229" s="317">
        <f t="shared" si="198"/>
        <v>0</v>
      </c>
      <c r="T229" s="317">
        <f t="shared" si="176"/>
        <v>0</v>
      </c>
      <c r="U229" s="317">
        <f t="shared" si="177"/>
        <v>0</v>
      </c>
      <c r="V229" s="317">
        <f t="shared" si="199"/>
        <v>0</v>
      </c>
      <c r="W229" s="317">
        <f t="shared" si="200"/>
        <v>0</v>
      </c>
      <c r="X229" s="317">
        <f t="shared" si="201"/>
        <v>0</v>
      </c>
      <c r="Y229" s="317">
        <f t="shared" si="202"/>
        <v>0</v>
      </c>
      <c r="Z229" s="317">
        <f t="shared" si="183"/>
        <v>0</v>
      </c>
      <c r="AA229" s="317">
        <f t="shared" si="184"/>
        <v>0</v>
      </c>
      <c r="AB229" s="317">
        <f t="shared" si="203"/>
        <v>0</v>
      </c>
      <c r="AC229" s="317">
        <f t="shared" si="204"/>
        <v>0</v>
      </c>
      <c r="AD229" s="317">
        <f t="shared" si="185"/>
        <v>0</v>
      </c>
      <c r="AE229" s="317">
        <f t="shared" si="186"/>
        <v>0</v>
      </c>
      <c r="AF229" s="317">
        <f t="shared" si="178"/>
        <v>0</v>
      </c>
      <c r="AG229" s="317">
        <f t="shared" si="179"/>
        <v>0</v>
      </c>
      <c r="AH229" s="317">
        <f t="shared" si="205"/>
        <v>0</v>
      </c>
      <c r="AI229" s="317">
        <f t="shared" si="206"/>
        <v>0</v>
      </c>
      <c r="AJ229" s="317">
        <f t="shared" si="207"/>
        <v>0</v>
      </c>
      <c r="AK229" s="317">
        <f t="shared" si="208"/>
        <v>0</v>
      </c>
      <c r="AL229" s="317">
        <f t="shared" si="209"/>
        <v>0</v>
      </c>
      <c r="AM229" s="317">
        <f t="shared" si="210"/>
        <v>0</v>
      </c>
      <c r="AN229" s="317">
        <f t="shared" si="211"/>
        <v>0</v>
      </c>
      <c r="AO229" s="317">
        <f t="shared" si="212"/>
        <v>0</v>
      </c>
      <c r="AP229" s="317">
        <f t="shared" si="213"/>
        <v>0</v>
      </c>
      <c r="AQ229" s="317">
        <f t="shared" si="214"/>
        <v>0</v>
      </c>
      <c r="AR229" s="317">
        <f t="shared" si="187"/>
        <v>0</v>
      </c>
      <c r="AS229" s="317">
        <f t="shared" si="188"/>
        <v>0</v>
      </c>
      <c r="AT229" s="317">
        <f t="shared" si="215"/>
        <v>0</v>
      </c>
      <c r="AU229" s="317">
        <f t="shared" si="216"/>
        <v>0</v>
      </c>
      <c r="AV229" s="317">
        <f t="shared" si="217"/>
        <v>0</v>
      </c>
      <c r="AW229" s="317">
        <f t="shared" si="218"/>
        <v>0</v>
      </c>
      <c r="AX229" s="317">
        <f t="shared" si="189"/>
        <v>0</v>
      </c>
      <c r="AY229" s="317">
        <f t="shared" si="190"/>
        <v>0</v>
      </c>
      <c r="AZ229" s="317">
        <f t="shared" si="191"/>
        <v>0</v>
      </c>
      <c r="BA229" s="317">
        <f t="shared" si="192"/>
        <v>0</v>
      </c>
    </row>
    <row r="230" spans="1:53" s="314" customFormat="1" ht="16.5" customHeight="1">
      <c r="A230" s="63" t="str">
        <f t="array" ref="A230">IF(C230&lt;&gt;0,SUM(($C$11:C230&lt;&gt;0)*1),"")</f>
        <v/>
      </c>
      <c r="B230" s="315"/>
      <c r="C230" s="315"/>
      <c r="D230" s="315"/>
      <c r="E230" s="432"/>
      <c r="F230" s="371"/>
      <c r="G230" s="373"/>
      <c r="H230" s="373"/>
      <c r="I230" s="63" t="str">
        <f t="shared" si="180"/>
        <v/>
      </c>
      <c r="J230" s="317">
        <f t="shared" si="181"/>
        <v>0</v>
      </c>
      <c r="K230" s="317">
        <f t="shared" si="182"/>
        <v>0</v>
      </c>
      <c r="L230" s="317">
        <f t="shared" si="193"/>
        <v>0</v>
      </c>
      <c r="M230" s="317">
        <f t="shared" si="194"/>
        <v>0</v>
      </c>
      <c r="N230" s="317">
        <f t="shared" si="174"/>
        <v>0</v>
      </c>
      <c r="O230" s="317">
        <f t="shared" si="175"/>
        <v>0</v>
      </c>
      <c r="P230" s="317">
        <f t="shared" si="195"/>
        <v>0</v>
      </c>
      <c r="Q230" s="317">
        <f t="shared" si="196"/>
        <v>0</v>
      </c>
      <c r="R230" s="317">
        <f t="shared" si="197"/>
        <v>0</v>
      </c>
      <c r="S230" s="317">
        <f t="shared" si="198"/>
        <v>0</v>
      </c>
      <c r="T230" s="317">
        <f t="shared" si="176"/>
        <v>0</v>
      </c>
      <c r="U230" s="317">
        <f t="shared" si="177"/>
        <v>0</v>
      </c>
      <c r="V230" s="317">
        <f t="shared" si="199"/>
        <v>0</v>
      </c>
      <c r="W230" s="317">
        <f t="shared" si="200"/>
        <v>0</v>
      </c>
      <c r="X230" s="317">
        <f t="shared" si="201"/>
        <v>0</v>
      </c>
      <c r="Y230" s="317">
        <f t="shared" si="202"/>
        <v>0</v>
      </c>
      <c r="Z230" s="317">
        <f t="shared" si="183"/>
        <v>0</v>
      </c>
      <c r="AA230" s="317">
        <f t="shared" si="184"/>
        <v>0</v>
      </c>
      <c r="AB230" s="317">
        <f t="shared" si="203"/>
        <v>0</v>
      </c>
      <c r="AC230" s="317">
        <f t="shared" si="204"/>
        <v>0</v>
      </c>
      <c r="AD230" s="317">
        <f t="shared" si="185"/>
        <v>0</v>
      </c>
      <c r="AE230" s="317">
        <f t="shared" si="186"/>
        <v>0</v>
      </c>
      <c r="AF230" s="317">
        <f t="shared" si="178"/>
        <v>0</v>
      </c>
      <c r="AG230" s="317">
        <f t="shared" si="179"/>
        <v>0</v>
      </c>
      <c r="AH230" s="317">
        <f t="shared" si="205"/>
        <v>0</v>
      </c>
      <c r="AI230" s="317">
        <f t="shared" si="206"/>
        <v>0</v>
      </c>
      <c r="AJ230" s="317">
        <f t="shared" si="207"/>
        <v>0</v>
      </c>
      <c r="AK230" s="317">
        <f t="shared" si="208"/>
        <v>0</v>
      </c>
      <c r="AL230" s="317">
        <f t="shared" si="209"/>
        <v>0</v>
      </c>
      <c r="AM230" s="317">
        <f t="shared" si="210"/>
        <v>0</v>
      </c>
      <c r="AN230" s="317">
        <f t="shared" si="211"/>
        <v>0</v>
      </c>
      <c r="AO230" s="317">
        <f t="shared" si="212"/>
        <v>0</v>
      </c>
      <c r="AP230" s="317">
        <f t="shared" si="213"/>
        <v>0</v>
      </c>
      <c r="AQ230" s="317">
        <f t="shared" si="214"/>
        <v>0</v>
      </c>
      <c r="AR230" s="317">
        <f t="shared" si="187"/>
        <v>0</v>
      </c>
      <c r="AS230" s="317">
        <f t="shared" si="188"/>
        <v>0</v>
      </c>
      <c r="AT230" s="317">
        <f t="shared" si="215"/>
        <v>0</v>
      </c>
      <c r="AU230" s="317">
        <f t="shared" si="216"/>
        <v>0</v>
      </c>
      <c r="AV230" s="317">
        <f t="shared" si="217"/>
        <v>0</v>
      </c>
      <c r="AW230" s="317">
        <f t="shared" si="218"/>
        <v>0</v>
      </c>
      <c r="AX230" s="317">
        <f t="shared" si="189"/>
        <v>0</v>
      </c>
      <c r="AY230" s="317">
        <f t="shared" si="190"/>
        <v>0</v>
      </c>
      <c r="AZ230" s="317">
        <f t="shared" si="191"/>
        <v>0</v>
      </c>
      <c r="BA230" s="317">
        <f t="shared" si="192"/>
        <v>0</v>
      </c>
    </row>
    <row r="231" spans="1:53" s="314" customFormat="1" ht="16.5" customHeight="1">
      <c r="A231" s="63" t="str">
        <f t="array" ref="A231">IF(C231&lt;&gt;0,SUM(($C$11:C231&lt;&gt;0)*1),"")</f>
        <v/>
      </c>
      <c r="B231" s="315"/>
      <c r="C231" s="315"/>
      <c r="D231" s="315"/>
      <c r="E231" s="432"/>
      <c r="F231" s="371"/>
      <c r="G231" s="373"/>
      <c r="H231" s="373"/>
      <c r="I231" s="63" t="str">
        <f t="shared" si="180"/>
        <v/>
      </c>
      <c r="J231" s="317">
        <f t="shared" si="181"/>
        <v>0</v>
      </c>
      <c r="K231" s="317">
        <f t="shared" si="182"/>
        <v>0</v>
      </c>
      <c r="L231" s="317">
        <f t="shared" si="193"/>
        <v>0</v>
      </c>
      <c r="M231" s="317">
        <f t="shared" si="194"/>
        <v>0</v>
      </c>
      <c r="N231" s="317">
        <f t="shared" si="174"/>
        <v>0</v>
      </c>
      <c r="O231" s="317">
        <f t="shared" si="175"/>
        <v>0</v>
      </c>
      <c r="P231" s="317">
        <f t="shared" si="195"/>
        <v>0</v>
      </c>
      <c r="Q231" s="317">
        <f t="shared" si="196"/>
        <v>0</v>
      </c>
      <c r="R231" s="317">
        <f t="shared" si="197"/>
        <v>0</v>
      </c>
      <c r="S231" s="317">
        <f t="shared" si="198"/>
        <v>0</v>
      </c>
      <c r="T231" s="317">
        <f t="shared" si="176"/>
        <v>0</v>
      </c>
      <c r="U231" s="317">
        <f t="shared" si="177"/>
        <v>0</v>
      </c>
      <c r="V231" s="317">
        <f t="shared" si="199"/>
        <v>0</v>
      </c>
      <c r="W231" s="317">
        <f t="shared" si="200"/>
        <v>0</v>
      </c>
      <c r="X231" s="317">
        <f t="shared" si="201"/>
        <v>0</v>
      </c>
      <c r="Y231" s="317">
        <f t="shared" si="202"/>
        <v>0</v>
      </c>
      <c r="Z231" s="317">
        <f t="shared" si="183"/>
        <v>0</v>
      </c>
      <c r="AA231" s="317">
        <f t="shared" si="184"/>
        <v>0</v>
      </c>
      <c r="AB231" s="317">
        <f t="shared" si="203"/>
        <v>0</v>
      </c>
      <c r="AC231" s="317">
        <f t="shared" si="204"/>
        <v>0</v>
      </c>
      <c r="AD231" s="317">
        <f t="shared" si="185"/>
        <v>0</v>
      </c>
      <c r="AE231" s="317">
        <f t="shared" si="186"/>
        <v>0</v>
      </c>
      <c r="AF231" s="317">
        <f t="shared" si="178"/>
        <v>0</v>
      </c>
      <c r="AG231" s="317">
        <f t="shared" si="179"/>
        <v>0</v>
      </c>
      <c r="AH231" s="317">
        <f t="shared" si="205"/>
        <v>0</v>
      </c>
      <c r="AI231" s="317">
        <f t="shared" si="206"/>
        <v>0</v>
      </c>
      <c r="AJ231" s="317">
        <f t="shared" si="207"/>
        <v>0</v>
      </c>
      <c r="AK231" s="317">
        <f t="shared" si="208"/>
        <v>0</v>
      </c>
      <c r="AL231" s="317">
        <f t="shared" si="209"/>
        <v>0</v>
      </c>
      <c r="AM231" s="317">
        <f t="shared" si="210"/>
        <v>0</v>
      </c>
      <c r="AN231" s="317">
        <f t="shared" si="211"/>
        <v>0</v>
      </c>
      <c r="AO231" s="317">
        <f t="shared" si="212"/>
        <v>0</v>
      </c>
      <c r="AP231" s="317">
        <f t="shared" si="213"/>
        <v>0</v>
      </c>
      <c r="AQ231" s="317">
        <f t="shared" si="214"/>
        <v>0</v>
      </c>
      <c r="AR231" s="317">
        <f t="shared" si="187"/>
        <v>0</v>
      </c>
      <c r="AS231" s="317">
        <f t="shared" si="188"/>
        <v>0</v>
      </c>
      <c r="AT231" s="317">
        <f t="shared" si="215"/>
        <v>0</v>
      </c>
      <c r="AU231" s="317">
        <f t="shared" si="216"/>
        <v>0</v>
      </c>
      <c r="AV231" s="317">
        <f t="shared" si="217"/>
        <v>0</v>
      </c>
      <c r="AW231" s="317">
        <f t="shared" si="218"/>
        <v>0</v>
      </c>
      <c r="AX231" s="317">
        <f t="shared" si="189"/>
        <v>0</v>
      </c>
      <c r="AY231" s="317">
        <f t="shared" si="190"/>
        <v>0</v>
      </c>
      <c r="AZ231" s="317">
        <f t="shared" si="191"/>
        <v>0</v>
      </c>
      <c r="BA231" s="317">
        <f t="shared" si="192"/>
        <v>0</v>
      </c>
    </row>
    <row r="232" spans="1:53" s="314" customFormat="1" ht="16.5" customHeight="1">
      <c r="A232" s="63" t="str">
        <f t="array" ref="A232">IF(C232&lt;&gt;0,SUM(($C$11:C232&lt;&gt;0)*1),"")</f>
        <v/>
      </c>
      <c r="B232" s="315"/>
      <c r="C232" s="315"/>
      <c r="D232" s="315"/>
      <c r="E232" s="432"/>
      <c r="F232" s="371"/>
      <c r="G232" s="373"/>
      <c r="H232" s="373"/>
      <c r="I232" s="63" t="str">
        <f t="shared" si="180"/>
        <v/>
      </c>
      <c r="J232" s="317">
        <f t="shared" si="181"/>
        <v>0</v>
      </c>
      <c r="K232" s="317">
        <f t="shared" si="182"/>
        <v>0</v>
      </c>
      <c r="L232" s="317">
        <f t="shared" si="193"/>
        <v>0</v>
      </c>
      <c r="M232" s="317">
        <f t="shared" si="194"/>
        <v>0</v>
      </c>
      <c r="N232" s="317">
        <f t="shared" si="174"/>
        <v>0</v>
      </c>
      <c r="O232" s="317">
        <f t="shared" si="175"/>
        <v>0</v>
      </c>
      <c r="P232" s="317">
        <f t="shared" si="195"/>
        <v>0</v>
      </c>
      <c r="Q232" s="317">
        <f t="shared" si="196"/>
        <v>0</v>
      </c>
      <c r="R232" s="317">
        <f t="shared" si="197"/>
        <v>0</v>
      </c>
      <c r="S232" s="317">
        <f t="shared" si="198"/>
        <v>0</v>
      </c>
      <c r="T232" s="317">
        <f t="shared" si="176"/>
        <v>0</v>
      </c>
      <c r="U232" s="317">
        <f t="shared" si="177"/>
        <v>0</v>
      </c>
      <c r="V232" s="317">
        <f t="shared" si="199"/>
        <v>0</v>
      </c>
      <c r="W232" s="317">
        <f t="shared" si="200"/>
        <v>0</v>
      </c>
      <c r="X232" s="317">
        <f t="shared" si="201"/>
        <v>0</v>
      </c>
      <c r="Y232" s="317">
        <f t="shared" si="202"/>
        <v>0</v>
      </c>
      <c r="Z232" s="317">
        <f t="shared" si="183"/>
        <v>0</v>
      </c>
      <c r="AA232" s="317">
        <f t="shared" si="184"/>
        <v>0</v>
      </c>
      <c r="AB232" s="317">
        <f t="shared" si="203"/>
        <v>0</v>
      </c>
      <c r="AC232" s="317">
        <f t="shared" si="204"/>
        <v>0</v>
      </c>
      <c r="AD232" s="317">
        <f t="shared" si="185"/>
        <v>0</v>
      </c>
      <c r="AE232" s="317">
        <f t="shared" si="186"/>
        <v>0</v>
      </c>
      <c r="AF232" s="317">
        <f t="shared" si="178"/>
        <v>0</v>
      </c>
      <c r="AG232" s="317">
        <f t="shared" si="179"/>
        <v>0</v>
      </c>
      <c r="AH232" s="317">
        <f t="shared" si="205"/>
        <v>0</v>
      </c>
      <c r="AI232" s="317">
        <f t="shared" si="206"/>
        <v>0</v>
      </c>
      <c r="AJ232" s="317">
        <f t="shared" si="207"/>
        <v>0</v>
      </c>
      <c r="AK232" s="317">
        <f t="shared" si="208"/>
        <v>0</v>
      </c>
      <c r="AL232" s="317">
        <f t="shared" si="209"/>
        <v>0</v>
      </c>
      <c r="AM232" s="317">
        <f t="shared" si="210"/>
        <v>0</v>
      </c>
      <c r="AN232" s="317">
        <f t="shared" si="211"/>
        <v>0</v>
      </c>
      <c r="AO232" s="317">
        <f t="shared" si="212"/>
        <v>0</v>
      </c>
      <c r="AP232" s="317">
        <f t="shared" si="213"/>
        <v>0</v>
      </c>
      <c r="AQ232" s="317">
        <f t="shared" si="214"/>
        <v>0</v>
      </c>
      <c r="AR232" s="317">
        <f t="shared" si="187"/>
        <v>0</v>
      </c>
      <c r="AS232" s="317">
        <f t="shared" si="188"/>
        <v>0</v>
      </c>
      <c r="AT232" s="317">
        <f t="shared" si="215"/>
        <v>0</v>
      </c>
      <c r="AU232" s="317">
        <f t="shared" si="216"/>
        <v>0</v>
      </c>
      <c r="AV232" s="317">
        <f t="shared" si="217"/>
        <v>0</v>
      </c>
      <c r="AW232" s="317">
        <f t="shared" si="218"/>
        <v>0</v>
      </c>
      <c r="AX232" s="317">
        <f t="shared" si="189"/>
        <v>0</v>
      </c>
      <c r="AY232" s="317">
        <f t="shared" si="190"/>
        <v>0</v>
      </c>
      <c r="AZ232" s="317">
        <f t="shared" si="191"/>
        <v>0</v>
      </c>
      <c r="BA232" s="317">
        <f t="shared" si="192"/>
        <v>0</v>
      </c>
    </row>
    <row r="233" spans="1:53" s="314" customFormat="1" ht="16.5" customHeight="1">
      <c r="A233" s="63" t="str">
        <f t="array" ref="A233">IF(C233&lt;&gt;0,SUM(($C$11:C233&lt;&gt;0)*1),"")</f>
        <v/>
      </c>
      <c r="B233" s="315"/>
      <c r="C233" s="315"/>
      <c r="D233" s="315"/>
      <c r="E233" s="432"/>
      <c r="F233" s="371"/>
      <c r="G233" s="373"/>
      <c r="H233" s="373"/>
      <c r="I233" s="63" t="str">
        <f t="shared" si="180"/>
        <v/>
      </c>
      <c r="J233" s="317">
        <f t="shared" si="181"/>
        <v>0</v>
      </c>
      <c r="K233" s="317">
        <f t="shared" si="182"/>
        <v>0</v>
      </c>
      <c r="L233" s="317">
        <f t="shared" si="193"/>
        <v>0</v>
      </c>
      <c r="M233" s="317">
        <f t="shared" si="194"/>
        <v>0</v>
      </c>
      <c r="N233" s="317">
        <f t="shared" si="174"/>
        <v>0</v>
      </c>
      <c r="O233" s="317">
        <f t="shared" si="175"/>
        <v>0</v>
      </c>
      <c r="P233" s="317">
        <f t="shared" si="195"/>
        <v>0</v>
      </c>
      <c r="Q233" s="317">
        <f t="shared" si="196"/>
        <v>0</v>
      </c>
      <c r="R233" s="317">
        <f t="shared" si="197"/>
        <v>0</v>
      </c>
      <c r="S233" s="317">
        <f t="shared" si="198"/>
        <v>0</v>
      </c>
      <c r="T233" s="317">
        <f t="shared" si="176"/>
        <v>0</v>
      </c>
      <c r="U233" s="317">
        <f t="shared" si="177"/>
        <v>0</v>
      </c>
      <c r="V233" s="317">
        <f t="shared" si="199"/>
        <v>0</v>
      </c>
      <c r="W233" s="317">
        <f t="shared" si="200"/>
        <v>0</v>
      </c>
      <c r="X233" s="317">
        <f t="shared" si="201"/>
        <v>0</v>
      </c>
      <c r="Y233" s="317">
        <f t="shared" si="202"/>
        <v>0</v>
      </c>
      <c r="Z233" s="317">
        <f t="shared" si="183"/>
        <v>0</v>
      </c>
      <c r="AA233" s="317">
        <f t="shared" si="184"/>
        <v>0</v>
      </c>
      <c r="AB233" s="317">
        <f t="shared" si="203"/>
        <v>0</v>
      </c>
      <c r="AC233" s="317">
        <f t="shared" si="204"/>
        <v>0</v>
      </c>
      <c r="AD233" s="317">
        <f t="shared" si="185"/>
        <v>0</v>
      </c>
      <c r="AE233" s="317">
        <f t="shared" si="186"/>
        <v>0</v>
      </c>
      <c r="AF233" s="317">
        <f t="shared" si="178"/>
        <v>0</v>
      </c>
      <c r="AG233" s="317">
        <f t="shared" si="179"/>
        <v>0</v>
      </c>
      <c r="AH233" s="317">
        <f t="shared" si="205"/>
        <v>0</v>
      </c>
      <c r="AI233" s="317">
        <f t="shared" si="206"/>
        <v>0</v>
      </c>
      <c r="AJ233" s="317">
        <f t="shared" si="207"/>
        <v>0</v>
      </c>
      <c r="AK233" s="317">
        <f t="shared" si="208"/>
        <v>0</v>
      </c>
      <c r="AL233" s="317">
        <f t="shared" si="209"/>
        <v>0</v>
      </c>
      <c r="AM233" s="317">
        <f t="shared" si="210"/>
        <v>0</v>
      </c>
      <c r="AN233" s="317">
        <f t="shared" si="211"/>
        <v>0</v>
      </c>
      <c r="AO233" s="317">
        <f t="shared" si="212"/>
        <v>0</v>
      </c>
      <c r="AP233" s="317">
        <f t="shared" si="213"/>
        <v>0</v>
      </c>
      <c r="AQ233" s="317">
        <f t="shared" si="214"/>
        <v>0</v>
      </c>
      <c r="AR233" s="317">
        <f t="shared" si="187"/>
        <v>0</v>
      </c>
      <c r="AS233" s="317">
        <f t="shared" si="188"/>
        <v>0</v>
      </c>
      <c r="AT233" s="317">
        <f t="shared" si="215"/>
        <v>0</v>
      </c>
      <c r="AU233" s="317">
        <f t="shared" si="216"/>
        <v>0</v>
      </c>
      <c r="AV233" s="317">
        <f t="shared" si="217"/>
        <v>0</v>
      </c>
      <c r="AW233" s="317">
        <f t="shared" si="218"/>
        <v>0</v>
      </c>
      <c r="AX233" s="317">
        <f t="shared" si="189"/>
        <v>0</v>
      </c>
      <c r="AY233" s="317">
        <f t="shared" si="190"/>
        <v>0</v>
      </c>
      <c r="AZ233" s="317">
        <f t="shared" si="191"/>
        <v>0</v>
      </c>
      <c r="BA233" s="317">
        <f t="shared" si="192"/>
        <v>0</v>
      </c>
    </row>
    <row r="234" spans="1:53" s="314" customFormat="1" ht="16.5" customHeight="1">
      <c r="A234" s="63" t="str">
        <f t="array" ref="A234">IF(C234&lt;&gt;0,SUM(($C$11:C234&lt;&gt;0)*1),"")</f>
        <v/>
      </c>
      <c r="B234" s="315"/>
      <c r="C234" s="315"/>
      <c r="D234" s="315"/>
      <c r="E234" s="432"/>
      <c r="F234" s="371"/>
      <c r="G234" s="373"/>
      <c r="H234" s="373"/>
      <c r="I234" s="63" t="str">
        <f t="shared" si="180"/>
        <v/>
      </c>
      <c r="J234" s="317">
        <f t="shared" si="181"/>
        <v>0</v>
      </c>
      <c r="K234" s="317">
        <f t="shared" si="182"/>
        <v>0</v>
      </c>
      <c r="L234" s="317">
        <f t="shared" si="193"/>
        <v>0</v>
      </c>
      <c r="M234" s="317">
        <f t="shared" si="194"/>
        <v>0</v>
      </c>
      <c r="N234" s="317">
        <f t="shared" si="174"/>
        <v>0</v>
      </c>
      <c r="O234" s="317">
        <f t="shared" si="175"/>
        <v>0</v>
      </c>
      <c r="P234" s="317">
        <f t="shared" si="195"/>
        <v>0</v>
      </c>
      <c r="Q234" s="317">
        <f t="shared" si="196"/>
        <v>0</v>
      </c>
      <c r="R234" s="317">
        <f t="shared" si="197"/>
        <v>0</v>
      </c>
      <c r="S234" s="317">
        <f t="shared" si="198"/>
        <v>0</v>
      </c>
      <c r="T234" s="317">
        <f t="shared" si="176"/>
        <v>0</v>
      </c>
      <c r="U234" s="317">
        <f t="shared" si="177"/>
        <v>0</v>
      </c>
      <c r="V234" s="317">
        <f t="shared" si="199"/>
        <v>0</v>
      </c>
      <c r="W234" s="317">
        <f t="shared" si="200"/>
        <v>0</v>
      </c>
      <c r="X234" s="317">
        <f t="shared" si="201"/>
        <v>0</v>
      </c>
      <c r="Y234" s="317">
        <f t="shared" si="202"/>
        <v>0</v>
      </c>
      <c r="Z234" s="317">
        <f t="shared" si="183"/>
        <v>0</v>
      </c>
      <c r="AA234" s="317">
        <f t="shared" si="184"/>
        <v>0</v>
      </c>
      <c r="AB234" s="317">
        <f t="shared" si="203"/>
        <v>0</v>
      </c>
      <c r="AC234" s="317">
        <f t="shared" si="204"/>
        <v>0</v>
      </c>
      <c r="AD234" s="317">
        <f t="shared" si="185"/>
        <v>0</v>
      </c>
      <c r="AE234" s="317">
        <f t="shared" si="186"/>
        <v>0</v>
      </c>
      <c r="AF234" s="317">
        <f t="shared" si="178"/>
        <v>0</v>
      </c>
      <c r="AG234" s="317">
        <f t="shared" si="179"/>
        <v>0</v>
      </c>
      <c r="AH234" s="317">
        <f t="shared" si="205"/>
        <v>0</v>
      </c>
      <c r="AI234" s="317">
        <f t="shared" si="206"/>
        <v>0</v>
      </c>
      <c r="AJ234" s="317">
        <f t="shared" si="207"/>
        <v>0</v>
      </c>
      <c r="AK234" s="317">
        <f t="shared" si="208"/>
        <v>0</v>
      </c>
      <c r="AL234" s="317">
        <f t="shared" si="209"/>
        <v>0</v>
      </c>
      <c r="AM234" s="317">
        <f t="shared" si="210"/>
        <v>0</v>
      </c>
      <c r="AN234" s="317">
        <f t="shared" si="211"/>
        <v>0</v>
      </c>
      <c r="AO234" s="317">
        <f t="shared" si="212"/>
        <v>0</v>
      </c>
      <c r="AP234" s="317">
        <f t="shared" si="213"/>
        <v>0</v>
      </c>
      <c r="AQ234" s="317">
        <f t="shared" si="214"/>
        <v>0</v>
      </c>
      <c r="AR234" s="317">
        <f t="shared" si="187"/>
        <v>0</v>
      </c>
      <c r="AS234" s="317">
        <f t="shared" si="188"/>
        <v>0</v>
      </c>
      <c r="AT234" s="317">
        <f t="shared" si="215"/>
        <v>0</v>
      </c>
      <c r="AU234" s="317">
        <f t="shared" si="216"/>
        <v>0</v>
      </c>
      <c r="AV234" s="317">
        <f t="shared" si="217"/>
        <v>0</v>
      </c>
      <c r="AW234" s="317">
        <f t="shared" si="218"/>
        <v>0</v>
      </c>
      <c r="AX234" s="317">
        <f t="shared" si="189"/>
        <v>0</v>
      </c>
      <c r="AY234" s="317">
        <f t="shared" si="190"/>
        <v>0</v>
      </c>
      <c r="AZ234" s="317">
        <f t="shared" si="191"/>
        <v>0</v>
      </c>
      <c r="BA234" s="317">
        <f t="shared" si="192"/>
        <v>0</v>
      </c>
    </row>
    <row r="235" spans="1:53" s="314" customFormat="1" ht="16.5" customHeight="1">
      <c r="A235" s="63" t="str">
        <f t="array" ref="A235">IF(C235&lt;&gt;0,SUM(($C$11:C235&lt;&gt;0)*1),"")</f>
        <v/>
      </c>
      <c r="B235" s="315"/>
      <c r="C235" s="315"/>
      <c r="D235" s="315"/>
      <c r="E235" s="432"/>
      <c r="F235" s="371"/>
      <c r="G235" s="373"/>
      <c r="H235" s="373"/>
      <c r="I235" s="63" t="str">
        <f t="shared" si="180"/>
        <v/>
      </c>
      <c r="J235" s="317">
        <f t="shared" si="181"/>
        <v>0</v>
      </c>
      <c r="K235" s="317">
        <f t="shared" si="182"/>
        <v>0</v>
      </c>
      <c r="L235" s="317">
        <f t="shared" si="193"/>
        <v>0</v>
      </c>
      <c r="M235" s="317">
        <f t="shared" si="194"/>
        <v>0</v>
      </c>
      <c r="N235" s="317">
        <f t="shared" si="174"/>
        <v>0</v>
      </c>
      <c r="O235" s="317">
        <f t="shared" si="175"/>
        <v>0</v>
      </c>
      <c r="P235" s="317">
        <f t="shared" si="195"/>
        <v>0</v>
      </c>
      <c r="Q235" s="317">
        <f t="shared" si="196"/>
        <v>0</v>
      </c>
      <c r="R235" s="317">
        <f t="shared" si="197"/>
        <v>0</v>
      </c>
      <c r="S235" s="317">
        <f t="shared" si="198"/>
        <v>0</v>
      </c>
      <c r="T235" s="317">
        <f t="shared" si="176"/>
        <v>0</v>
      </c>
      <c r="U235" s="317">
        <f t="shared" si="177"/>
        <v>0</v>
      </c>
      <c r="V235" s="317">
        <f t="shared" si="199"/>
        <v>0</v>
      </c>
      <c r="W235" s="317">
        <f t="shared" si="200"/>
        <v>0</v>
      </c>
      <c r="X235" s="317">
        <f t="shared" si="201"/>
        <v>0</v>
      </c>
      <c r="Y235" s="317">
        <f t="shared" si="202"/>
        <v>0</v>
      </c>
      <c r="Z235" s="317">
        <f t="shared" si="183"/>
        <v>0</v>
      </c>
      <c r="AA235" s="317">
        <f t="shared" si="184"/>
        <v>0</v>
      </c>
      <c r="AB235" s="317">
        <f t="shared" si="203"/>
        <v>0</v>
      </c>
      <c r="AC235" s="317">
        <f t="shared" si="204"/>
        <v>0</v>
      </c>
      <c r="AD235" s="317">
        <f t="shared" si="185"/>
        <v>0</v>
      </c>
      <c r="AE235" s="317">
        <f t="shared" si="186"/>
        <v>0</v>
      </c>
      <c r="AF235" s="317">
        <f t="shared" si="178"/>
        <v>0</v>
      </c>
      <c r="AG235" s="317">
        <f t="shared" si="179"/>
        <v>0</v>
      </c>
      <c r="AH235" s="317">
        <f t="shared" si="205"/>
        <v>0</v>
      </c>
      <c r="AI235" s="317">
        <f t="shared" si="206"/>
        <v>0</v>
      </c>
      <c r="AJ235" s="317">
        <f t="shared" si="207"/>
        <v>0</v>
      </c>
      <c r="AK235" s="317">
        <f t="shared" si="208"/>
        <v>0</v>
      </c>
      <c r="AL235" s="317">
        <f t="shared" si="209"/>
        <v>0</v>
      </c>
      <c r="AM235" s="317">
        <f t="shared" si="210"/>
        <v>0</v>
      </c>
      <c r="AN235" s="317">
        <f t="shared" si="211"/>
        <v>0</v>
      </c>
      <c r="AO235" s="317">
        <f t="shared" si="212"/>
        <v>0</v>
      </c>
      <c r="AP235" s="317">
        <f t="shared" si="213"/>
        <v>0</v>
      </c>
      <c r="AQ235" s="317">
        <f t="shared" si="214"/>
        <v>0</v>
      </c>
      <c r="AR235" s="317">
        <f t="shared" si="187"/>
        <v>0</v>
      </c>
      <c r="AS235" s="317">
        <f t="shared" si="188"/>
        <v>0</v>
      </c>
      <c r="AT235" s="317">
        <f t="shared" si="215"/>
        <v>0</v>
      </c>
      <c r="AU235" s="317">
        <f t="shared" si="216"/>
        <v>0</v>
      </c>
      <c r="AV235" s="317">
        <f t="shared" si="217"/>
        <v>0</v>
      </c>
      <c r="AW235" s="317">
        <f t="shared" si="218"/>
        <v>0</v>
      </c>
      <c r="AX235" s="317">
        <f t="shared" si="189"/>
        <v>0</v>
      </c>
      <c r="AY235" s="317">
        <f t="shared" si="190"/>
        <v>0</v>
      </c>
      <c r="AZ235" s="317">
        <f t="shared" si="191"/>
        <v>0</v>
      </c>
      <c r="BA235" s="317">
        <f t="shared" si="192"/>
        <v>0</v>
      </c>
    </row>
    <row r="236" spans="1:53" s="314" customFormat="1" ht="16.5" customHeight="1">
      <c r="A236" s="63" t="str">
        <f t="array" ref="A236">IF(C236&lt;&gt;0,SUM(($C$11:C236&lt;&gt;0)*1),"")</f>
        <v/>
      </c>
      <c r="B236" s="315"/>
      <c r="C236" s="315"/>
      <c r="D236" s="315"/>
      <c r="E236" s="432"/>
      <c r="F236" s="371"/>
      <c r="G236" s="373"/>
      <c r="H236" s="373"/>
      <c r="I236" s="63" t="str">
        <f t="shared" si="180"/>
        <v/>
      </c>
      <c r="J236" s="317">
        <f t="shared" si="181"/>
        <v>0</v>
      </c>
      <c r="K236" s="317">
        <f t="shared" si="182"/>
        <v>0</v>
      </c>
      <c r="L236" s="317">
        <f t="shared" si="193"/>
        <v>0</v>
      </c>
      <c r="M236" s="317">
        <f t="shared" si="194"/>
        <v>0</v>
      </c>
      <c r="N236" s="317">
        <f t="shared" si="174"/>
        <v>0</v>
      </c>
      <c r="O236" s="317">
        <f t="shared" si="175"/>
        <v>0</v>
      </c>
      <c r="P236" s="317">
        <f t="shared" si="195"/>
        <v>0</v>
      </c>
      <c r="Q236" s="317">
        <f t="shared" si="196"/>
        <v>0</v>
      </c>
      <c r="R236" s="317">
        <f t="shared" si="197"/>
        <v>0</v>
      </c>
      <c r="S236" s="317">
        <f t="shared" si="198"/>
        <v>0</v>
      </c>
      <c r="T236" s="317">
        <f t="shared" si="176"/>
        <v>0</v>
      </c>
      <c r="U236" s="317">
        <f t="shared" si="177"/>
        <v>0</v>
      </c>
      <c r="V236" s="317">
        <f t="shared" si="199"/>
        <v>0</v>
      </c>
      <c r="W236" s="317">
        <f t="shared" si="200"/>
        <v>0</v>
      </c>
      <c r="X236" s="317">
        <f t="shared" si="201"/>
        <v>0</v>
      </c>
      <c r="Y236" s="317">
        <f t="shared" si="202"/>
        <v>0</v>
      </c>
      <c r="Z236" s="317">
        <f t="shared" si="183"/>
        <v>0</v>
      </c>
      <c r="AA236" s="317">
        <f t="shared" si="184"/>
        <v>0</v>
      </c>
      <c r="AB236" s="317">
        <f t="shared" si="203"/>
        <v>0</v>
      </c>
      <c r="AC236" s="317">
        <f t="shared" si="204"/>
        <v>0</v>
      </c>
      <c r="AD236" s="317">
        <f t="shared" si="185"/>
        <v>0</v>
      </c>
      <c r="AE236" s="317">
        <f t="shared" si="186"/>
        <v>0</v>
      </c>
      <c r="AF236" s="317">
        <f t="shared" si="178"/>
        <v>0</v>
      </c>
      <c r="AG236" s="317">
        <f t="shared" si="179"/>
        <v>0</v>
      </c>
      <c r="AH236" s="317">
        <f t="shared" si="205"/>
        <v>0</v>
      </c>
      <c r="AI236" s="317">
        <f t="shared" si="206"/>
        <v>0</v>
      </c>
      <c r="AJ236" s="317">
        <f t="shared" si="207"/>
        <v>0</v>
      </c>
      <c r="AK236" s="317">
        <f t="shared" si="208"/>
        <v>0</v>
      </c>
      <c r="AL236" s="317">
        <f t="shared" si="209"/>
        <v>0</v>
      </c>
      <c r="AM236" s="317">
        <f t="shared" si="210"/>
        <v>0</v>
      </c>
      <c r="AN236" s="317">
        <f t="shared" si="211"/>
        <v>0</v>
      </c>
      <c r="AO236" s="317">
        <f t="shared" si="212"/>
        <v>0</v>
      </c>
      <c r="AP236" s="317">
        <f t="shared" si="213"/>
        <v>0</v>
      </c>
      <c r="AQ236" s="317">
        <f t="shared" si="214"/>
        <v>0</v>
      </c>
      <c r="AR236" s="317">
        <f t="shared" si="187"/>
        <v>0</v>
      </c>
      <c r="AS236" s="317">
        <f t="shared" si="188"/>
        <v>0</v>
      </c>
      <c r="AT236" s="317">
        <f t="shared" si="215"/>
        <v>0</v>
      </c>
      <c r="AU236" s="317">
        <f t="shared" si="216"/>
        <v>0</v>
      </c>
      <c r="AV236" s="317">
        <f t="shared" si="217"/>
        <v>0</v>
      </c>
      <c r="AW236" s="317">
        <f t="shared" si="218"/>
        <v>0</v>
      </c>
      <c r="AX236" s="317">
        <f t="shared" si="189"/>
        <v>0</v>
      </c>
      <c r="AY236" s="317">
        <f t="shared" si="190"/>
        <v>0</v>
      </c>
      <c r="AZ236" s="317">
        <f t="shared" si="191"/>
        <v>0</v>
      </c>
      <c r="BA236" s="317">
        <f t="shared" si="192"/>
        <v>0</v>
      </c>
    </row>
    <row r="237" spans="1:53" s="314" customFormat="1" ht="16.5" customHeight="1">
      <c r="A237" s="63" t="str">
        <f t="array" ref="A237">IF(C237&lt;&gt;0,SUM(($C$11:C237&lt;&gt;0)*1),"")</f>
        <v/>
      </c>
      <c r="B237" s="315"/>
      <c r="C237" s="315"/>
      <c r="D237" s="315"/>
      <c r="E237" s="432"/>
      <c r="F237" s="371"/>
      <c r="G237" s="373"/>
      <c r="H237" s="373"/>
      <c r="I237" s="63" t="str">
        <f t="shared" si="180"/>
        <v/>
      </c>
      <c r="J237" s="317">
        <f t="shared" si="181"/>
        <v>0</v>
      </c>
      <c r="K237" s="317">
        <f t="shared" si="182"/>
        <v>0</v>
      </c>
      <c r="L237" s="317">
        <f t="shared" si="193"/>
        <v>0</v>
      </c>
      <c r="M237" s="317">
        <f t="shared" si="194"/>
        <v>0</v>
      </c>
      <c r="N237" s="317">
        <f t="shared" si="174"/>
        <v>0</v>
      </c>
      <c r="O237" s="317">
        <f t="shared" si="175"/>
        <v>0</v>
      </c>
      <c r="P237" s="317">
        <f t="shared" si="195"/>
        <v>0</v>
      </c>
      <c r="Q237" s="317">
        <f t="shared" si="196"/>
        <v>0</v>
      </c>
      <c r="R237" s="317">
        <f t="shared" si="197"/>
        <v>0</v>
      </c>
      <c r="S237" s="317">
        <f t="shared" si="198"/>
        <v>0</v>
      </c>
      <c r="T237" s="317">
        <f t="shared" si="176"/>
        <v>0</v>
      </c>
      <c r="U237" s="317">
        <f t="shared" si="177"/>
        <v>0</v>
      </c>
      <c r="V237" s="317">
        <f t="shared" si="199"/>
        <v>0</v>
      </c>
      <c r="W237" s="317">
        <f t="shared" si="200"/>
        <v>0</v>
      </c>
      <c r="X237" s="317">
        <f t="shared" si="201"/>
        <v>0</v>
      </c>
      <c r="Y237" s="317">
        <f t="shared" si="202"/>
        <v>0</v>
      </c>
      <c r="Z237" s="317">
        <f t="shared" si="183"/>
        <v>0</v>
      </c>
      <c r="AA237" s="317">
        <f t="shared" si="184"/>
        <v>0</v>
      </c>
      <c r="AB237" s="317">
        <f t="shared" si="203"/>
        <v>0</v>
      </c>
      <c r="AC237" s="317">
        <f t="shared" si="204"/>
        <v>0</v>
      </c>
      <c r="AD237" s="317">
        <f t="shared" si="185"/>
        <v>0</v>
      </c>
      <c r="AE237" s="317">
        <f t="shared" si="186"/>
        <v>0</v>
      </c>
      <c r="AF237" s="317">
        <f t="shared" si="178"/>
        <v>0</v>
      </c>
      <c r="AG237" s="317">
        <f t="shared" si="179"/>
        <v>0</v>
      </c>
      <c r="AH237" s="317">
        <f t="shared" si="205"/>
        <v>0</v>
      </c>
      <c r="AI237" s="317">
        <f t="shared" si="206"/>
        <v>0</v>
      </c>
      <c r="AJ237" s="317">
        <f t="shared" si="207"/>
        <v>0</v>
      </c>
      <c r="AK237" s="317">
        <f t="shared" si="208"/>
        <v>0</v>
      </c>
      <c r="AL237" s="317">
        <f t="shared" si="209"/>
        <v>0</v>
      </c>
      <c r="AM237" s="317">
        <f t="shared" si="210"/>
        <v>0</v>
      </c>
      <c r="AN237" s="317">
        <f t="shared" si="211"/>
        <v>0</v>
      </c>
      <c r="AO237" s="317">
        <f t="shared" si="212"/>
        <v>0</v>
      </c>
      <c r="AP237" s="317">
        <f t="shared" si="213"/>
        <v>0</v>
      </c>
      <c r="AQ237" s="317">
        <f t="shared" si="214"/>
        <v>0</v>
      </c>
      <c r="AR237" s="317">
        <f t="shared" si="187"/>
        <v>0</v>
      </c>
      <c r="AS237" s="317">
        <f t="shared" si="188"/>
        <v>0</v>
      </c>
      <c r="AT237" s="317">
        <f t="shared" si="215"/>
        <v>0</v>
      </c>
      <c r="AU237" s="317">
        <f t="shared" si="216"/>
        <v>0</v>
      </c>
      <c r="AV237" s="317">
        <f t="shared" si="217"/>
        <v>0</v>
      </c>
      <c r="AW237" s="317">
        <f t="shared" si="218"/>
        <v>0</v>
      </c>
      <c r="AX237" s="317">
        <f t="shared" si="189"/>
        <v>0</v>
      </c>
      <c r="AY237" s="317">
        <f t="shared" si="190"/>
        <v>0</v>
      </c>
      <c r="AZ237" s="317">
        <f t="shared" si="191"/>
        <v>0</v>
      </c>
      <c r="BA237" s="317">
        <f t="shared" si="192"/>
        <v>0</v>
      </c>
    </row>
    <row r="238" spans="1:53" s="314" customFormat="1" ht="16.5" customHeight="1">
      <c r="A238" s="63" t="str">
        <f t="array" ref="A238">IF(C238&lt;&gt;0,SUM(($C$11:C238&lt;&gt;0)*1),"")</f>
        <v/>
      </c>
      <c r="B238" s="315"/>
      <c r="C238" s="315"/>
      <c r="D238" s="315"/>
      <c r="E238" s="432"/>
      <c r="F238" s="371"/>
      <c r="G238" s="373"/>
      <c r="H238" s="373"/>
      <c r="I238" s="63" t="str">
        <f t="shared" si="180"/>
        <v/>
      </c>
      <c r="J238" s="317">
        <f t="shared" si="181"/>
        <v>0</v>
      </c>
      <c r="K238" s="317">
        <f t="shared" si="182"/>
        <v>0</v>
      </c>
      <c r="L238" s="317">
        <f t="shared" si="193"/>
        <v>0</v>
      </c>
      <c r="M238" s="317">
        <f t="shared" si="194"/>
        <v>0</v>
      </c>
      <c r="N238" s="317">
        <f t="shared" si="174"/>
        <v>0</v>
      </c>
      <c r="O238" s="317">
        <f t="shared" si="175"/>
        <v>0</v>
      </c>
      <c r="P238" s="317">
        <f t="shared" si="195"/>
        <v>0</v>
      </c>
      <c r="Q238" s="317">
        <f t="shared" si="196"/>
        <v>0</v>
      </c>
      <c r="R238" s="317">
        <f t="shared" si="197"/>
        <v>0</v>
      </c>
      <c r="S238" s="317">
        <f t="shared" si="198"/>
        <v>0</v>
      </c>
      <c r="T238" s="317">
        <f t="shared" si="176"/>
        <v>0</v>
      </c>
      <c r="U238" s="317">
        <f t="shared" si="177"/>
        <v>0</v>
      </c>
      <c r="V238" s="317">
        <f t="shared" si="199"/>
        <v>0</v>
      </c>
      <c r="W238" s="317">
        <f t="shared" si="200"/>
        <v>0</v>
      </c>
      <c r="X238" s="317">
        <f t="shared" si="201"/>
        <v>0</v>
      </c>
      <c r="Y238" s="317">
        <f t="shared" si="202"/>
        <v>0</v>
      </c>
      <c r="Z238" s="317">
        <f t="shared" si="183"/>
        <v>0</v>
      </c>
      <c r="AA238" s="317">
        <f t="shared" si="184"/>
        <v>0</v>
      </c>
      <c r="AB238" s="317">
        <f t="shared" si="203"/>
        <v>0</v>
      </c>
      <c r="AC238" s="317">
        <f t="shared" si="204"/>
        <v>0</v>
      </c>
      <c r="AD238" s="317">
        <f t="shared" si="185"/>
        <v>0</v>
      </c>
      <c r="AE238" s="317">
        <f t="shared" si="186"/>
        <v>0</v>
      </c>
      <c r="AF238" s="317">
        <f t="shared" si="178"/>
        <v>0</v>
      </c>
      <c r="AG238" s="317">
        <f t="shared" si="179"/>
        <v>0</v>
      </c>
      <c r="AH238" s="317">
        <f t="shared" si="205"/>
        <v>0</v>
      </c>
      <c r="AI238" s="317">
        <f t="shared" si="206"/>
        <v>0</v>
      </c>
      <c r="AJ238" s="317">
        <f t="shared" si="207"/>
        <v>0</v>
      </c>
      <c r="AK238" s="317">
        <f t="shared" si="208"/>
        <v>0</v>
      </c>
      <c r="AL238" s="317">
        <f t="shared" si="209"/>
        <v>0</v>
      </c>
      <c r="AM238" s="317">
        <f t="shared" si="210"/>
        <v>0</v>
      </c>
      <c r="AN238" s="317">
        <f t="shared" si="211"/>
        <v>0</v>
      </c>
      <c r="AO238" s="317">
        <f t="shared" si="212"/>
        <v>0</v>
      </c>
      <c r="AP238" s="317">
        <f t="shared" si="213"/>
        <v>0</v>
      </c>
      <c r="AQ238" s="317">
        <f t="shared" si="214"/>
        <v>0</v>
      </c>
      <c r="AR238" s="317">
        <f t="shared" si="187"/>
        <v>0</v>
      </c>
      <c r="AS238" s="317">
        <f t="shared" si="188"/>
        <v>0</v>
      </c>
      <c r="AT238" s="317">
        <f t="shared" si="215"/>
        <v>0</v>
      </c>
      <c r="AU238" s="317">
        <f t="shared" si="216"/>
        <v>0</v>
      </c>
      <c r="AV238" s="317">
        <f t="shared" si="217"/>
        <v>0</v>
      </c>
      <c r="AW238" s="317">
        <f t="shared" si="218"/>
        <v>0</v>
      </c>
      <c r="AX238" s="317">
        <f t="shared" si="189"/>
        <v>0</v>
      </c>
      <c r="AY238" s="317">
        <f t="shared" si="190"/>
        <v>0</v>
      </c>
      <c r="AZ238" s="317">
        <f t="shared" si="191"/>
        <v>0</v>
      </c>
      <c r="BA238" s="317">
        <f t="shared" si="192"/>
        <v>0</v>
      </c>
    </row>
    <row r="239" spans="1:53" s="314" customFormat="1" ht="16.5" customHeight="1">
      <c r="A239" s="63" t="str">
        <f t="array" ref="A239">IF(C239&lt;&gt;0,SUM(($C$11:C239&lt;&gt;0)*1),"")</f>
        <v/>
      </c>
      <c r="B239" s="315"/>
      <c r="C239" s="315"/>
      <c r="D239" s="315"/>
      <c r="E239" s="432"/>
      <c r="F239" s="371"/>
      <c r="G239" s="373"/>
      <c r="H239" s="373"/>
      <c r="I239" s="63" t="str">
        <f t="shared" si="180"/>
        <v/>
      </c>
      <c r="J239" s="317">
        <f t="shared" si="181"/>
        <v>0</v>
      </c>
      <c r="K239" s="317">
        <f t="shared" si="182"/>
        <v>0</v>
      </c>
      <c r="L239" s="317">
        <f t="shared" si="193"/>
        <v>0</v>
      </c>
      <c r="M239" s="317">
        <f t="shared" si="194"/>
        <v>0</v>
      </c>
      <c r="N239" s="317">
        <f t="shared" si="174"/>
        <v>0</v>
      </c>
      <c r="O239" s="317">
        <f t="shared" si="175"/>
        <v>0</v>
      </c>
      <c r="P239" s="317">
        <f t="shared" si="195"/>
        <v>0</v>
      </c>
      <c r="Q239" s="317">
        <f t="shared" si="196"/>
        <v>0</v>
      </c>
      <c r="R239" s="317">
        <f t="shared" si="197"/>
        <v>0</v>
      </c>
      <c r="S239" s="317">
        <f t="shared" si="198"/>
        <v>0</v>
      </c>
      <c r="T239" s="317">
        <f t="shared" si="176"/>
        <v>0</v>
      </c>
      <c r="U239" s="317">
        <f t="shared" si="177"/>
        <v>0</v>
      </c>
      <c r="V239" s="317">
        <f t="shared" si="199"/>
        <v>0</v>
      </c>
      <c r="W239" s="317">
        <f t="shared" si="200"/>
        <v>0</v>
      </c>
      <c r="X239" s="317">
        <f t="shared" si="201"/>
        <v>0</v>
      </c>
      <c r="Y239" s="317">
        <f t="shared" si="202"/>
        <v>0</v>
      </c>
      <c r="Z239" s="317">
        <f t="shared" si="183"/>
        <v>0</v>
      </c>
      <c r="AA239" s="317">
        <f t="shared" si="184"/>
        <v>0</v>
      </c>
      <c r="AB239" s="317">
        <f t="shared" si="203"/>
        <v>0</v>
      </c>
      <c r="AC239" s="317">
        <f t="shared" si="204"/>
        <v>0</v>
      </c>
      <c r="AD239" s="317">
        <f t="shared" si="185"/>
        <v>0</v>
      </c>
      <c r="AE239" s="317">
        <f t="shared" si="186"/>
        <v>0</v>
      </c>
      <c r="AF239" s="317">
        <f t="shared" si="178"/>
        <v>0</v>
      </c>
      <c r="AG239" s="317">
        <f t="shared" si="179"/>
        <v>0</v>
      </c>
      <c r="AH239" s="317">
        <f t="shared" si="205"/>
        <v>0</v>
      </c>
      <c r="AI239" s="317">
        <f t="shared" si="206"/>
        <v>0</v>
      </c>
      <c r="AJ239" s="317">
        <f t="shared" si="207"/>
        <v>0</v>
      </c>
      <c r="AK239" s="317">
        <f t="shared" si="208"/>
        <v>0</v>
      </c>
      <c r="AL239" s="317">
        <f t="shared" si="209"/>
        <v>0</v>
      </c>
      <c r="AM239" s="317">
        <f t="shared" si="210"/>
        <v>0</v>
      </c>
      <c r="AN239" s="317">
        <f t="shared" si="211"/>
        <v>0</v>
      </c>
      <c r="AO239" s="317">
        <f t="shared" si="212"/>
        <v>0</v>
      </c>
      <c r="AP239" s="317">
        <f t="shared" si="213"/>
        <v>0</v>
      </c>
      <c r="AQ239" s="317">
        <f t="shared" si="214"/>
        <v>0</v>
      </c>
      <c r="AR239" s="317">
        <f t="shared" si="187"/>
        <v>0</v>
      </c>
      <c r="AS239" s="317">
        <f t="shared" si="188"/>
        <v>0</v>
      </c>
      <c r="AT239" s="317">
        <f t="shared" si="215"/>
        <v>0</v>
      </c>
      <c r="AU239" s="317">
        <f t="shared" si="216"/>
        <v>0</v>
      </c>
      <c r="AV239" s="317">
        <f t="shared" si="217"/>
        <v>0</v>
      </c>
      <c r="AW239" s="317">
        <f t="shared" si="218"/>
        <v>0</v>
      </c>
      <c r="AX239" s="317">
        <f t="shared" si="189"/>
        <v>0</v>
      </c>
      <c r="AY239" s="317">
        <f t="shared" si="190"/>
        <v>0</v>
      </c>
      <c r="AZ239" s="317">
        <f t="shared" si="191"/>
        <v>0</v>
      </c>
      <c r="BA239" s="317">
        <f t="shared" si="192"/>
        <v>0</v>
      </c>
    </row>
    <row r="240" spans="1:53" s="314" customFormat="1" ht="16.5" customHeight="1">
      <c r="A240" s="63" t="str">
        <f t="array" ref="A240">IF(C240&lt;&gt;0,SUM(($C$11:C240&lt;&gt;0)*1),"")</f>
        <v/>
      </c>
      <c r="B240" s="315"/>
      <c r="C240" s="315"/>
      <c r="D240" s="315"/>
      <c r="E240" s="432"/>
      <c r="F240" s="371"/>
      <c r="G240" s="373"/>
      <c r="H240" s="373"/>
      <c r="I240" s="63" t="str">
        <f t="shared" si="180"/>
        <v/>
      </c>
      <c r="J240" s="317">
        <f t="shared" si="181"/>
        <v>0</v>
      </c>
      <c r="K240" s="317">
        <f t="shared" si="182"/>
        <v>0</v>
      </c>
      <c r="L240" s="317">
        <f t="shared" si="193"/>
        <v>0</v>
      </c>
      <c r="M240" s="317">
        <f t="shared" si="194"/>
        <v>0</v>
      </c>
      <c r="N240" s="317">
        <f t="shared" si="174"/>
        <v>0</v>
      </c>
      <c r="O240" s="317">
        <f t="shared" si="175"/>
        <v>0</v>
      </c>
      <c r="P240" s="317">
        <f t="shared" si="195"/>
        <v>0</v>
      </c>
      <c r="Q240" s="317">
        <f t="shared" si="196"/>
        <v>0</v>
      </c>
      <c r="R240" s="317">
        <f t="shared" si="197"/>
        <v>0</v>
      </c>
      <c r="S240" s="317">
        <f t="shared" si="198"/>
        <v>0</v>
      </c>
      <c r="T240" s="317">
        <f t="shared" si="176"/>
        <v>0</v>
      </c>
      <c r="U240" s="317">
        <f t="shared" si="177"/>
        <v>0</v>
      </c>
      <c r="V240" s="317">
        <f t="shared" si="199"/>
        <v>0</v>
      </c>
      <c r="W240" s="317">
        <f t="shared" si="200"/>
        <v>0</v>
      </c>
      <c r="X240" s="317">
        <f t="shared" si="201"/>
        <v>0</v>
      </c>
      <c r="Y240" s="317">
        <f t="shared" si="202"/>
        <v>0</v>
      </c>
      <c r="Z240" s="317">
        <f t="shared" si="183"/>
        <v>0</v>
      </c>
      <c r="AA240" s="317">
        <f t="shared" si="184"/>
        <v>0</v>
      </c>
      <c r="AB240" s="317">
        <f t="shared" si="203"/>
        <v>0</v>
      </c>
      <c r="AC240" s="317">
        <f t="shared" si="204"/>
        <v>0</v>
      </c>
      <c r="AD240" s="317">
        <f t="shared" si="185"/>
        <v>0</v>
      </c>
      <c r="AE240" s="317">
        <f t="shared" si="186"/>
        <v>0</v>
      </c>
      <c r="AF240" s="317">
        <f t="shared" si="178"/>
        <v>0</v>
      </c>
      <c r="AG240" s="317">
        <f t="shared" si="179"/>
        <v>0</v>
      </c>
      <c r="AH240" s="317">
        <f t="shared" si="205"/>
        <v>0</v>
      </c>
      <c r="AI240" s="317">
        <f t="shared" si="206"/>
        <v>0</v>
      </c>
      <c r="AJ240" s="317">
        <f t="shared" si="207"/>
        <v>0</v>
      </c>
      <c r="AK240" s="317">
        <f t="shared" si="208"/>
        <v>0</v>
      </c>
      <c r="AL240" s="317">
        <f t="shared" si="209"/>
        <v>0</v>
      </c>
      <c r="AM240" s="317">
        <f t="shared" si="210"/>
        <v>0</v>
      </c>
      <c r="AN240" s="317">
        <f t="shared" si="211"/>
        <v>0</v>
      </c>
      <c r="AO240" s="317">
        <f t="shared" si="212"/>
        <v>0</v>
      </c>
      <c r="AP240" s="317">
        <f t="shared" si="213"/>
        <v>0</v>
      </c>
      <c r="AQ240" s="317">
        <f t="shared" si="214"/>
        <v>0</v>
      </c>
      <c r="AR240" s="317">
        <f t="shared" si="187"/>
        <v>0</v>
      </c>
      <c r="AS240" s="317">
        <f t="shared" si="188"/>
        <v>0</v>
      </c>
      <c r="AT240" s="317">
        <f t="shared" si="215"/>
        <v>0</v>
      </c>
      <c r="AU240" s="317">
        <f t="shared" si="216"/>
        <v>0</v>
      </c>
      <c r="AV240" s="317">
        <f t="shared" si="217"/>
        <v>0</v>
      </c>
      <c r="AW240" s="317">
        <f t="shared" si="218"/>
        <v>0</v>
      </c>
      <c r="AX240" s="317">
        <f t="shared" si="189"/>
        <v>0</v>
      </c>
      <c r="AY240" s="317">
        <f t="shared" si="190"/>
        <v>0</v>
      </c>
      <c r="AZ240" s="317">
        <f t="shared" si="191"/>
        <v>0</v>
      </c>
      <c r="BA240" s="317">
        <f t="shared" si="192"/>
        <v>0</v>
      </c>
    </row>
    <row r="241" spans="1:53" s="314" customFormat="1" ht="16.5" customHeight="1">
      <c r="A241" s="63" t="str">
        <f t="array" ref="A241">IF(C241&lt;&gt;0,SUM(($C$11:C241&lt;&gt;0)*1),"")</f>
        <v/>
      </c>
      <c r="B241" s="315"/>
      <c r="C241" s="315"/>
      <c r="D241" s="315"/>
      <c r="E241" s="432"/>
      <c r="F241" s="371"/>
      <c r="G241" s="373"/>
      <c r="H241" s="373"/>
      <c r="I241" s="63" t="str">
        <f t="shared" ref="I241:I304" si="219">A241</f>
        <v/>
      </c>
      <c r="J241" s="317">
        <f t="shared" si="181"/>
        <v>0</v>
      </c>
      <c r="K241" s="317">
        <f t="shared" si="182"/>
        <v>0</v>
      </c>
      <c r="L241" s="317">
        <f t="shared" si="193"/>
        <v>0</v>
      </c>
      <c r="M241" s="317">
        <f t="shared" si="194"/>
        <v>0</v>
      </c>
      <c r="N241" s="317">
        <f t="shared" si="174"/>
        <v>0</v>
      </c>
      <c r="O241" s="317">
        <f t="shared" si="175"/>
        <v>0</v>
      </c>
      <c r="P241" s="317">
        <f t="shared" si="195"/>
        <v>0</v>
      </c>
      <c r="Q241" s="317">
        <f t="shared" si="196"/>
        <v>0</v>
      </c>
      <c r="R241" s="317">
        <f t="shared" si="197"/>
        <v>0</v>
      </c>
      <c r="S241" s="317">
        <f t="shared" si="198"/>
        <v>0</v>
      </c>
      <c r="T241" s="317">
        <f t="shared" si="176"/>
        <v>0</v>
      </c>
      <c r="U241" s="317">
        <f t="shared" si="177"/>
        <v>0</v>
      </c>
      <c r="V241" s="317">
        <f t="shared" si="199"/>
        <v>0</v>
      </c>
      <c r="W241" s="317">
        <f t="shared" si="200"/>
        <v>0</v>
      </c>
      <c r="X241" s="317">
        <f t="shared" si="201"/>
        <v>0</v>
      </c>
      <c r="Y241" s="317">
        <f t="shared" si="202"/>
        <v>0</v>
      </c>
      <c r="Z241" s="317">
        <f t="shared" si="183"/>
        <v>0</v>
      </c>
      <c r="AA241" s="317">
        <f t="shared" si="184"/>
        <v>0</v>
      </c>
      <c r="AB241" s="317">
        <f t="shared" si="203"/>
        <v>0</v>
      </c>
      <c r="AC241" s="317">
        <f t="shared" si="204"/>
        <v>0</v>
      </c>
      <c r="AD241" s="317">
        <f t="shared" si="185"/>
        <v>0</v>
      </c>
      <c r="AE241" s="317">
        <f t="shared" si="186"/>
        <v>0</v>
      </c>
      <c r="AF241" s="317">
        <f t="shared" si="178"/>
        <v>0</v>
      </c>
      <c r="AG241" s="317">
        <f t="shared" si="179"/>
        <v>0</v>
      </c>
      <c r="AH241" s="317">
        <f t="shared" si="205"/>
        <v>0</v>
      </c>
      <c r="AI241" s="317">
        <f t="shared" si="206"/>
        <v>0</v>
      </c>
      <c r="AJ241" s="317">
        <f t="shared" si="207"/>
        <v>0</v>
      </c>
      <c r="AK241" s="317">
        <f t="shared" si="208"/>
        <v>0</v>
      </c>
      <c r="AL241" s="317">
        <f t="shared" si="209"/>
        <v>0</v>
      </c>
      <c r="AM241" s="317">
        <f t="shared" si="210"/>
        <v>0</v>
      </c>
      <c r="AN241" s="317">
        <f t="shared" si="211"/>
        <v>0</v>
      </c>
      <c r="AO241" s="317">
        <f t="shared" si="212"/>
        <v>0</v>
      </c>
      <c r="AP241" s="317">
        <f t="shared" si="213"/>
        <v>0</v>
      </c>
      <c r="AQ241" s="317">
        <f t="shared" si="214"/>
        <v>0</v>
      </c>
      <c r="AR241" s="317">
        <f t="shared" si="187"/>
        <v>0</v>
      </c>
      <c r="AS241" s="317">
        <f t="shared" si="188"/>
        <v>0</v>
      </c>
      <c r="AT241" s="317">
        <f t="shared" si="215"/>
        <v>0</v>
      </c>
      <c r="AU241" s="317">
        <f t="shared" si="216"/>
        <v>0</v>
      </c>
      <c r="AV241" s="317">
        <f t="shared" si="217"/>
        <v>0</v>
      </c>
      <c r="AW241" s="317">
        <f t="shared" si="218"/>
        <v>0</v>
      </c>
      <c r="AX241" s="317">
        <f t="shared" si="189"/>
        <v>0</v>
      </c>
      <c r="AY241" s="317">
        <f t="shared" si="190"/>
        <v>0</v>
      </c>
      <c r="AZ241" s="317">
        <f t="shared" si="191"/>
        <v>0</v>
      </c>
      <c r="BA241" s="317">
        <f t="shared" si="192"/>
        <v>0</v>
      </c>
    </row>
    <row r="242" spans="1:53" s="314" customFormat="1" ht="16.5" customHeight="1">
      <c r="A242" s="63" t="str">
        <f t="array" ref="A242">IF(C242&lt;&gt;0,SUM(($C$11:C242&lt;&gt;0)*1),"")</f>
        <v/>
      </c>
      <c r="B242" s="315"/>
      <c r="C242" s="315"/>
      <c r="D242" s="315"/>
      <c r="E242" s="432"/>
      <c r="F242" s="371"/>
      <c r="G242" s="373"/>
      <c r="H242" s="373"/>
      <c r="I242" s="63" t="str">
        <f t="shared" si="219"/>
        <v/>
      </c>
      <c r="J242" s="317">
        <f t="shared" si="181"/>
        <v>0</v>
      </c>
      <c r="K242" s="317">
        <f t="shared" si="182"/>
        <v>0</v>
      </c>
      <c r="L242" s="317">
        <f t="shared" si="193"/>
        <v>0</v>
      </c>
      <c r="M242" s="317">
        <f t="shared" si="194"/>
        <v>0</v>
      </c>
      <c r="N242" s="317">
        <f t="shared" si="174"/>
        <v>0</v>
      </c>
      <c r="O242" s="317">
        <f t="shared" si="175"/>
        <v>0</v>
      </c>
      <c r="P242" s="317">
        <f t="shared" si="195"/>
        <v>0</v>
      </c>
      <c r="Q242" s="317">
        <f t="shared" si="196"/>
        <v>0</v>
      </c>
      <c r="R242" s="317">
        <f t="shared" si="197"/>
        <v>0</v>
      </c>
      <c r="S242" s="317">
        <f t="shared" si="198"/>
        <v>0</v>
      </c>
      <c r="T242" s="317">
        <f t="shared" si="176"/>
        <v>0</v>
      </c>
      <c r="U242" s="317">
        <f t="shared" si="177"/>
        <v>0</v>
      </c>
      <c r="V242" s="317">
        <f t="shared" si="199"/>
        <v>0</v>
      </c>
      <c r="W242" s="317">
        <f t="shared" si="200"/>
        <v>0</v>
      </c>
      <c r="X242" s="317">
        <f t="shared" si="201"/>
        <v>0</v>
      </c>
      <c r="Y242" s="317">
        <f t="shared" si="202"/>
        <v>0</v>
      </c>
      <c r="Z242" s="317">
        <f t="shared" si="183"/>
        <v>0</v>
      </c>
      <c r="AA242" s="317">
        <f t="shared" si="184"/>
        <v>0</v>
      </c>
      <c r="AB242" s="317">
        <f t="shared" si="203"/>
        <v>0</v>
      </c>
      <c r="AC242" s="317">
        <f t="shared" si="204"/>
        <v>0</v>
      </c>
      <c r="AD242" s="317">
        <f t="shared" si="185"/>
        <v>0</v>
      </c>
      <c r="AE242" s="317">
        <f t="shared" si="186"/>
        <v>0</v>
      </c>
      <c r="AF242" s="317">
        <f t="shared" si="178"/>
        <v>0</v>
      </c>
      <c r="AG242" s="317">
        <f t="shared" si="179"/>
        <v>0</v>
      </c>
      <c r="AH242" s="317">
        <f t="shared" si="205"/>
        <v>0</v>
      </c>
      <c r="AI242" s="317">
        <f t="shared" si="206"/>
        <v>0</v>
      </c>
      <c r="AJ242" s="317">
        <f t="shared" si="207"/>
        <v>0</v>
      </c>
      <c r="AK242" s="317">
        <f t="shared" si="208"/>
        <v>0</v>
      </c>
      <c r="AL242" s="317">
        <f t="shared" si="209"/>
        <v>0</v>
      </c>
      <c r="AM242" s="317">
        <f t="shared" si="210"/>
        <v>0</v>
      </c>
      <c r="AN242" s="317">
        <f t="shared" si="211"/>
        <v>0</v>
      </c>
      <c r="AO242" s="317">
        <f t="shared" si="212"/>
        <v>0</v>
      </c>
      <c r="AP242" s="317">
        <f t="shared" si="213"/>
        <v>0</v>
      </c>
      <c r="AQ242" s="317">
        <f t="shared" si="214"/>
        <v>0</v>
      </c>
      <c r="AR242" s="317">
        <f t="shared" si="187"/>
        <v>0</v>
      </c>
      <c r="AS242" s="317">
        <f t="shared" si="188"/>
        <v>0</v>
      </c>
      <c r="AT242" s="317">
        <f t="shared" si="215"/>
        <v>0</v>
      </c>
      <c r="AU242" s="317">
        <f t="shared" si="216"/>
        <v>0</v>
      </c>
      <c r="AV242" s="317">
        <f t="shared" si="217"/>
        <v>0</v>
      </c>
      <c r="AW242" s="317">
        <f t="shared" si="218"/>
        <v>0</v>
      </c>
      <c r="AX242" s="317">
        <f t="shared" si="189"/>
        <v>0</v>
      </c>
      <c r="AY242" s="317">
        <f t="shared" si="190"/>
        <v>0</v>
      </c>
      <c r="AZ242" s="317">
        <f t="shared" si="191"/>
        <v>0</v>
      </c>
      <c r="BA242" s="317">
        <f t="shared" si="192"/>
        <v>0</v>
      </c>
    </row>
    <row r="243" spans="1:53" s="314" customFormat="1" ht="16.5" customHeight="1">
      <c r="A243" s="63" t="str">
        <f t="array" ref="A243">IF(C243&lt;&gt;0,SUM(($C$11:C243&lt;&gt;0)*1),"")</f>
        <v/>
      </c>
      <c r="B243" s="315"/>
      <c r="C243" s="315"/>
      <c r="D243" s="315"/>
      <c r="E243" s="432"/>
      <c r="F243" s="371"/>
      <c r="G243" s="373"/>
      <c r="H243" s="373"/>
      <c r="I243" s="63" t="str">
        <f t="shared" si="219"/>
        <v/>
      </c>
      <c r="J243" s="317">
        <f t="shared" si="181"/>
        <v>0</v>
      </c>
      <c r="K243" s="317">
        <f t="shared" si="182"/>
        <v>0</v>
      </c>
      <c r="L243" s="317">
        <f t="shared" si="193"/>
        <v>0</v>
      </c>
      <c r="M243" s="317">
        <f t="shared" si="194"/>
        <v>0</v>
      </c>
      <c r="N243" s="317">
        <f t="shared" si="174"/>
        <v>0</v>
      </c>
      <c r="O243" s="317">
        <f t="shared" si="175"/>
        <v>0</v>
      </c>
      <c r="P243" s="317">
        <f t="shared" si="195"/>
        <v>0</v>
      </c>
      <c r="Q243" s="317">
        <f t="shared" si="196"/>
        <v>0</v>
      </c>
      <c r="R243" s="317">
        <f t="shared" si="197"/>
        <v>0</v>
      </c>
      <c r="S243" s="317">
        <f t="shared" si="198"/>
        <v>0</v>
      </c>
      <c r="T243" s="317">
        <f t="shared" si="176"/>
        <v>0</v>
      </c>
      <c r="U243" s="317">
        <f t="shared" si="177"/>
        <v>0</v>
      </c>
      <c r="V243" s="317">
        <f t="shared" si="199"/>
        <v>0</v>
      </c>
      <c r="W243" s="317">
        <f t="shared" si="200"/>
        <v>0</v>
      </c>
      <c r="X243" s="317">
        <f t="shared" si="201"/>
        <v>0</v>
      </c>
      <c r="Y243" s="317">
        <f t="shared" si="202"/>
        <v>0</v>
      </c>
      <c r="Z243" s="317">
        <f t="shared" si="183"/>
        <v>0</v>
      </c>
      <c r="AA243" s="317">
        <f t="shared" si="184"/>
        <v>0</v>
      </c>
      <c r="AB243" s="317">
        <f t="shared" si="203"/>
        <v>0</v>
      </c>
      <c r="AC243" s="317">
        <f t="shared" si="204"/>
        <v>0</v>
      </c>
      <c r="AD243" s="317">
        <f t="shared" si="185"/>
        <v>0</v>
      </c>
      <c r="AE243" s="317">
        <f t="shared" si="186"/>
        <v>0</v>
      </c>
      <c r="AF243" s="317">
        <f t="shared" si="178"/>
        <v>0</v>
      </c>
      <c r="AG243" s="317">
        <f t="shared" si="179"/>
        <v>0</v>
      </c>
      <c r="AH243" s="317">
        <f t="shared" si="205"/>
        <v>0</v>
      </c>
      <c r="AI243" s="317">
        <f t="shared" si="206"/>
        <v>0</v>
      </c>
      <c r="AJ243" s="317">
        <f t="shared" si="207"/>
        <v>0</v>
      </c>
      <c r="AK243" s="317">
        <f t="shared" si="208"/>
        <v>0</v>
      </c>
      <c r="AL243" s="317">
        <f t="shared" si="209"/>
        <v>0</v>
      </c>
      <c r="AM243" s="317">
        <f t="shared" si="210"/>
        <v>0</v>
      </c>
      <c r="AN243" s="317">
        <f t="shared" si="211"/>
        <v>0</v>
      </c>
      <c r="AO243" s="317">
        <f t="shared" si="212"/>
        <v>0</v>
      </c>
      <c r="AP243" s="317">
        <f t="shared" si="213"/>
        <v>0</v>
      </c>
      <c r="AQ243" s="317">
        <f t="shared" si="214"/>
        <v>0</v>
      </c>
      <c r="AR243" s="317">
        <f t="shared" si="187"/>
        <v>0</v>
      </c>
      <c r="AS243" s="317">
        <f t="shared" si="188"/>
        <v>0</v>
      </c>
      <c r="AT243" s="317">
        <f t="shared" si="215"/>
        <v>0</v>
      </c>
      <c r="AU243" s="317">
        <f t="shared" si="216"/>
        <v>0</v>
      </c>
      <c r="AV243" s="317">
        <f t="shared" si="217"/>
        <v>0</v>
      </c>
      <c r="AW243" s="317">
        <f t="shared" si="218"/>
        <v>0</v>
      </c>
      <c r="AX243" s="317">
        <f t="shared" si="189"/>
        <v>0</v>
      </c>
      <c r="AY243" s="317">
        <f t="shared" si="190"/>
        <v>0</v>
      </c>
      <c r="AZ243" s="317">
        <f t="shared" si="191"/>
        <v>0</v>
      </c>
      <c r="BA243" s="317">
        <f t="shared" si="192"/>
        <v>0</v>
      </c>
    </row>
    <row r="244" spans="1:53" s="314" customFormat="1" ht="16.5" customHeight="1">
      <c r="A244" s="63" t="str">
        <f t="array" ref="A244">IF(C244&lt;&gt;0,SUM(($C$11:C244&lt;&gt;0)*1),"")</f>
        <v/>
      </c>
      <c r="B244" s="315"/>
      <c r="C244" s="315"/>
      <c r="D244" s="315"/>
      <c r="E244" s="432"/>
      <c r="F244" s="371"/>
      <c r="G244" s="373"/>
      <c r="H244" s="373"/>
      <c r="I244" s="63" t="str">
        <f t="shared" si="219"/>
        <v/>
      </c>
      <c r="J244" s="317">
        <f t="shared" si="181"/>
        <v>0</v>
      </c>
      <c r="K244" s="317">
        <f t="shared" si="182"/>
        <v>0</v>
      </c>
      <c r="L244" s="317">
        <f t="shared" si="193"/>
        <v>0</v>
      </c>
      <c r="M244" s="317">
        <f t="shared" si="194"/>
        <v>0</v>
      </c>
      <c r="N244" s="317">
        <f t="shared" si="174"/>
        <v>0</v>
      </c>
      <c r="O244" s="317">
        <f t="shared" si="175"/>
        <v>0</v>
      </c>
      <c r="P244" s="317">
        <f t="shared" si="195"/>
        <v>0</v>
      </c>
      <c r="Q244" s="317">
        <f t="shared" si="196"/>
        <v>0</v>
      </c>
      <c r="R244" s="317">
        <f t="shared" si="197"/>
        <v>0</v>
      </c>
      <c r="S244" s="317">
        <f t="shared" si="198"/>
        <v>0</v>
      </c>
      <c r="T244" s="317">
        <f t="shared" si="176"/>
        <v>0</v>
      </c>
      <c r="U244" s="317">
        <f t="shared" si="177"/>
        <v>0</v>
      </c>
      <c r="V244" s="317">
        <f t="shared" si="199"/>
        <v>0</v>
      </c>
      <c r="W244" s="317">
        <f t="shared" si="200"/>
        <v>0</v>
      </c>
      <c r="X244" s="317">
        <f t="shared" si="201"/>
        <v>0</v>
      </c>
      <c r="Y244" s="317">
        <f t="shared" si="202"/>
        <v>0</v>
      </c>
      <c r="Z244" s="317">
        <f t="shared" si="183"/>
        <v>0</v>
      </c>
      <c r="AA244" s="317">
        <f t="shared" si="184"/>
        <v>0</v>
      </c>
      <c r="AB244" s="317">
        <f t="shared" si="203"/>
        <v>0</v>
      </c>
      <c r="AC244" s="317">
        <f t="shared" si="204"/>
        <v>0</v>
      </c>
      <c r="AD244" s="317">
        <f t="shared" si="185"/>
        <v>0</v>
      </c>
      <c r="AE244" s="317">
        <f t="shared" si="186"/>
        <v>0</v>
      </c>
      <c r="AF244" s="317">
        <f t="shared" si="178"/>
        <v>0</v>
      </c>
      <c r="AG244" s="317">
        <f t="shared" si="179"/>
        <v>0</v>
      </c>
      <c r="AH244" s="317">
        <f t="shared" si="205"/>
        <v>0</v>
      </c>
      <c r="AI244" s="317">
        <f t="shared" si="206"/>
        <v>0</v>
      </c>
      <c r="AJ244" s="317">
        <f t="shared" si="207"/>
        <v>0</v>
      </c>
      <c r="AK244" s="317">
        <f t="shared" si="208"/>
        <v>0</v>
      </c>
      <c r="AL244" s="317">
        <f t="shared" si="209"/>
        <v>0</v>
      </c>
      <c r="AM244" s="317">
        <f t="shared" si="210"/>
        <v>0</v>
      </c>
      <c r="AN244" s="317">
        <f t="shared" si="211"/>
        <v>0</v>
      </c>
      <c r="AO244" s="317">
        <f t="shared" si="212"/>
        <v>0</v>
      </c>
      <c r="AP244" s="317">
        <f t="shared" si="213"/>
        <v>0</v>
      </c>
      <c r="AQ244" s="317">
        <f t="shared" si="214"/>
        <v>0</v>
      </c>
      <c r="AR244" s="317">
        <f t="shared" si="187"/>
        <v>0</v>
      </c>
      <c r="AS244" s="317">
        <f t="shared" si="188"/>
        <v>0</v>
      </c>
      <c r="AT244" s="317">
        <f t="shared" si="215"/>
        <v>0</v>
      </c>
      <c r="AU244" s="317">
        <f t="shared" si="216"/>
        <v>0</v>
      </c>
      <c r="AV244" s="317">
        <f t="shared" si="217"/>
        <v>0</v>
      </c>
      <c r="AW244" s="317">
        <f t="shared" si="218"/>
        <v>0</v>
      </c>
      <c r="AX244" s="317">
        <f t="shared" si="189"/>
        <v>0</v>
      </c>
      <c r="AY244" s="317">
        <f t="shared" si="190"/>
        <v>0</v>
      </c>
      <c r="AZ244" s="317">
        <f t="shared" si="191"/>
        <v>0</v>
      </c>
      <c r="BA244" s="317">
        <f t="shared" si="192"/>
        <v>0</v>
      </c>
    </row>
    <row r="245" spans="1:53" s="314" customFormat="1" ht="16.5" customHeight="1">
      <c r="A245" s="63" t="str">
        <f t="array" ref="A245">IF(C245&lt;&gt;0,SUM(($C$11:C245&lt;&gt;0)*1),"")</f>
        <v/>
      </c>
      <c r="B245" s="315"/>
      <c r="C245" s="315"/>
      <c r="D245" s="315"/>
      <c r="E245" s="432"/>
      <c r="F245" s="371"/>
      <c r="G245" s="373"/>
      <c r="H245" s="373"/>
      <c r="I245" s="63" t="str">
        <f t="shared" si="219"/>
        <v/>
      </c>
      <c r="J245" s="317">
        <f t="shared" si="181"/>
        <v>0</v>
      </c>
      <c r="K245" s="317">
        <f t="shared" si="182"/>
        <v>0</v>
      </c>
      <c r="L245" s="317">
        <f t="shared" si="193"/>
        <v>0</v>
      </c>
      <c r="M245" s="317">
        <f t="shared" si="194"/>
        <v>0</v>
      </c>
      <c r="N245" s="317">
        <f t="shared" si="174"/>
        <v>0</v>
      </c>
      <c r="O245" s="317">
        <f t="shared" si="175"/>
        <v>0</v>
      </c>
      <c r="P245" s="317">
        <f t="shared" si="195"/>
        <v>0</v>
      </c>
      <c r="Q245" s="317">
        <f t="shared" si="196"/>
        <v>0</v>
      </c>
      <c r="R245" s="317">
        <f t="shared" si="197"/>
        <v>0</v>
      </c>
      <c r="S245" s="317">
        <f t="shared" si="198"/>
        <v>0</v>
      </c>
      <c r="T245" s="317">
        <f t="shared" si="176"/>
        <v>0</v>
      </c>
      <c r="U245" s="317">
        <f t="shared" si="177"/>
        <v>0</v>
      </c>
      <c r="V245" s="317">
        <f t="shared" si="199"/>
        <v>0</v>
      </c>
      <c r="W245" s="317">
        <f t="shared" si="200"/>
        <v>0</v>
      </c>
      <c r="X245" s="317">
        <f t="shared" si="201"/>
        <v>0</v>
      </c>
      <c r="Y245" s="317">
        <f t="shared" si="202"/>
        <v>0</v>
      </c>
      <c r="Z245" s="317">
        <f t="shared" si="183"/>
        <v>0</v>
      </c>
      <c r="AA245" s="317">
        <f t="shared" si="184"/>
        <v>0</v>
      </c>
      <c r="AB245" s="317">
        <f t="shared" si="203"/>
        <v>0</v>
      </c>
      <c r="AC245" s="317">
        <f t="shared" si="204"/>
        <v>0</v>
      </c>
      <c r="AD245" s="317">
        <f t="shared" si="185"/>
        <v>0</v>
      </c>
      <c r="AE245" s="317">
        <f t="shared" si="186"/>
        <v>0</v>
      </c>
      <c r="AF245" s="317">
        <f t="shared" si="178"/>
        <v>0</v>
      </c>
      <c r="AG245" s="317">
        <f t="shared" si="179"/>
        <v>0</v>
      </c>
      <c r="AH245" s="317">
        <f t="shared" si="205"/>
        <v>0</v>
      </c>
      <c r="AI245" s="317">
        <f t="shared" si="206"/>
        <v>0</v>
      </c>
      <c r="AJ245" s="317">
        <f t="shared" si="207"/>
        <v>0</v>
      </c>
      <c r="AK245" s="317">
        <f t="shared" si="208"/>
        <v>0</v>
      </c>
      <c r="AL245" s="317">
        <f t="shared" si="209"/>
        <v>0</v>
      </c>
      <c r="AM245" s="317">
        <f t="shared" si="210"/>
        <v>0</v>
      </c>
      <c r="AN245" s="317">
        <f t="shared" si="211"/>
        <v>0</v>
      </c>
      <c r="AO245" s="317">
        <f t="shared" si="212"/>
        <v>0</v>
      </c>
      <c r="AP245" s="317">
        <f t="shared" si="213"/>
        <v>0</v>
      </c>
      <c r="AQ245" s="317">
        <f t="shared" si="214"/>
        <v>0</v>
      </c>
      <c r="AR245" s="317">
        <f t="shared" si="187"/>
        <v>0</v>
      </c>
      <c r="AS245" s="317">
        <f t="shared" si="188"/>
        <v>0</v>
      </c>
      <c r="AT245" s="317">
        <f t="shared" si="215"/>
        <v>0</v>
      </c>
      <c r="AU245" s="317">
        <f t="shared" si="216"/>
        <v>0</v>
      </c>
      <c r="AV245" s="317">
        <f t="shared" si="217"/>
        <v>0</v>
      </c>
      <c r="AW245" s="317">
        <f t="shared" si="218"/>
        <v>0</v>
      </c>
      <c r="AX245" s="317">
        <f t="shared" si="189"/>
        <v>0</v>
      </c>
      <c r="AY245" s="317">
        <f t="shared" si="190"/>
        <v>0</v>
      </c>
      <c r="AZ245" s="317">
        <f t="shared" si="191"/>
        <v>0</v>
      </c>
      <c r="BA245" s="317">
        <f t="shared" si="192"/>
        <v>0</v>
      </c>
    </row>
    <row r="246" spans="1:53" s="314" customFormat="1" ht="16.5" customHeight="1">
      <c r="A246" s="63" t="str">
        <f t="array" ref="A246">IF(C246&lt;&gt;0,SUM(($C$11:C246&lt;&gt;0)*1),"")</f>
        <v/>
      </c>
      <c r="B246" s="315"/>
      <c r="C246" s="315"/>
      <c r="D246" s="315"/>
      <c r="E246" s="432"/>
      <c r="F246" s="371"/>
      <c r="G246" s="373"/>
      <c r="H246" s="373"/>
      <c r="I246" s="63" t="str">
        <f t="shared" si="219"/>
        <v/>
      </c>
      <c r="J246" s="317">
        <f t="shared" si="181"/>
        <v>0</v>
      </c>
      <c r="K246" s="317">
        <f t="shared" si="182"/>
        <v>0</v>
      </c>
      <c r="L246" s="317">
        <f t="shared" si="193"/>
        <v>0</v>
      </c>
      <c r="M246" s="317">
        <f t="shared" si="194"/>
        <v>0</v>
      </c>
      <c r="N246" s="317">
        <f t="shared" si="174"/>
        <v>0</v>
      </c>
      <c r="O246" s="317">
        <f t="shared" si="175"/>
        <v>0</v>
      </c>
      <c r="P246" s="317">
        <f t="shared" si="195"/>
        <v>0</v>
      </c>
      <c r="Q246" s="317">
        <f t="shared" si="196"/>
        <v>0</v>
      </c>
      <c r="R246" s="317">
        <f t="shared" si="197"/>
        <v>0</v>
      </c>
      <c r="S246" s="317">
        <f t="shared" si="198"/>
        <v>0</v>
      </c>
      <c r="T246" s="317">
        <f t="shared" si="176"/>
        <v>0</v>
      </c>
      <c r="U246" s="317">
        <f t="shared" si="177"/>
        <v>0</v>
      </c>
      <c r="V246" s="317">
        <f t="shared" si="199"/>
        <v>0</v>
      </c>
      <c r="W246" s="317">
        <f t="shared" si="200"/>
        <v>0</v>
      </c>
      <c r="X246" s="317">
        <f t="shared" si="201"/>
        <v>0</v>
      </c>
      <c r="Y246" s="317">
        <f t="shared" si="202"/>
        <v>0</v>
      </c>
      <c r="Z246" s="317">
        <f t="shared" si="183"/>
        <v>0</v>
      </c>
      <c r="AA246" s="317">
        <f t="shared" si="184"/>
        <v>0</v>
      </c>
      <c r="AB246" s="317">
        <f t="shared" si="203"/>
        <v>0</v>
      </c>
      <c r="AC246" s="317">
        <f t="shared" si="204"/>
        <v>0</v>
      </c>
      <c r="AD246" s="317">
        <f t="shared" si="185"/>
        <v>0</v>
      </c>
      <c r="AE246" s="317">
        <f t="shared" si="186"/>
        <v>0</v>
      </c>
      <c r="AF246" s="317">
        <f t="shared" si="178"/>
        <v>0</v>
      </c>
      <c r="AG246" s="317">
        <f t="shared" si="179"/>
        <v>0</v>
      </c>
      <c r="AH246" s="317">
        <f t="shared" si="205"/>
        <v>0</v>
      </c>
      <c r="AI246" s="317">
        <f t="shared" si="206"/>
        <v>0</v>
      </c>
      <c r="AJ246" s="317">
        <f t="shared" si="207"/>
        <v>0</v>
      </c>
      <c r="AK246" s="317">
        <f t="shared" si="208"/>
        <v>0</v>
      </c>
      <c r="AL246" s="317">
        <f t="shared" si="209"/>
        <v>0</v>
      </c>
      <c r="AM246" s="317">
        <f t="shared" si="210"/>
        <v>0</v>
      </c>
      <c r="AN246" s="317">
        <f t="shared" si="211"/>
        <v>0</v>
      </c>
      <c r="AO246" s="317">
        <f t="shared" si="212"/>
        <v>0</v>
      </c>
      <c r="AP246" s="317">
        <f t="shared" si="213"/>
        <v>0</v>
      </c>
      <c r="AQ246" s="317">
        <f t="shared" si="214"/>
        <v>0</v>
      </c>
      <c r="AR246" s="317">
        <f t="shared" si="187"/>
        <v>0</v>
      </c>
      <c r="AS246" s="317">
        <f t="shared" si="188"/>
        <v>0</v>
      </c>
      <c r="AT246" s="317">
        <f t="shared" si="215"/>
        <v>0</v>
      </c>
      <c r="AU246" s="317">
        <f t="shared" si="216"/>
        <v>0</v>
      </c>
      <c r="AV246" s="317">
        <f t="shared" si="217"/>
        <v>0</v>
      </c>
      <c r="AW246" s="317">
        <f t="shared" si="218"/>
        <v>0</v>
      </c>
      <c r="AX246" s="317">
        <f t="shared" si="189"/>
        <v>0</v>
      </c>
      <c r="AY246" s="317">
        <f t="shared" si="190"/>
        <v>0</v>
      </c>
      <c r="AZ246" s="317">
        <f t="shared" si="191"/>
        <v>0</v>
      </c>
      <c r="BA246" s="317">
        <f t="shared" si="192"/>
        <v>0</v>
      </c>
    </row>
    <row r="247" spans="1:53" s="314" customFormat="1" ht="16.5" customHeight="1">
      <c r="A247" s="63" t="str">
        <f t="array" ref="A247">IF(C247&lt;&gt;0,SUM(($C$11:C247&lt;&gt;0)*1),"")</f>
        <v/>
      </c>
      <c r="B247" s="315"/>
      <c r="C247" s="315"/>
      <c r="D247" s="315"/>
      <c r="E247" s="432"/>
      <c r="F247" s="371"/>
      <c r="G247" s="373"/>
      <c r="H247" s="373"/>
      <c r="I247" s="63" t="str">
        <f t="shared" si="219"/>
        <v/>
      </c>
      <c r="J247" s="317">
        <f t="shared" si="181"/>
        <v>0</v>
      </c>
      <c r="K247" s="317">
        <f t="shared" si="182"/>
        <v>0</v>
      </c>
      <c r="L247" s="317">
        <f t="shared" si="193"/>
        <v>0</v>
      </c>
      <c r="M247" s="317">
        <f t="shared" si="194"/>
        <v>0</v>
      </c>
      <c r="N247" s="317">
        <f t="shared" si="174"/>
        <v>0</v>
      </c>
      <c r="O247" s="317">
        <f t="shared" si="175"/>
        <v>0</v>
      </c>
      <c r="P247" s="317">
        <f t="shared" si="195"/>
        <v>0</v>
      </c>
      <c r="Q247" s="317">
        <f t="shared" si="196"/>
        <v>0</v>
      </c>
      <c r="R247" s="317">
        <f t="shared" si="197"/>
        <v>0</v>
      </c>
      <c r="S247" s="317">
        <f t="shared" si="198"/>
        <v>0</v>
      </c>
      <c r="T247" s="317">
        <f t="shared" si="176"/>
        <v>0</v>
      </c>
      <c r="U247" s="317">
        <f t="shared" si="177"/>
        <v>0</v>
      </c>
      <c r="V247" s="317">
        <f t="shared" si="199"/>
        <v>0</v>
      </c>
      <c r="W247" s="317">
        <f t="shared" si="200"/>
        <v>0</v>
      </c>
      <c r="X247" s="317">
        <f t="shared" si="201"/>
        <v>0</v>
      </c>
      <c r="Y247" s="317">
        <f t="shared" si="202"/>
        <v>0</v>
      </c>
      <c r="Z247" s="317">
        <f t="shared" si="183"/>
        <v>0</v>
      </c>
      <c r="AA247" s="317">
        <f t="shared" si="184"/>
        <v>0</v>
      </c>
      <c r="AB247" s="317">
        <f t="shared" si="203"/>
        <v>0</v>
      </c>
      <c r="AC247" s="317">
        <f t="shared" si="204"/>
        <v>0</v>
      </c>
      <c r="AD247" s="317">
        <f t="shared" si="185"/>
        <v>0</v>
      </c>
      <c r="AE247" s="317">
        <f t="shared" si="186"/>
        <v>0</v>
      </c>
      <c r="AF247" s="317">
        <f t="shared" si="178"/>
        <v>0</v>
      </c>
      <c r="AG247" s="317">
        <f t="shared" si="179"/>
        <v>0</v>
      </c>
      <c r="AH247" s="317">
        <f t="shared" si="205"/>
        <v>0</v>
      </c>
      <c r="AI247" s="317">
        <f t="shared" si="206"/>
        <v>0</v>
      </c>
      <c r="AJ247" s="317">
        <f t="shared" si="207"/>
        <v>0</v>
      </c>
      <c r="AK247" s="317">
        <f t="shared" si="208"/>
        <v>0</v>
      </c>
      <c r="AL247" s="317">
        <f t="shared" si="209"/>
        <v>0</v>
      </c>
      <c r="AM247" s="317">
        <f t="shared" si="210"/>
        <v>0</v>
      </c>
      <c r="AN247" s="317">
        <f t="shared" si="211"/>
        <v>0</v>
      </c>
      <c r="AO247" s="317">
        <f t="shared" si="212"/>
        <v>0</v>
      </c>
      <c r="AP247" s="317">
        <f t="shared" si="213"/>
        <v>0</v>
      </c>
      <c r="AQ247" s="317">
        <f t="shared" si="214"/>
        <v>0</v>
      </c>
      <c r="AR247" s="317">
        <f t="shared" si="187"/>
        <v>0</v>
      </c>
      <c r="AS247" s="317">
        <f t="shared" si="188"/>
        <v>0</v>
      </c>
      <c r="AT247" s="317">
        <f t="shared" si="215"/>
        <v>0</v>
      </c>
      <c r="AU247" s="317">
        <f t="shared" si="216"/>
        <v>0</v>
      </c>
      <c r="AV247" s="317">
        <f t="shared" si="217"/>
        <v>0</v>
      </c>
      <c r="AW247" s="317">
        <f t="shared" si="218"/>
        <v>0</v>
      </c>
      <c r="AX247" s="317">
        <f t="shared" si="189"/>
        <v>0</v>
      </c>
      <c r="AY247" s="317">
        <f t="shared" si="190"/>
        <v>0</v>
      </c>
      <c r="AZ247" s="317">
        <f t="shared" si="191"/>
        <v>0</v>
      </c>
      <c r="BA247" s="317">
        <f t="shared" si="192"/>
        <v>0</v>
      </c>
    </row>
    <row r="248" spans="1:53" s="314" customFormat="1" ht="16.5" customHeight="1">
      <c r="A248" s="63" t="str">
        <f t="array" ref="A248">IF(C248&lt;&gt;0,SUM(($C$11:C248&lt;&gt;0)*1),"")</f>
        <v/>
      </c>
      <c r="B248" s="315"/>
      <c r="C248" s="315"/>
      <c r="D248" s="315"/>
      <c r="E248" s="432"/>
      <c r="F248" s="371"/>
      <c r="G248" s="373"/>
      <c r="H248" s="373"/>
      <c r="I248" s="63" t="str">
        <f t="shared" si="219"/>
        <v/>
      </c>
      <c r="J248" s="317">
        <f t="shared" si="181"/>
        <v>0</v>
      </c>
      <c r="K248" s="317">
        <f t="shared" si="182"/>
        <v>0</v>
      </c>
      <c r="L248" s="317">
        <f t="shared" si="193"/>
        <v>0</v>
      </c>
      <c r="M248" s="317">
        <f t="shared" si="194"/>
        <v>0</v>
      </c>
      <c r="N248" s="317">
        <f t="shared" si="174"/>
        <v>0</v>
      </c>
      <c r="O248" s="317">
        <f t="shared" si="175"/>
        <v>0</v>
      </c>
      <c r="P248" s="317">
        <f t="shared" si="195"/>
        <v>0</v>
      </c>
      <c r="Q248" s="317">
        <f t="shared" si="196"/>
        <v>0</v>
      </c>
      <c r="R248" s="317">
        <f t="shared" si="197"/>
        <v>0</v>
      </c>
      <c r="S248" s="317">
        <f t="shared" si="198"/>
        <v>0</v>
      </c>
      <c r="T248" s="317">
        <f t="shared" si="176"/>
        <v>0</v>
      </c>
      <c r="U248" s="317">
        <f t="shared" si="177"/>
        <v>0</v>
      </c>
      <c r="V248" s="317">
        <f t="shared" si="199"/>
        <v>0</v>
      </c>
      <c r="W248" s="317">
        <f t="shared" si="200"/>
        <v>0</v>
      </c>
      <c r="X248" s="317">
        <f t="shared" si="201"/>
        <v>0</v>
      </c>
      <c r="Y248" s="317">
        <f t="shared" si="202"/>
        <v>0</v>
      </c>
      <c r="Z248" s="317">
        <f t="shared" si="183"/>
        <v>0</v>
      </c>
      <c r="AA248" s="317">
        <f t="shared" si="184"/>
        <v>0</v>
      </c>
      <c r="AB248" s="317">
        <f t="shared" si="203"/>
        <v>0</v>
      </c>
      <c r="AC248" s="317">
        <f t="shared" si="204"/>
        <v>0</v>
      </c>
      <c r="AD248" s="317">
        <f t="shared" si="185"/>
        <v>0</v>
      </c>
      <c r="AE248" s="317">
        <f t="shared" si="186"/>
        <v>0</v>
      </c>
      <c r="AF248" s="317">
        <f t="shared" si="178"/>
        <v>0</v>
      </c>
      <c r="AG248" s="317">
        <f t="shared" si="179"/>
        <v>0</v>
      </c>
      <c r="AH248" s="317">
        <f t="shared" si="205"/>
        <v>0</v>
      </c>
      <c r="AI248" s="317">
        <f t="shared" si="206"/>
        <v>0</v>
      </c>
      <c r="AJ248" s="317">
        <f t="shared" si="207"/>
        <v>0</v>
      </c>
      <c r="AK248" s="317">
        <f t="shared" si="208"/>
        <v>0</v>
      </c>
      <c r="AL248" s="317">
        <f t="shared" si="209"/>
        <v>0</v>
      </c>
      <c r="AM248" s="317">
        <f t="shared" si="210"/>
        <v>0</v>
      </c>
      <c r="AN248" s="317">
        <f t="shared" si="211"/>
        <v>0</v>
      </c>
      <c r="AO248" s="317">
        <f t="shared" si="212"/>
        <v>0</v>
      </c>
      <c r="AP248" s="317">
        <f t="shared" si="213"/>
        <v>0</v>
      </c>
      <c r="AQ248" s="317">
        <f t="shared" si="214"/>
        <v>0</v>
      </c>
      <c r="AR248" s="317">
        <f t="shared" si="187"/>
        <v>0</v>
      </c>
      <c r="AS248" s="317">
        <f t="shared" si="188"/>
        <v>0</v>
      </c>
      <c r="AT248" s="317">
        <f t="shared" si="215"/>
        <v>0</v>
      </c>
      <c r="AU248" s="317">
        <f t="shared" si="216"/>
        <v>0</v>
      </c>
      <c r="AV248" s="317">
        <f t="shared" si="217"/>
        <v>0</v>
      </c>
      <c r="AW248" s="317">
        <f t="shared" si="218"/>
        <v>0</v>
      </c>
      <c r="AX248" s="317">
        <f t="shared" si="189"/>
        <v>0</v>
      </c>
      <c r="AY248" s="317">
        <f t="shared" si="190"/>
        <v>0</v>
      </c>
      <c r="AZ248" s="317">
        <f t="shared" si="191"/>
        <v>0</v>
      </c>
      <c r="BA248" s="317">
        <f t="shared" si="192"/>
        <v>0</v>
      </c>
    </row>
    <row r="249" spans="1:53" s="314" customFormat="1" ht="16.5" customHeight="1">
      <c r="A249" s="63" t="str">
        <f t="array" ref="A249">IF(C249&lt;&gt;0,SUM(($C$11:C249&lt;&gt;0)*1),"")</f>
        <v/>
      </c>
      <c r="B249" s="315"/>
      <c r="C249" s="315"/>
      <c r="D249" s="315"/>
      <c r="E249" s="432"/>
      <c r="F249" s="371"/>
      <c r="G249" s="373"/>
      <c r="H249" s="373"/>
      <c r="I249" s="63" t="str">
        <f t="shared" si="219"/>
        <v/>
      </c>
      <c r="J249" s="317">
        <f t="shared" si="181"/>
        <v>0</v>
      </c>
      <c r="K249" s="317">
        <f t="shared" si="182"/>
        <v>0</v>
      </c>
      <c r="L249" s="317">
        <f t="shared" si="193"/>
        <v>0</v>
      </c>
      <c r="M249" s="317">
        <f t="shared" si="194"/>
        <v>0</v>
      </c>
      <c r="N249" s="317">
        <f t="shared" si="174"/>
        <v>0</v>
      </c>
      <c r="O249" s="317">
        <f t="shared" si="175"/>
        <v>0</v>
      </c>
      <c r="P249" s="317">
        <f t="shared" si="195"/>
        <v>0</v>
      </c>
      <c r="Q249" s="317">
        <f t="shared" si="196"/>
        <v>0</v>
      </c>
      <c r="R249" s="317">
        <f t="shared" si="197"/>
        <v>0</v>
      </c>
      <c r="S249" s="317">
        <f t="shared" si="198"/>
        <v>0</v>
      </c>
      <c r="T249" s="317">
        <f t="shared" si="176"/>
        <v>0</v>
      </c>
      <c r="U249" s="317">
        <f t="shared" si="177"/>
        <v>0</v>
      </c>
      <c r="V249" s="317">
        <f t="shared" si="199"/>
        <v>0</v>
      </c>
      <c r="W249" s="317">
        <f t="shared" si="200"/>
        <v>0</v>
      </c>
      <c r="X249" s="317">
        <f t="shared" si="201"/>
        <v>0</v>
      </c>
      <c r="Y249" s="317">
        <f t="shared" si="202"/>
        <v>0</v>
      </c>
      <c r="Z249" s="317">
        <f t="shared" si="183"/>
        <v>0</v>
      </c>
      <c r="AA249" s="317">
        <f t="shared" si="184"/>
        <v>0</v>
      </c>
      <c r="AB249" s="317">
        <f t="shared" si="203"/>
        <v>0</v>
      </c>
      <c r="AC249" s="317">
        <f t="shared" si="204"/>
        <v>0</v>
      </c>
      <c r="AD249" s="317">
        <f t="shared" si="185"/>
        <v>0</v>
      </c>
      <c r="AE249" s="317">
        <f t="shared" si="186"/>
        <v>0</v>
      </c>
      <c r="AF249" s="317">
        <f t="shared" si="178"/>
        <v>0</v>
      </c>
      <c r="AG249" s="317">
        <f t="shared" si="179"/>
        <v>0</v>
      </c>
      <c r="AH249" s="317">
        <f t="shared" si="205"/>
        <v>0</v>
      </c>
      <c r="AI249" s="317">
        <f t="shared" si="206"/>
        <v>0</v>
      </c>
      <c r="AJ249" s="317">
        <f t="shared" si="207"/>
        <v>0</v>
      </c>
      <c r="AK249" s="317">
        <f t="shared" si="208"/>
        <v>0</v>
      </c>
      <c r="AL249" s="317">
        <f t="shared" si="209"/>
        <v>0</v>
      </c>
      <c r="AM249" s="317">
        <f t="shared" si="210"/>
        <v>0</v>
      </c>
      <c r="AN249" s="317">
        <f t="shared" si="211"/>
        <v>0</v>
      </c>
      <c r="AO249" s="317">
        <f t="shared" si="212"/>
        <v>0</v>
      </c>
      <c r="AP249" s="317">
        <f t="shared" si="213"/>
        <v>0</v>
      </c>
      <c r="AQ249" s="317">
        <f t="shared" si="214"/>
        <v>0</v>
      </c>
      <c r="AR249" s="317">
        <f t="shared" si="187"/>
        <v>0</v>
      </c>
      <c r="AS249" s="317">
        <f t="shared" si="188"/>
        <v>0</v>
      </c>
      <c r="AT249" s="317">
        <f t="shared" si="215"/>
        <v>0</v>
      </c>
      <c r="AU249" s="317">
        <f t="shared" si="216"/>
        <v>0</v>
      </c>
      <c r="AV249" s="317">
        <f t="shared" si="217"/>
        <v>0</v>
      </c>
      <c r="AW249" s="317">
        <f t="shared" si="218"/>
        <v>0</v>
      </c>
      <c r="AX249" s="317">
        <f t="shared" si="189"/>
        <v>0</v>
      </c>
      <c r="AY249" s="317">
        <f t="shared" si="190"/>
        <v>0</v>
      </c>
      <c r="AZ249" s="317">
        <f t="shared" si="191"/>
        <v>0</v>
      </c>
      <c r="BA249" s="317">
        <f t="shared" si="192"/>
        <v>0</v>
      </c>
    </row>
    <row r="250" spans="1:53" s="314" customFormat="1" ht="16.5" customHeight="1">
      <c r="A250" s="63" t="str">
        <f t="array" ref="A250">IF(C250&lt;&gt;0,SUM(($C$11:C250&lt;&gt;0)*1),"")</f>
        <v/>
      </c>
      <c r="B250" s="315"/>
      <c r="C250" s="315"/>
      <c r="D250" s="315"/>
      <c r="E250" s="432"/>
      <c r="F250" s="371"/>
      <c r="G250" s="373"/>
      <c r="H250" s="373"/>
      <c r="I250" s="63" t="str">
        <f t="shared" si="219"/>
        <v/>
      </c>
      <c r="J250" s="317">
        <f t="shared" si="181"/>
        <v>0</v>
      </c>
      <c r="K250" s="317">
        <f t="shared" si="182"/>
        <v>0</v>
      </c>
      <c r="L250" s="317">
        <f t="shared" si="193"/>
        <v>0</v>
      </c>
      <c r="M250" s="317">
        <f t="shared" si="194"/>
        <v>0</v>
      </c>
      <c r="N250" s="317">
        <f t="shared" si="174"/>
        <v>0</v>
      </c>
      <c r="O250" s="317">
        <f t="shared" si="175"/>
        <v>0</v>
      </c>
      <c r="P250" s="317">
        <f t="shared" si="195"/>
        <v>0</v>
      </c>
      <c r="Q250" s="317">
        <f t="shared" si="196"/>
        <v>0</v>
      </c>
      <c r="R250" s="317">
        <f t="shared" si="197"/>
        <v>0</v>
      </c>
      <c r="S250" s="317">
        <f t="shared" si="198"/>
        <v>0</v>
      </c>
      <c r="T250" s="317">
        <f t="shared" si="176"/>
        <v>0</v>
      </c>
      <c r="U250" s="317">
        <f t="shared" si="177"/>
        <v>0</v>
      </c>
      <c r="V250" s="317">
        <f t="shared" si="199"/>
        <v>0</v>
      </c>
      <c r="W250" s="317">
        <f t="shared" si="200"/>
        <v>0</v>
      </c>
      <c r="X250" s="317">
        <f t="shared" si="201"/>
        <v>0</v>
      </c>
      <c r="Y250" s="317">
        <f t="shared" si="202"/>
        <v>0</v>
      </c>
      <c r="Z250" s="317">
        <f t="shared" si="183"/>
        <v>0</v>
      </c>
      <c r="AA250" s="317">
        <f t="shared" si="184"/>
        <v>0</v>
      </c>
      <c r="AB250" s="317">
        <f t="shared" si="203"/>
        <v>0</v>
      </c>
      <c r="AC250" s="317">
        <f t="shared" si="204"/>
        <v>0</v>
      </c>
      <c r="AD250" s="317">
        <f t="shared" si="185"/>
        <v>0</v>
      </c>
      <c r="AE250" s="317">
        <f t="shared" si="186"/>
        <v>0</v>
      </c>
      <c r="AF250" s="317">
        <f t="shared" si="178"/>
        <v>0</v>
      </c>
      <c r="AG250" s="317">
        <f t="shared" si="179"/>
        <v>0</v>
      </c>
      <c r="AH250" s="317">
        <f t="shared" si="205"/>
        <v>0</v>
      </c>
      <c r="AI250" s="317">
        <f t="shared" si="206"/>
        <v>0</v>
      </c>
      <c r="AJ250" s="317">
        <f t="shared" si="207"/>
        <v>0</v>
      </c>
      <c r="AK250" s="317">
        <f t="shared" si="208"/>
        <v>0</v>
      </c>
      <c r="AL250" s="317">
        <f t="shared" si="209"/>
        <v>0</v>
      </c>
      <c r="AM250" s="317">
        <f t="shared" si="210"/>
        <v>0</v>
      </c>
      <c r="AN250" s="317">
        <f t="shared" si="211"/>
        <v>0</v>
      </c>
      <c r="AO250" s="317">
        <f t="shared" si="212"/>
        <v>0</v>
      </c>
      <c r="AP250" s="317">
        <f t="shared" si="213"/>
        <v>0</v>
      </c>
      <c r="AQ250" s="317">
        <f t="shared" si="214"/>
        <v>0</v>
      </c>
      <c r="AR250" s="317">
        <f t="shared" si="187"/>
        <v>0</v>
      </c>
      <c r="AS250" s="317">
        <f t="shared" si="188"/>
        <v>0</v>
      </c>
      <c r="AT250" s="317">
        <f t="shared" si="215"/>
        <v>0</v>
      </c>
      <c r="AU250" s="317">
        <f t="shared" si="216"/>
        <v>0</v>
      </c>
      <c r="AV250" s="317">
        <f t="shared" si="217"/>
        <v>0</v>
      </c>
      <c r="AW250" s="317">
        <f t="shared" si="218"/>
        <v>0</v>
      </c>
      <c r="AX250" s="317">
        <f t="shared" si="189"/>
        <v>0</v>
      </c>
      <c r="AY250" s="317">
        <f t="shared" si="190"/>
        <v>0</v>
      </c>
      <c r="AZ250" s="317">
        <f t="shared" si="191"/>
        <v>0</v>
      </c>
      <c r="BA250" s="317">
        <f t="shared" si="192"/>
        <v>0</v>
      </c>
    </row>
    <row r="251" spans="1:53" s="314" customFormat="1" ht="16.5" customHeight="1">
      <c r="A251" s="63" t="str">
        <f t="array" ref="A251">IF(C251&lt;&gt;0,SUM(($C$11:C251&lt;&gt;0)*1),"")</f>
        <v/>
      </c>
      <c r="B251" s="315"/>
      <c r="C251" s="315"/>
      <c r="D251" s="315"/>
      <c r="E251" s="432"/>
      <c r="F251" s="371"/>
      <c r="G251" s="373"/>
      <c r="H251" s="373"/>
      <c r="I251" s="63" t="str">
        <f t="shared" si="219"/>
        <v/>
      </c>
      <c r="J251" s="317">
        <f t="shared" si="181"/>
        <v>0</v>
      </c>
      <c r="K251" s="317">
        <f t="shared" si="182"/>
        <v>0</v>
      </c>
      <c r="L251" s="317">
        <f t="shared" si="193"/>
        <v>0</v>
      </c>
      <c r="M251" s="317">
        <f t="shared" si="194"/>
        <v>0</v>
      </c>
      <c r="N251" s="317">
        <f t="shared" si="174"/>
        <v>0</v>
      </c>
      <c r="O251" s="317">
        <f t="shared" si="175"/>
        <v>0</v>
      </c>
      <c r="P251" s="317">
        <f t="shared" si="195"/>
        <v>0</v>
      </c>
      <c r="Q251" s="317">
        <f t="shared" si="196"/>
        <v>0</v>
      </c>
      <c r="R251" s="317">
        <f t="shared" si="197"/>
        <v>0</v>
      </c>
      <c r="S251" s="317">
        <f t="shared" si="198"/>
        <v>0</v>
      </c>
      <c r="T251" s="317">
        <f t="shared" si="176"/>
        <v>0</v>
      </c>
      <c r="U251" s="317">
        <f t="shared" si="177"/>
        <v>0</v>
      </c>
      <c r="V251" s="317">
        <f t="shared" si="199"/>
        <v>0</v>
      </c>
      <c r="W251" s="317">
        <f t="shared" si="200"/>
        <v>0</v>
      </c>
      <c r="X251" s="317">
        <f t="shared" si="201"/>
        <v>0</v>
      </c>
      <c r="Y251" s="317">
        <f t="shared" si="202"/>
        <v>0</v>
      </c>
      <c r="Z251" s="317">
        <f t="shared" si="183"/>
        <v>0</v>
      </c>
      <c r="AA251" s="317">
        <f t="shared" si="184"/>
        <v>0</v>
      </c>
      <c r="AB251" s="317">
        <f t="shared" si="203"/>
        <v>0</v>
      </c>
      <c r="AC251" s="317">
        <f t="shared" si="204"/>
        <v>0</v>
      </c>
      <c r="AD251" s="317">
        <f t="shared" si="185"/>
        <v>0</v>
      </c>
      <c r="AE251" s="317">
        <f t="shared" si="186"/>
        <v>0</v>
      </c>
      <c r="AF251" s="317">
        <f t="shared" si="178"/>
        <v>0</v>
      </c>
      <c r="AG251" s="317">
        <f t="shared" si="179"/>
        <v>0</v>
      </c>
      <c r="AH251" s="317">
        <f t="shared" si="205"/>
        <v>0</v>
      </c>
      <c r="AI251" s="317">
        <f t="shared" si="206"/>
        <v>0</v>
      </c>
      <c r="AJ251" s="317">
        <f t="shared" si="207"/>
        <v>0</v>
      </c>
      <c r="AK251" s="317">
        <f t="shared" si="208"/>
        <v>0</v>
      </c>
      <c r="AL251" s="317">
        <f t="shared" si="209"/>
        <v>0</v>
      </c>
      <c r="AM251" s="317">
        <f t="shared" si="210"/>
        <v>0</v>
      </c>
      <c r="AN251" s="317">
        <f t="shared" si="211"/>
        <v>0</v>
      </c>
      <c r="AO251" s="317">
        <f t="shared" si="212"/>
        <v>0</v>
      </c>
      <c r="AP251" s="317">
        <f t="shared" si="213"/>
        <v>0</v>
      </c>
      <c r="AQ251" s="317">
        <f t="shared" si="214"/>
        <v>0</v>
      </c>
      <c r="AR251" s="317">
        <f t="shared" si="187"/>
        <v>0</v>
      </c>
      <c r="AS251" s="317">
        <f t="shared" si="188"/>
        <v>0</v>
      </c>
      <c r="AT251" s="317">
        <f t="shared" si="215"/>
        <v>0</v>
      </c>
      <c r="AU251" s="317">
        <f t="shared" si="216"/>
        <v>0</v>
      </c>
      <c r="AV251" s="317">
        <f t="shared" si="217"/>
        <v>0</v>
      </c>
      <c r="AW251" s="317">
        <f t="shared" si="218"/>
        <v>0</v>
      </c>
      <c r="AX251" s="317">
        <f t="shared" si="189"/>
        <v>0</v>
      </c>
      <c r="AY251" s="317">
        <f t="shared" si="190"/>
        <v>0</v>
      </c>
      <c r="AZ251" s="317">
        <f t="shared" si="191"/>
        <v>0</v>
      </c>
      <c r="BA251" s="317">
        <f t="shared" si="192"/>
        <v>0</v>
      </c>
    </row>
    <row r="252" spans="1:53" s="314" customFormat="1" ht="16.5" customHeight="1">
      <c r="A252" s="63" t="str">
        <f t="array" ref="A252">IF(C252&lt;&gt;0,SUM(($C$11:C252&lt;&gt;0)*1),"")</f>
        <v/>
      </c>
      <c r="B252" s="315"/>
      <c r="C252" s="315"/>
      <c r="D252" s="315"/>
      <c r="E252" s="432"/>
      <c r="F252" s="371"/>
      <c r="G252" s="373"/>
      <c r="H252" s="373"/>
      <c r="I252" s="63" t="str">
        <f t="shared" si="219"/>
        <v/>
      </c>
      <c r="J252" s="317">
        <f t="shared" si="181"/>
        <v>0</v>
      </c>
      <c r="K252" s="317">
        <f t="shared" si="182"/>
        <v>0</v>
      </c>
      <c r="L252" s="317">
        <f t="shared" si="193"/>
        <v>0</v>
      </c>
      <c r="M252" s="317">
        <f t="shared" si="194"/>
        <v>0</v>
      </c>
      <c r="N252" s="317">
        <f t="shared" si="174"/>
        <v>0</v>
      </c>
      <c r="O252" s="317">
        <f t="shared" si="175"/>
        <v>0</v>
      </c>
      <c r="P252" s="317">
        <f t="shared" si="195"/>
        <v>0</v>
      </c>
      <c r="Q252" s="317">
        <f t="shared" si="196"/>
        <v>0</v>
      </c>
      <c r="R252" s="317">
        <f t="shared" si="197"/>
        <v>0</v>
      </c>
      <c r="S252" s="317">
        <f t="shared" si="198"/>
        <v>0</v>
      </c>
      <c r="T252" s="317">
        <f t="shared" si="176"/>
        <v>0</v>
      </c>
      <c r="U252" s="317">
        <f t="shared" si="177"/>
        <v>0</v>
      </c>
      <c r="V252" s="317">
        <f t="shared" si="199"/>
        <v>0</v>
      </c>
      <c r="W252" s="317">
        <f t="shared" si="200"/>
        <v>0</v>
      </c>
      <c r="X252" s="317">
        <f t="shared" si="201"/>
        <v>0</v>
      </c>
      <c r="Y252" s="317">
        <f t="shared" si="202"/>
        <v>0</v>
      </c>
      <c r="Z252" s="317">
        <f t="shared" si="183"/>
        <v>0</v>
      </c>
      <c r="AA252" s="317">
        <f t="shared" si="184"/>
        <v>0</v>
      </c>
      <c r="AB252" s="317">
        <f t="shared" si="203"/>
        <v>0</v>
      </c>
      <c r="AC252" s="317">
        <f t="shared" si="204"/>
        <v>0</v>
      </c>
      <c r="AD252" s="317">
        <f t="shared" si="185"/>
        <v>0</v>
      </c>
      <c r="AE252" s="317">
        <f t="shared" si="186"/>
        <v>0</v>
      </c>
      <c r="AF252" s="317">
        <f t="shared" si="178"/>
        <v>0</v>
      </c>
      <c r="AG252" s="317">
        <f t="shared" si="179"/>
        <v>0</v>
      </c>
      <c r="AH252" s="317">
        <f t="shared" si="205"/>
        <v>0</v>
      </c>
      <c r="AI252" s="317">
        <f t="shared" si="206"/>
        <v>0</v>
      </c>
      <c r="AJ252" s="317">
        <f t="shared" si="207"/>
        <v>0</v>
      </c>
      <c r="AK252" s="317">
        <f t="shared" si="208"/>
        <v>0</v>
      </c>
      <c r="AL252" s="317">
        <f t="shared" si="209"/>
        <v>0</v>
      </c>
      <c r="AM252" s="317">
        <f t="shared" si="210"/>
        <v>0</v>
      </c>
      <c r="AN252" s="317">
        <f t="shared" si="211"/>
        <v>0</v>
      </c>
      <c r="AO252" s="317">
        <f t="shared" si="212"/>
        <v>0</v>
      </c>
      <c r="AP252" s="317">
        <f t="shared" si="213"/>
        <v>0</v>
      </c>
      <c r="AQ252" s="317">
        <f t="shared" si="214"/>
        <v>0</v>
      </c>
      <c r="AR252" s="317">
        <f t="shared" si="187"/>
        <v>0</v>
      </c>
      <c r="AS252" s="317">
        <f t="shared" si="188"/>
        <v>0</v>
      </c>
      <c r="AT252" s="317">
        <f t="shared" si="215"/>
        <v>0</v>
      </c>
      <c r="AU252" s="317">
        <f t="shared" si="216"/>
        <v>0</v>
      </c>
      <c r="AV252" s="317">
        <f t="shared" si="217"/>
        <v>0</v>
      </c>
      <c r="AW252" s="317">
        <f t="shared" si="218"/>
        <v>0</v>
      </c>
      <c r="AX252" s="317">
        <f t="shared" si="189"/>
        <v>0</v>
      </c>
      <c r="AY252" s="317">
        <f t="shared" si="190"/>
        <v>0</v>
      </c>
      <c r="AZ252" s="317">
        <f t="shared" si="191"/>
        <v>0</v>
      </c>
      <c r="BA252" s="317">
        <f t="shared" si="192"/>
        <v>0</v>
      </c>
    </row>
    <row r="253" spans="1:53" s="314" customFormat="1" ht="16.5" customHeight="1">
      <c r="A253" s="63" t="str">
        <f t="array" ref="A253">IF(C253&lt;&gt;0,SUM(($C$11:C253&lt;&gt;0)*1),"")</f>
        <v/>
      </c>
      <c r="B253" s="315"/>
      <c r="C253" s="315"/>
      <c r="D253" s="315"/>
      <c r="E253" s="432"/>
      <c r="F253" s="371"/>
      <c r="G253" s="373"/>
      <c r="H253" s="373"/>
      <c r="I253" s="63" t="str">
        <f t="shared" si="219"/>
        <v/>
      </c>
      <c r="J253" s="317">
        <f t="shared" si="181"/>
        <v>0</v>
      </c>
      <c r="K253" s="317">
        <f t="shared" si="182"/>
        <v>0</v>
      </c>
      <c r="L253" s="317">
        <f t="shared" si="193"/>
        <v>0</v>
      </c>
      <c r="M253" s="317">
        <f t="shared" si="194"/>
        <v>0</v>
      </c>
      <c r="N253" s="317">
        <f t="shared" si="174"/>
        <v>0</v>
      </c>
      <c r="O253" s="317">
        <f t="shared" si="175"/>
        <v>0</v>
      </c>
      <c r="P253" s="317">
        <f t="shared" si="195"/>
        <v>0</v>
      </c>
      <c r="Q253" s="317">
        <f t="shared" si="196"/>
        <v>0</v>
      </c>
      <c r="R253" s="317">
        <f t="shared" si="197"/>
        <v>0</v>
      </c>
      <c r="S253" s="317">
        <f t="shared" si="198"/>
        <v>0</v>
      </c>
      <c r="T253" s="317">
        <f t="shared" si="176"/>
        <v>0</v>
      </c>
      <c r="U253" s="317">
        <f t="shared" si="177"/>
        <v>0</v>
      </c>
      <c r="V253" s="317">
        <f t="shared" si="199"/>
        <v>0</v>
      </c>
      <c r="W253" s="317">
        <f t="shared" si="200"/>
        <v>0</v>
      </c>
      <c r="X253" s="317">
        <f t="shared" si="201"/>
        <v>0</v>
      </c>
      <c r="Y253" s="317">
        <f t="shared" si="202"/>
        <v>0</v>
      </c>
      <c r="Z253" s="317">
        <f t="shared" si="183"/>
        <v>0</v>
      </c>
      <c r="AA253" s="317">
        <f t="shared" si="184"/>
        <v>0</v>
      </c>
      <c r="AB253" s="317">
        <f t="shared" si="203"/>
        <v>0</v>
      </c>
      <c r="AC253" s="317">
        <f t="shared" si="204"/>
        <v>0</v>
      </c>
      <c r="AD253" s="317">
        <f t="shared" si="185"/>
        <v>0</v>
      </c>
      <c r="AE253" s="317">
        <f t="shared" si="186"/>
        <v>0</v>
      </c>
      <c r="AF253" s="317">
        <f t="shared" si="178"/>
        <v>0</v>
      </c>
      <c r="AG253" s="317">
        <f t="shared" si="179"/>
        <v>0</v>
      </c>
      <c r="AH253" s="317">
        <f t="shared" si="205"/>
        <v>0</v>
      </c>
      <c r="AI253" s="317">
        <f t="shared" si="206"/>
        <v>0</v>
      </c>
      <c r="AJ253" s="317">
        <f t="shared" si="207"/>
        <v>0</v>
      </c>
      <c r="AK253" s="317">
        <f t="shared" si="208"/>
        <v>0</v>
      </c>
      <c r="AL253" s="317">
        <f t="shared" si="209"/>
        <v>0</v>
      </c>
      <c r="AM253" s="317">
        <f t="shared" si="210"/>
        <v>0</v>
      </c>
      <c r="AN253" s="317">
        <f t="shared" si="211"/>
        <v>0</v>
      </c>
      <c r="AO253" s="317">
        <f t="shared" si="212"/>
        <v>0</v>
      </c>
      <c r="AP253" s="317">
        <f t="shared" si="213"/>
        <v>0</v>
      </c>
      <c r="AQ253" s="317">
        <f t="shared" si="214"/>
        <v>0</v>
      </c>
      <c r="AR253" s="317">
        <f t="shared" si="187"/>
        <v>0</v>
      </c>
      <c r="AS253" s="317">
        <f t="shared" si="188"/>
        <v>0</v>
      </c>
      <c r="AT253" s="317">
        <f t="shared" si="215"/>
        <v>0</v>
      </c>
      <c r="AU253" s="317">
        <f t="shared" si="216"/>
        <v>0</v>
      </c>
      <c r="AV253" s="317">
        <f t="shared" si="217"/>
        <v>0</v>
      </c>
      <c r="AW253" s="317">
        <f t="shared" si="218"/>
        <v>0</v>
      </c>
      <c r="AX253" s="317">
        <f t="shared" si="189"/>
        <v>0</v>
      </c>
      <c r="AY253" s="317">
        <f t="shared" si="190"/>
        <v>0</v>
      </c>
      <c r="AZ253" s="317">
        <f t="shared" si="191"/>
        <v>0</v>
      </c>
      <c r="BA253" s="317">
        <f t="shared" si="192"/>
        <v>0</v>
      </c>
    </row>
    <row r="254" spans="1:53" s="314" customFormat="1" ht="16.5" customHeight="1">
      <c r="A254" s="63" t="str">
        <f t="array" ref="A254">IF(C254&lt;&gt;0,SUM(($C$11:C254&lt;&gt;0)*1),"")</f>
        <v/>
      </c>
      <c r="B254" s="315"/>
      <c r="C254" s="315"/>
      <c r="D254" s="315"/>
      <c r="E254" s="432"/>
      <c r="F254" s="371"/>
      <c r="G254" s="373"/>
      <c r="H254" s="373"/>
      <c r="I254" s="63" t="str">
        <f t="shared" si="219"/>
        <v/>
      </c>
      <c r="J254" s="317">
        <f t="shared" si="181"/>
        <v>0</v>
      </c>
      <c r="K254" s="317">
        <f t="shared" si="182"/>
        <v>0</v>
      </c>
      <c r="L254" s="317">
        <f t="shared" si="193"/>
        <v>0</v>
      </c>
      <c r="M254" s="317">
        <f t="shared" si="194"/>
        <v>0</v>
      </c>
      <c r="N254" s="317">
        <f t="shared" si="174"/>
        <v>0</v>
      </c>
      <c r="O254" s="317">
        <f t="shared" si="175"/>
        <v>0</v>
      </c>
      <c r="P254" s="317">
        <f t="shared" si="195"/>
        <v>0</v>
      </c>
      <c r="Q254" s="317">
        <f t="shared" si="196"/>
        <v>0</v>
      </c>
      <c r="R254" s="317">
        <f t="shared" si="197"/>
        <v>0</v>
      </c>
      <c r="S254" s="317">
        <f t="shared" si="198"/>
        <v>0</v>
      </c>
      <c r="T254" s="317">
        <f t="shared" si="176"/>
        <v>0</v>
      </c>
      <c r="U254" s="317">
        <f t="shared" si="177"/>
        <v>0</v>
      </c>
      <c r="V254" s="317">
        <f t="shared" si="199"/>
        <v>0</v>
      </c>
      <c r="W254" s="317">
        <f t="shared" si="200"/>
        <v>0</v>
      </c>
      <c r="X254" s="317">
        <f t="shared" si="201"/>
        <v>0</v>
      </c>
      <c r="Y254" s="317">
        <f t="shared" si="202"/>
        <v>0</v>
      </c>
      <c r="Z254" s="317">
        <f t="shared" si="183"/>
        <v>0</v>
      </c>
      <c r="AA254" s="317">
        <f t="shared" si="184"/>
        <v>0</v>
      </c>
      <c r="AB254" s="317">
        <f t="shared" si="203"/>
        <v>0</v>
      </c>
      <c r="AC254" s="317">
        <f t="shared" si="204"/>
        <v>0</v>
      </c>
      <c r="AD254" s="317">
        <f t="shared" si="185"/>
        <v>0</v>
      </c>
      <c r="AE254" s="317">
        <f t="shared" si="186"/>
        <v>0</v>
      </c>
      <c r="AF254" s="317">
        <f t="shared" si="178"/>
        <v>0</v>
      </c>
      <c r="AG254" s="317">
        <f t="shared" si="179"/>
        <v>0</v>
      </c>
      <c r="AH254" s="317">
        <f t="shared" si="205"/>
        <v>0</v>
      </c>
      <c r="AI254" s="317">
        <f t="shared" si="206"/>
        <v>0</v>
      </c>
      <c r="AJ254" s="317">
        <f t="shared" si="207"/>
        <v>0</v>
      </c>
      <c r="AK254" s="317">
        <f t="shared" si="208"/>
        <v>0</v>
      </c>
      <c r="AL254" s="317">
        <f t="shared" si="209"/>
        <v>0</v>
      </c>
      <c r="AM254" s="317">
        <f t="shared" si="210"/>
        <v>0</v>
      </c>
      <c r="AN254" s="317">
        <f t="shared" si="211"/>
        <v>0</v>
      </c>
      <c r="AO254" s="317">
        <f t="shared" si="212"/>
        <v>0</v>
      </c>
      <c r="AP254" s="317">
        <f t="shared" si="213"/>
        <v>0</v>
      </c>
      <c r="AQ254" s="317">
        <f t="shared" si="214"/>
        <v>0</v>
      </c>
      <c r="AR254" s="317">
        <f t="shared" si="187"/>
        <v>0</v>
      </c>
      <c r="AS254" s="317">
        <f t="shared" si="188"/>
        <v>0</v>
      </c>
      <c r="AT254" s="317">
        <f t="shared" si="215"/>
        <v>0</v>
      </c>
      <c r="AU254" s="317">
        <f t="shared" si="216"/>
        <v>0</v>
      </c>
      <c r="AV254" s="317">
        <f t="shared" si="217"/>
        <v>0</v>
      </c>
      <c r="AW254" s="317">
        <f t="shared" si="218"/>
        <v>0</v>
      </c>
      <c r="AX254" s="317">
        <f t="shared" si="189"/>
        <v>0</v>
      </c>
      <c r="AY254" s="317">
        <f t="shared" si="190"/>
        <v>0</v>
      </c>
      <c r="AZ254" s="317">
        <f t="shared" si="191"/>
        <v>0</v>
      </c>
      <c r="BA254" s="317">
        <f t="shared" si="192"/>
        <v>0</v>
      </c>
    </row>
    <row r="255" spans="1:53" s="314" customFormat="1" ht="16.5" customHeight="1">
      <c r="A255" s="63" t="str">
        <f t="array" ref="A255">IF(C255&lt;&gt;0,SUM(($C$11:C255&lt;&gt;0)*1),"")</f>
        <v/>
      </c>
      <c r="B255" s="315"/>
      <c r="C255" s="315"/>
      <c r="D255" s="315"/>
      <c r="E255" s="432"/>
      <c r="F255" s="371"/>
      <c r="G255" s="373"/>
      <c r="H255" s="373"/>
      <c r="I255" s="63" t="str">
        <f t="shared" si="219"/>
        <v/>
      </c>
      <c r="J255" s="317">
        <f t="shared" si="181"/>
        <v>0</v>
      </c>
      <c r="K255" s="317">
        <f t="shared" si="182"/>
        <v>0</v>
      </c>
      <c r="L255" s="317">
        <f t="shared" si="193"/>
        <v>0</v>
      </c>
      <c r="M255" s="317">
        <f t="shared" si="194"/>
        <v>0</v>
      </c>
      <c r="N255" s="317">
        <f t="shared" si="174"/>
        <v>0</v>
      </c>
      <c r="O255" s="317">
        <f t="shared" si="175"/>
        <v>0</v>
      </c>
      <c r="P255" s="317">
        <f t="shared" si="195"/>
        <v>0</v>
      </c>
      <c r="Q255" s="317">
        <f t="shared" si="196"/>
        <v>0</v>
      </c>
      <c r="R255" s="317">
        <f t="shared" si="197"/>
        <v>0</v>
      </c>
      <c r="S255" s="317">
        <f t="shared" si="198"/>
        <v>0</v>
      </c>
      <c r="T255" s="317">
        <f t="shared" si="176"/>
        <v>0</v>
      </c>
      <c r="U255" s="317">
        <f t="shared" si="177"/>
        <v>0</v>
      </c>
      <c r="V255" s="317">
        <f t="shared" si="199"/>
        <v>0</v>
      </c>
      <c r="W255" s="317">
        <f t="shared" si="200"/>
        <v>0</v>
      </c>
      <c r="X255" s="317">
        <f t="shared" si="201"/>
        <v>0</v>
      </c>
      <c r="Y255" s="317">
        <f t="shared" si="202"/>
        <v>0</v>
      </c>
      <c r="Z255" s="317">
        <f t="shared" si="183"/>
        <v>0</v>
      </c>
      <c r="AA255" s="317">
        <f t="shared" si="184"/>
        <v>0</v>
      </c>
      <c r="AB255" s="317">
        <f t="shared" si="203"/>
        <v>0</v>
      </c>
      <c r="AC255" s="317">
        <f t="shared" si="204"/>
        <v>0</v>
      </c>
      <c r="AD255" s="317">
        <f t="shared" si="185"/>
        <v>0</v>
      </c>
      <c r="AE255" s="317">
        <f t="shared" si="186"/>
        <v>0</v>
      </c>
      <c r="AF255" s="317">
        <f t="shared" si="178"/>
        <v>0</v>
      </c>
      <c r="AG255" s="317">
        <f t="shared" si="179"/>
        <v>0</v>
      </c>
      <c r="AH255" s="317">
        <f t="shared" si="205"/>
        <v>0</v>
      </c>
      <c r="AI255" s="317">
        <f t="shared" si="206"/>
        <v>0</v>
      </c>
      <c r="AJ255" s="317">
        <f t="shared" si="207"/>
        <v>0</v>
      </c>
      <c r="AK255" s="317">
        <f t="shared" si="208"/>
        <v>0</v>
      </c>
      <c r="AL255" s="317">
        <f t="shared" si="209"/>
        <v>0</v>
      </c>
      <c r="AM255" s="317">
        <f t="shared" si="210"/>
        <v>0</v>
      </c>
      <c r="AN255" s="317">
        <f t="shared" si="211"/>
        <v>0</v>
      </c>
      <c r="AO255" s="317">
        <f t="shared" si="212"/>
        <v>0</v>
      </c>
      <c r="AP255" s="317">
        <f t="shared" si="213"/>
        <v>0</v>
      </c>
      <c r="AQ255" s="317">
        <f t="shared" si="214"/>
        <v>0</v>
      </c>
      <c r="AR255" s="317">
        <f t="shared" si="187"/>
        <v>0</v>
      </c>
      <c r="AS255" s="317">
        <f t="shared" si="188"/>
        <v>0</v>
      </c>
      <c r="AT255" s="317">
        <f t="shared" si="215"/>
        <v>0</v>
      </c>
      <c r="AU255" s="317">
        <f t="shared" si="216"/>
        <v>0</v>
      </c>
      <c r="AV255" s="317">
        <f t="shared" si="217"/>
        <v>0</v>
      </c>
      <c r="AW255" s="317">
        <f t="shared" si="218"/>
        <v>0</v>
      </c>
      <c r="AX255" s="317">
        <f t="shared" si="189"/>
        <v>0</v>
      </c>
      <c r="AY255" s="317">
        <f t="shared" si="190"/>
        <v>0</v>
      </c>
      <c r="AZ255" s="317">
        <f t="shared" si="191"/>
        <v>0</v>
      </c>
      <c r="BA255" s="317">
        <f t="shared" si="192"/>
        <v>0</v>
      </c>
    </row>
    <row r="256" spans="1:53" s="314" customFormat="1" ht="16.5" customHeight="1">
      <c r="A256" s="63" t="str">
        <f t="array" ref="A256">IF(C256&lt;&gt;0,SUM(($C$11:C256&lt;&gt;0)*1),"")</f>
        <v/>
      </c>
      <c r="B256" s="315"/>
      <c r="C256" s="315"/>
      <c r="D256" s="315"/>
      <c r="E256" s="432"/>
      <c r="F256" s="371"/>
      <c r="G256" s="373"/>
      <c r="H256" s="373"/>
      <c r="I256" s="63" t="str">
        <f t="shared" si="219"/>
        <v/>
      </c>
      <c r="J256" s="317">
        <f t="shared" si="181"/>
        <v>0</v>
      </c>
      <c r="K256" s="317">
        <f t="shared" si="182"/>
        <v>0</v>
      </c>
      <c r="L256" s="317">
        <f t="shared" si="193"/>
        <v>0</v>
      </c>
      <c r="M256" s="317">
        <f t="shared" si="194"/>
        <v>0</v>
      </c>
      <c r="N256" s="317">
        <f t="shared" si="174"/>
        <v>0</v>
      </c>
      <c r="O256" s="317">
        <f t="shared" si="175"/>
        <v>0</v>
      </c>
      <c r="P256" s="317">
        <f t="shared" si="195"/>
        <v>0</v>
      </c>
      <c r="Q256" s="317">
        <f t="shared" si="196"/>
        <v>0</v>
      </c>
      <c r="R256" s="317">
        <f t="shared" si="197"/>
        <v>0</v>
      </c>
      <c r="S256" s="317">
        <f t="shared" si="198"/>
        <v>0</v>
      </c>
      <c r="T256" s="317">
        <f t="shared" si="176"/>
        <v>0</v>
      </c>
      <c r="U256" s="317">
        <f t="shared" si="177"/>
        <v>0</v>
      </c>
      <c r="V256" s="317">
        <f t="shared" si="199"/>
        <v>0</v>
      </c>
      <c r="W256" s="317">
        <f t="shared" si="200"/>
        <v>0</v>
      </c>
      <c r="X256" s="317">
        <f t="shared" si="201"/>
        <v>0</v>
      </c>
      <c r="Y256" s="317">
        <f t="shared" si="202"/>
        <v>0</v>
      </c>
      <c r="Z256" s="317">
        <f t="shared" si="183"/>
        <v>0</v>
      </c>
      <c r="AA256" s="317">
        <f t="shared" si="184"/>
        <v>0</v>
      </c>
      <c r="AB256" s="317">
        <f t="shared" si="203"/>
        <v>0</v>
      </c>
      <c r="AC256" s="317">
        <f t="shared" si="204"/>
        <v>0</v>
      </c>
      <c r="AD256" s="317">
        <f t="shared" si="185"/>
        <v>0</v>
      </c>
      <c r="AE256" s="317">
        <f t="shared" si="186"/>
        <v>0</v>
      </c>
      <c r="AF256" s="317">
        <f t="shared" si="178"/>
        <v>0</v>
      </c>
      <c r="AG256" s="317">
        <f t="shared" si="179"/>
        <v>0</v>
      </c>
      <c r="AH256" s="317">
        <f t="shared" si="205"/>
        <v>0</v>
      </c>
      <c r="AI256" s="317">
        <f t="shared" si="206"/>
        <v>0</v>
      </c>
      <c r="AJ256" s="317">
        <f t="shared" si="207"/>
        <v>0</v>
      </c>
      <c r="AK256" s="317">
        <f t="shared" si="208"/>
        <v>0</v>
      </c>
      <c r="AL256" s="317">
        <f t="shared" si="209"/>
        <v>0</v>
      </c>
      <c r="AM256" s="317">
        <f t="shared" si="210"/>
        <v>0</v>
      </c>
      <c r="AN256" s="317">
        <f t="shared" si="211"/>
        <v>0</v>
      </c>
      <c r="AO256" s="317">
        <f t="shared" si="212"/>
        <v>0</v>
      </c>
      <c r="AP256" s="317">
        <f t="shared" si="213"/>
        <v>0</v>
      </c>
      <c r="AQ256" s="317">
        <f t="shared" si="214"/>
        <v>0</v>
      </c>
      <c r="AR256" s="317">
        <f t="shared" si="187"/>
        <v>0</v>
      </c>
      <c r="AS256" s="317">
        <f t="shared" si="188"/>
        <v>0</v>
      </c>
      <c r="AT256" s="317">
        <f t="shared" si="215"/>
        <v>0</v>
      </c>
      <c r="AU256" s="317">
        <f t="shared" si="216"/>
        <v>0</v>
      </c>
      <c r="AV256" s="317">
        <f t="shared" si="217"/>
        <v>0</v>
      </c>
      <c r="AW256" s="317">
        <f t="shared" si="218"/>
        <v>0</v>
      </c>
      <c r="AX256" s="317">
        <f t="shared" si="189"/>
        <v>0</v>
      </c>
      <c r="AY256" s="317">
        <f t="shared" si="190"/>
        <v>0</v>
      </c>
      <c r="AZ256" s="317">
        <f t="shared" si="191"/>
        <v>0</v>
      </c>
      <c r="BA256" s="317">
        <f t="shared" si="192"/>
        <v>0</v>
      </c>
    </row>
    <row r="257" spans="1:53" s="314" customFormat="1" ht="16.5" customHeight="1">
      <c r="A257" s="63" t="str">
        <f t="array" ref="A257">IF(C257&lt;&gt;0,SUM(($C$11:C257&lt;&gt;0)*1),"")</f>
        <v/>
      </c>
      <c r="B257" s="315"/>
      <c r="C257" s="315"/>
      <c r="D257" s="315"/>
      <c r="E257" s="432"/>
      <c r="F257" s="371"/>
      <c r="G257" s="373"/>
      <c r="H257" s="373"/>
      <c r="I257" s="63" t="str">
        <f t="shared" si="219"/>
        <v/>
      </c>
      <c r="J257" s="317">
        <f t="shared" si="181"/>
        <v>0</v>
      </c>
      <c r="K257" s="317">
        <f t="shared" si="182"/>
        <v>0</v>
      </c>
      <c r="L257" s="317">
        <f t="shared" si="193"/>
        <v>0</v>
      </c>
      <c r="M257" s="317">
        <f t="shared" si="194"/>
        <v>0</v>
      </c>
      <c r="N257" s="317">
        <f t="shared" si="174"/>
        <v>0</v>
      </c>
      <c r="O257" s="317">
        <f t="shared" si="175"/>
        <v>0</v>
      </c>
      <c r="P257" s="317">
        <f t="shared" si="195"/>
        <v>0</v>
      </c>
      <c r="Q257" s="317">
        <f t="shared" si="196"/>
        <v>0</v>
      </c>
      <c r="R257" s="317">
        <f t="shared" si="197"/>
        <v>0</v>
      </c>
      <c r="S257" s="317">
        <f t="shared" si="198"/>
        <v>0</v>
      </c>
      <c r="T257" s="317">
        <f t="shared" si="176"/>
        <v>0</v>
      </c>
      <c r="U257" s="317">
        <f t="shared" si="177"/>
        <v>0</v>
      </c>
      <c r="V257" s="317">
        <f t="shared" si="199"/>
        <v>0</v>
      </c>
      <c r="W257" s="317">
        <f t="shared" si="200"/>
        <v>0</v>
      </c>
      <c r="X257" s="317">
        <f t="shared" si="201"/>
        <v>0</v>
      </c>
      <c r="Y257" s="317">
        <f t="shared" si="202"/>
        <v>0</v>
      </c>
      <c r="Z257" s="317">
        <f t="shared" si="183"/>
        <v>0</v>
      </c>
      <c r="AA257" s="317">
        <f t="shared" si="184"/>
        <v>0</v>
      </c>
      <c r="AB257" s="317">
        <f t="shared" si="203"/>
        <v>0</v>
      </c>
      <c r="AC257" s="317">
        <f t="shared" si="204"/>
        <v>0</v>
      </c>
      <c r="AD257" s="317">
        <f t="shared" si="185"/>
        <v>0</v>
      </c>
      <c r="AE257" s="317">
        <f t="shared" si="186"/>
        <v>0</v>
      </c>
      <c r="AF257" s="317">
        <f t="shared" si="178"/>
        <v>0</v>
      </c>
      <c r="AG257" s="317">
        <f t="shared" si="179"/>
        <v>0</v>
      </c>
      <c r="AH257" s="317">
        <f t="shared" si="205"/>
        <v>0</v>
      </c>
      <c r="AI257" s="317">
        <f t="shared" si="206"/>
        <v>0</v>
      </c>
      <c r="AJ257" s="317">
        <f t="shared" si="207"/>
        <v>0</v>
      </c>
      <c r="AK257" s="317">
        <f t="shared" si="208"/>
        <v>0</v>
      </c>
      <c r="AL257" s="317">
        <f t="shared" si="209"/>
        <v>0</v>
      </c>
      <c r="AM257" s="317">
        <f t="shared" si="210"/>
        <v>0</v>
      </c>
      <c r="AN257" s="317">
        <f t="shared" si="211"/>
        <v>0</v>
      </c>
      <c r="AO257" s="317">
        <f t="shared" si="212"/>
        <v>0</v>
      </c>
      <c r="AP257" s="317">
        <f t="shared" si="213"/>
        <v>0</v>
      </c>
      <c r="AQ257" s="317">
        <f t="shared" si="214"/>
        <v>0</v>
      </c>
      <c r="AR257" s="317">
        <f t="shared" si="187"/>
        <v>0</v>
      </c>
      <c r="AS257" s="317">
        <f t="shared" si="188"/>
        <v>0</v>
      </c>
      <c r="AT257" s="317">
        <f t="shared" si="215"/>
        <v>0</v>
      </c>
      <c r="AU257" s="317">
        <f t="shared" si="216"/>
        <v>0</v>
      </c>
      <c r="AV257" s="317">
        <f t="shared" si="217"/>
        <v>0</v>
      </c>
      <c r="AW257" s="317">
        <f t="shared" si="218"/>
        <v>0</v>
      </c>
      <c r="AX257" s="317">
        <f t="shared" si="189"/>
        <v>0</v>
      </c>
      <c r="AY257" s="317">
        <f t="shared" si="190"/>
        <v>0</v>
      </c>
      <c r="AZ257" s="317">
        <f t="shared" si="191"/>
        <v>0</v>
      </c>
      <c r="BA257" s="317">
        <f t="shared" si="192"/>
        <v>0</v>
      </c>
    </row>
    <row r="258" spans="1:53" s="314" customFormat="1" ht="16.5" customHeight="1">
      <c r="A258" s="63" t="str">
        <f t="array" ref="A258">IF(C258&lt;&gt;0,SUM(($C$11:C258&lt;&gt;0)*1),"")</f>
        <v/>
      </c>
      <c r="B258" s="315"/>
      <c r="C258" s="315"/>
      <c r="D258" s="315"/>
      <c r="E258" s="432"/>
      <c r="F258" s="371"/>
      <c r="G258" s="373"/>
      <c r="H258" s="373"/>
      <c r="I258" s="63" t="str">
        <f t="shared" si="219"/>
        <v/>
      </c>
      <c r="J258" s="317">
        <f t="shared" si="181"/>
        <v>0</v>
      </c>
      <c r="K258" s="317">
        <f t="shared" si="182"/>
        <v>0</v>
      </c>
      <c r="L258" s="317">
        <f t="shared" si="193"/>
        <v>0</v>
      </c>
      <c r="M258" s="317">
        <f t="shared" si="194"/>
        <v>0</v>
      </c>
      <c r="N258" s="317">
        <f t="shared" si="174"/>
        <v>0</v>
      </c>
      <c r="O258" s="317">
        <f t="shared" si="175"/>
        <v>0</v>
      </c>
      <c r="P258" s="317">
        <f t="shared" si="195"/>
        <v>0</v>
      </c>
      <c r="Q258" s="317">
        <f t="shared" si="196"/>
        <v>0</v>
      </c>
      <c r="R258" s="317">
        <f t="shared" si="197"/>
        <v>0</v>
      </c>
      <c r="S258" s="317">
        <f t="shared" si="198"/>
        <v>0</v>
      </c>
      <c r="T258" s="317">
        <f t="shared" si="176"/>
        <v>0</v>
      </c>
      <c r="U258" s="317">
        <f t="shared" si="177"/>
        <v>0</v>
      </c>
      <c r="V258" s="317">
        <f t="shared" si="199"/>
        <v>0</v>
      </c>
      <c r="W258" s="317">
        <f t="shared" si="200"/>
        <v>0</v>
      </c>
      <c r="X258" s="317">
        <f t="shared" si="201"/>
        <v>0</v>
      </c>
      <c r="Y258" s="317">
        <f t="shared" si="202"/>
        <v>0</v>
      </c>
      <c r="Z258" s="317">
        <f t="shared" si="183"/>
        <v>0</v>
      </c>
      <c r="AA258" s="317">
        <f t="shared" si="184"/>
        <v>0</v>
      </c>
      <c r="AB258" s="317">
        <f t="shared" si="203"/>
        <v>0</v>
      </c>
      <c r="AC258" s="317">
        <f t="shared" si="204"/>
        <v>0</v>
      </c>
      <c r="AD258" s="317">
        <f t="shared" si="185"/>
        <v>0</v>
      </c>
      <c r="AE258" s="317">
        <f t="shared" si="186"/>
        <v>0</v>
      </c>
      <c r="AF258" s="317">
        <f t="shared" si="178"/>
        <v>0</v>
      </c>
      <c r="AG258" s="317">
        <f t="shared" si="179"/>
        <v>0</v>
      </c>
      <c r="AH258" s="317">
        <f t="shared" si="205"/>
        <v>0</v>
      </c>
      <c r="AI258" s="317">
        <f t="shared" si="206"/>
        <v>0</v>
      </c>
      <c r="AJ258" s="317">
        <f t="shared" si="207"/>
        <v>0</v>
      </c>
      <c r="AK258" s="317">
        <f t="shared" si="208"/>
        <v>0</v>
      </c>
      <c r="AL258" s="317">
        <f t="shared" si="209"/>
        <v>0</v>
      </c>
      <c r="AM258" s="317">
        <f t="shared" si="210"/>
        <v>0</v>
      </c>
      <c r="AN258" s="317">
        <f t="shared" si="211"/>
        <v>0</v>
      </c>
      <c r="AO258" s="317">
        <f t="shared" si="212"/>
        <v>0</v>
      </c>
      <c r="AP258" s="317">
        <f t="shared" si="213"/>
        <v>0</v>
      </c>
      <c r="AQ258" s="317">
        <f t="shared" si="214"/>
        <v>0</v>
      </c>
      <c r="AR258" s="317">
        <f t="shared" si="187"/>
        <v>0</v>
      </c>
      <c r="AS258" s="317">
        <f t="shared" si="188"/>
        <v>0</v>
      </c>
      <c r="AT258" s="317">
        <f t="shared" si="215"/>
        <v>0</v>
      </c>
      <c r="AU258" s="317">
        <f t="shared" si="216"/>
        <v>0</v>
      </c>
      <c r="AV258" s="317">
        <f t="shared" si="217"/>
        <v>0</v>
      </c>
      <c r="AW258" s="317">
        <f t="shared" si="218"/>
        <v>0</v>
      </c>
      <c r="AX258" s="317">
        <f t="shared" si="189"/>
        <v>0</v>
      </c>
      <c r="AY258" s="317">
        <f t="shared" si="190"/>
        <v>0</v>
      </c>
      <c r="AZ258" s="317">
        <f t="shared" si="191"/>
        <v>0</v>
      </c>
      <c r="BA258" s="317">
        <f t="shared" si="192"/>
        <v>0</v>
      </c>
    </row>
    <row r="259" spans="1:53" s="314" customFormat="1" ht="16.5" customHeight="1">
      <c r="A259" s="63" t="str">
        <f t="array" ref="A259">IF(C259&lt;&gt;0,SUM(($C$11:C259&lt;&gt;0)*1),"")</f>
        <v/>
      </c>
      <c r="B259" s="315"/>
      <c r="C259" s="315"/>
      <c r="D259" s="315"/>
      <c r="E259" s="432"/>
      <c r="F259" s="371"/>
      <c r="G259" s="373"/>
      <c r="H259" s="373"/>
      <c r="I259" s="63" t="str">
        <f t="shared" si="219"/>
        <v/>
      </c>
      <c r="J259" s="317">
        <f t="shared" si="181"/>
        <v>0</v>
      </c>
      <c r="K259" s="317">
        <f t="shared" si="182"/>
        <v>0</v>
      </c>
      <c r="L259" s="317">
        <f t="shared" si="193"/>
        <v>0</v>
      </c>
      <c r="M259" s="317">
        <f t="shared" si="194"/>
        <v>0</v>
      </c>
      <c r="N259" s="317">
        <f t="shared" si="174"/>
        <v>0</v>
      </c>
      <c r="O259" s="317">
        <f t="shared" si="175"/>
        <v>0</v>
      </c>
      <c r="P259" s="317">
        <f t="shared" si="195"/>
        <v>0</v>
      </c>
      <c r="Q259" s="317">
        <f t="shared" si="196"/>
        <v>0</v>
      </c>
      <c r="R259" s="317">
        <f t="shared" si="197"/>
        <v>0</v>
      </c>
      <c r="S259" s="317">
        <f t="shared" si="198"/>
        <v>0</v>
      </c>
      <c r="T259" s="317">
        <f t="shared" si="176"/>
        <v>0</v>
      </c>
      <c r="U259" s="317">
        <f t="shared" si="177"/>
        <v>0</v>
      </c>
      <c r="V259" s="317">
        <f t="shared" si="199"/>
        <v>0</v>
      </c>
      <c r="W259" s="317">
        <f t="shared" si="200"/>
        <v>0</v>
      </c>
      <c r="X259" s="317">
        <f t="shared" si="201"/>
        <v>0</v>
      </c>
      <c r="Y259" s="317">
        <f t="shared" si="202"/>
        <v>0</v>
      </c>
      <c r="Z259" s="317">
        <f t="shared" si="183"/>
        <v>0</v>
      </c>
      <c r="AA259" s="317">
        <f t="shared" si="184"/>
        <v>0</v>
      </c>
      <c r="AB259" s="317">
        <f t="shared" si="203"/>
        <v>0</v>
      </c>
      <c r="AC259" s="317">
        <f t="shared" si="204"/>
        <v>0</v>
      </c>
      <c r="AD259" s="317">
        <f t="shared" si="185"/>
        <v>0</v>
      </c>
      <c r="AE259" s="317">
        <f t="shared" si="186"/>
        <v>0</v>
      </c>
      <c r="AF259" s="317">
        <f t="shared" si="178"/>
        <v>0</v>
      </c>
      <c r="AG259" s="317">
        <f t="shared" si="179"/>
        <v>0</v>
      </c>
      <c r="AH259" s="317">
        <f t="shared" si="205"/>
        <v>0</v>
      </c>
      <c r="AI259" s="317">
        <f t="shared" si="206"/>
        <v>0</v>
      </c>
      <c r="AJ259" s="317">
        <f t="shared" si="207"/>
        <v>0</v>
      </c>
      <c r="AK259" s="317">
        <f t="shared" si="208"/>
        <v>0</v>
      </c>
      <c r="AL259" s="317">
        <f t="shared" si="209"/>
        <v>0</v>
      </c>
      <c r="AM259" s="317">
        <f t="shared" si="210"/>
        <v>0</v>
      </c>
      <c r="AN259" s="317">
        <f t="shared" si="211"/>
        <v>0</v>
      </c>
      <c r="AO259" s="317">
        <f t="shared" si="212"/>
        <v>0</v>
      </c>
      <c r="AP259" s="317">
        <f t="shared" si="213"/>
        <v>0</v>
      </c>
      <c r="AQ259" s="317">
        <f t="shared" si="214"/>
        <v>0</v>
      </c>
      <c r="AR259" s="317">
        <f t="shared" si="187"/>
        <v>0</v>
      </c>
      <c r="AS259" s="317">
        <f t="shared" si="188"/>
        <v>0</v>
      </c>
      <c r="AT259" s="317">
        <f t="shared" si="215"/>
        <v>0</v>
      </c>
      <c r="AU259" s="317">
        <f t="shared" si="216"/>
        <v>0</v>
      </c>
      <c r="AV259" s="317">
        <f t="shared" si="217"/>
        <v>0</v>
      </c>
      <c r="AW259" s="317">
        <f t="shared" si="218"/>
        <v>0</v>
      </c>
      <c r="AX259" s="317">
        <f t="shared" si="189"/>
        <v>0</v>
      </c>
      <c r="AY259" s="317">
        <f t="shared" si="190"/>
        <v>0</v>
      </c>
      <c r="AZ259" s="317">
        <f t="shared" si="191"/>
        <v>0</v>
      </c>
      <c r="BA259" s="317">
        <f t="shared" si="192"/>
        <v>0</v>
      </c>
    </row>
    <row r="260" spans="1:53" s="314" customFormat="1" ht="16.5" customHeight="1">
      <c r="A260" s="63" t="str">
        <f t="array" ref="A260">IF(C260&lt;&gt;0,SUM(($C$11:C260&lt;&gt;0)*1),"")</f>
        <v/>
      </c>
      <c r="B260" s="315"/>
      <c r="C260" s="315"/>
      <c r="D260" s="315"/>
      <c r="E260" s="432"/>
      <c r="F260" s="371"/>
      <c r="G260" s="373"/>
      <c r="H260" s="373"/>
      <c r="I260" s="63" t="str">
        <f t="shared" si="219"/>
        <v/>
      </c>
      <c r="J260" s="317">
        <f t="shared" si="181"/>
        <v>0</v>
      </c>
      <c r="K260" s="317">
        <f t="shared" si="182"/>
        <v>0</v>
      </c>
      <c r="L260" s="317">
        <f t="shared" si="193"/>
        <v>0</v>
      </c>
      <c r="M260" s="317">
        <f t="shared" si="194"/>
        <v>0</v>
      </c>
      <c r="N260" s="317">
        <f t="shared" si="174"/>
        <v>0</v>
      </c>
      <c r="O260" s="317">
        <f t="shared" si="175"/>
        <v>0</v>
      </c>
      <c r="P260" s="317">
        <f t="shared" si="195"/>
        <v>0</v>
      </c>
      <c r="Q260" s="317">
        <f t="shared" si="196"/>
        <v>0</v>
      </c>
      <c r="R260" s="317">
        <f t="shared" si="197"/>
        <v>0</v>
      </c>
      <c r="S260" s="317">
        <f t="shared" si="198"/>
        <v>0</v>
      </c>
      <c r="T260" s="317">
        <f t="shared" si="176"/>
        <v>0</v>
      </c>
      <c r="U260" s="317">
        <f t="shared" si="177"/>
        <v>0</v>
      </c>
      <c r="V260" s="317">
        <f t="shared" si="199"/>
        <v>0</v>
      </c>
      <c r="W260" s="317">
        <f t="shared" si="200"/>
        <v>0</v>
      </c>
      <c r="X260" s="317">
        <f t="shared" si="201"/>
        <v>0</v>
      </c>
      <c r="Y260" s="317">
        <f t="shared" si="202"/>
        <v>0</v>
      </c>
      <c r="Z260" s="317">
        <f t="shared" si="183"/>
        <v>0</v>
      </c>
      <c r="AA260" s="317">
        <f t="shared" si="184"/>
        <v>0</v>
      </c>
      <c r="AB260" s="317">
        <f t="shared" si="203"/>
        <v>0</v>
      </c>
      <c r="AC260" s="317">
        <f t="shared" si="204"/>
        <v>0</v>
      </c>
      <c r="AD260" s="317">
        <f t="shared" si="185"/>
        <v>0</v>
      </c>
      <c r="AE260" s="317">
        <f t="shared" si="186"/>
        <v>0</v>
      </c>
      <c r="AF260" s="317">
        <f t="shared" si="178"/>
        <v>0</v>
      </c>
      <c r="AG260" s="317">
        <f t="shared" si="179"/>
        <v>0</v>
      </c>
      <c r="AH260" s="317">
        <f t="shared" si="205"/>
        <v>0</v>
      </c>
      <c r="AI260" s="317">
        <f t="shared" si="206"/>
        <v>0</v>
      </c>
      <c r="AJ260" s="317">
        <f t="shared" si="207"/>
        <v>0</v>
      </c>
      <c r="AK260" s="317">
        <f t="shared" si="208"/>
        <v>0</v>
      </c>
      <c r="AL260" s="317">
        <f t="shared" si="209"/>
        <v>0</v>
      </c>
      <c r="AM260" s="317">
        <f t="shared" si="210"/>
        <v>0</v>
      </c>
      <c r="AN260" s="317">
        <f t="shared" si="211"/>
        <v>0</v>
      </c>
      <c r="AO260" s="317">
        <f t="shared" si="212"/>
        <v>0</v>
      </c>
      <c r="AP260" s="317">
        <f t="shared" si="213"/>
        <v>0</v>
      </c>
      <c r="AQ260" s="317">
        <f t="shared" si="214"/>
        <v>0</v>
      </c>
      <c r="AR260" s="317">
        <f t="shared" si="187"/>
        <v>0</v>
      </c>
      <c r="AS260" s="317">
        <f t="shared" si="188"/>
        <v>0</v>
      </c>
      <c r="AT260" s="317">
        <f t="shared" si="215"/>
        <v>0</v>
      </c>
      <c r="AU260" s="317">
        <f t="shared" si="216"/>
        <v>0</v>
      </c>
      <c r="AV260" s="317">
        <f t="shared" si="217"/>
        <v>0</v>
      </c>
      <c r="AW260" s="317">
        <f t="shared" si="218"/>
        <v>0</v>
      </c>
      <c r="AX260" s="317">
        <f t="shared" si="189"/>
        <v>0</v>
      </c>
      <c r="AY260" s="317">
        <f t="shared" si="190"/>
        <v>0</v>
      </c>
      <c r="AZ260" s="317">
        <f t="shared" si="191"/>
        <v>0</v>
      </c>
      <c r="BA260" s="317">
        <f t="shared" si="192"/>
        <v>0</v>
      </c>
    </row>
    <row r="261" spans="1:53" s="314" customFormat="1" ht="16.5" customHeight="1">
      <c r="A261" s="63" t="str">
        <f t="array" ref="A261">IF(C261&lt;&gt;0,SUM(($C$11:C261&lt;&gt;0)*1),"")</f>
        <v/>
      </c>
      <c r="B261" s="315"/>
      <c r="C261" s="315"/>
      <c r="D261" s="315"/>
      <c r="E261" s="432"/>
      <c r="F261" s="371"/>
      <c r="G261" s="373"/>
      <c r="H261" s="373"/>
      <c r="I261" s="63" t="str">
        <f t="shared" si="219"/>
        <v/>
      </c>
      <c r="J261" s="317">
        <f t="shared" si="181"/>
        <v>0</v>
      </c>
      <c r="K261" s="317">
        <f t="shared" si="182"/>
        <v>0</v>
      </c>
      <c r="L261" s="317">
        <f t="shared" si="193"/>
        <v>0</v>
      </c>
      <c r="M261" s="317">
        <f t="shared" si="194"/>
        <v>0</v>
      </c>
      <c r="N261" s="317">
        <f t="shared" si="174"/>
        <v>0</v>
      </c>
      <c r="O261" s="317">
        <f t="shared" si="175"/>
        <v>0</v>
      </c>
      <c r="P261" s="317">
        <f t="shared" si="195"/>
        <v>0</v>
      </c>
      <c r="Q261" s="317">
        <f t="shared" si="196"/>
        <v>0</v>
      </c>
      <c r="R261" s="317">
        <f t="shared" si="197"/>
        <v>0</v>
      </c>
      <c r="S261" s="317">
        <f t="shared" si="198"/>
        <v>0</v>
      </c>
      <c r="T261" s="317">
        <f t="shared" si="176"/>
        <v>0</v>
      </c>
      <c r="U261" s="317">
        <f t="shared" si="177"/>
        <v>0</v>
      </c>
      <c r="V261" s="317">
        <f t="shared" si="199"/>
        <v>0</v>
      </c>
      <c r="W261" s="317">
        <f t="shared" si="200"/>
        <v>0</v>
      </c>
      <c r="X261" s="317">
        <f t="shared" si="201"/>
        <v>0</v>
      </c>
      <c r="Y261" s="317">
        <f t="shared" si="202"/>
        <v>0</v>
      </c>
      <c r="Z261" s="317">
        <f t="shared" si="183"/>
        <v>0</v>
      </c>
      <c r="AA261" s="317">
        <f t="shared" si="184"/>
        <v>0</v>
      </c>
      <c r="AB261" s="317">
        <f t="shared" si="203"/>
        <v>0</v>
      </c>
      <c r="AC261" s="317">
        <f t="shared" si="204"/>
        <v>0</v>
      </c>
      <c r="AD261" s="317">
        <f t="shared" si="185"/>
        <v>0</v>
      </c>
      <c r="AE261" s="317">
        <f t="shared" si="186"/>
        <v>0</v>
      </c>
      <c r="AF261" s="317">
        <f t="shared" si="178"/>
        <v>0</v>
      </c>
      <c r="AG261" s="317">
        <f t="shared" si="179"/>
        <v>0</v>
      </c>
      <c r="AH261" s="317">
        <f t="shared" si="205"/>
        <v>0</v>
      </c>
      <c r="AI261" s="317">
        <f t="shared" si="206"/>
        <v>0</v>
      </c>
      <c r="AJ261" s="317">
        <f t="shared" si="207"/>
        <v>0</v>
      </c>
      <c r="AK261" s="317">
        <f t="shared" si="208"/>
        <v>0</v>
      </c>
      <c r="AL261" s="317">
        <f t="shared" si="209"/>
        <v>0</v>
      </c>
      <c r="AM261" s="317">
        <f t="shared" si="210"/>
        <v>0</v>
      </c>
      <c r="AN261" s="317">
        <f t="shared" si="211"/>
        <v>0</v>
      </c>
      <c r="AO261" s="317">
        <f t="shared" si="212"/>
        <v>0</v>
      </c>
      <c r="AP261" s="317">
        <f t="shared" si="213"/>
        <v>0</v>
      </c>
      <c r="AQ261" s="317">
        <f t="shared" si="214"/>
        <v>0</v>
      </c>
      <c r="AR261" s="317">
        <f t="shared" si="187"/>
        <v>0</v>
      </c>
      <c r="AS261" s="317">
        <f t="shared" si="188"/>
        <v>0</v>
      </c>
      <c r="AT261" s="317">
        <f t="shared" si="215"/>
        <v>0</v>
      </c>
      <c r="AU261" s="317">
        <f t="shared" si="216"/>
        <v>0</v>
      </c>
      <c r="AV261" s="317">
        <f t="shared" si="217"/>
        <v>0</v>
      </c>
      <c r="AW261" s="317">
        <f t="shared" si="218"/>
        <v>0</v>
      </c>
      <c r="AX261" s="317">
        <f t="shared" si="189"/>
        <v>0</v>
      </c>
      <c r="AY261" s="317">
        <f t="shared" si="190"/>
        <v>0</v>
      </c>
      <c r="AZ261" s="317">
        <f t="shared" si="191"/>
        <v>0</v>
      </c>
      <c r="BA261" s="317">
        <f t="shared" si="192"/>
        <v>0</v>
      </c>
    </row>
    <row r="262" spans="1:53" s="314" customFormat="1" ht="16.5" customHeight="1">
      <c r="A262" s="63" t="str">
        <f t="array" ref="A262">IF(C262&lt;&gt;0,SUM(($C$11:C262&lt;&gt;0)*1),"")</f>
        <v/>
      </c>
      <c r="B262" s="315"/>
      <c r="C262" s="315"/>
      <c r="D262" s="315"/>
      <c r="E262" s="432"/>
      <c r="F262" s="371"/>
      <c r="G262" s="373"/>
      <c r="H262" s="373"/>
      <c r="I262" s="63" t="str">
        <f t="shared" si="219"/>
        <v/>
      </c>
      <c r="J262" s="317">
        <f t="shared" si="181"/>
        <v>0</v>
      </c>
      <c r="K262" s="317">
        <f t="shared" si="182"/>
        <v>0</v>
      </c>
      <c r="L262" s="317">
        <f t="shared" si="193"/>
        <v>0</v>
      </c>
      <c r="M262" s="317">
        <f t="shared" si="194"/>
        <v>0</v>
      </c>
      <c r="N262" s="317">
        <f t="shared" si="174"/>
        <v>0</v>
      </c>
      <c r="O262" s="317">
        <f t="shared" si="175"/>
        <v>0</v>
      </c>
      <c r="P262" s="317">
        <f t="shared" si="195"/>
        <v>0</v>
      </c>
      <c r="Q262" s="317">
        <f t="shared" si="196"/>
        <v>0</v>
      </c>
      <c r="R262" s="317">
        <f t="shared" si="197"/>
        <v>0</v>
      </c>
      <c r="S262" s="317">
        <f t="shared" si="198"/>
        <v>0</v>
      </c>
      <c r="T262" s="317">
        <f t="shared" si="176"/>
        <v>0</v>
      </c>
      <c r="U262" s="317">
        <f t="shared" si="177"/>
        <v>0</v>
      </c>
      <c r="V262" s="317">
        <f t="shared" si="199"/>
        <v>0</v>
      </c>
      <c r="W262" s="317">
        <f t="shared" si="200"/>
        <v>0</v>
      </c>
      <c r="X262" s="317">
        <f t="shared" si="201"/>
        <v>0</v>
      </c>
      <c r="Y262" s="317">
        <f t="shared" si="202"/>
        <v>0</v>
      </c>
      <c r="Z262" s="317">
        <f t="shared" si="183"/>
        <v>0</v>
      </c>
      <c r="AA262" s="317">
        <f t="shared" si="184"/>
        <v>0</v>
      </c>
      <c r="AB262" s="317">
        <f t="shared" si="203"/>
        <v>0</v>
      </c>
      <c r="AC262" s="317">
        <f t="shared" si="204"/>
        <v>0</v>
      </c>
      <c r="AD262" s="317">
        <f t="shared" si="185"/>
        <v>0</v>
      </c>
      <c r="AE262" s="317">
        <f t="shared" si="186"/>
        <v>0</v>
      </c>
      <c r="AF262" s="317">
        <f t="shared" si="178"/>
        <v>0</v>
      </c>
      <c r="AG262" s="317">
        <f t="shared" si="179"/>
        <v>0</v>
      </c>
      <c r="AH262" s="317">
        <f t="shared" si="205"/>
        <v>0</v>
      </c>
      <c r="AI262" s="317">
        <f t="shared" si="206"/>
        <v>0</v>
      </c>
      <c r="AJ262" s="317">
        <f t="shared" si="207"/>
        <v>0</v>
      </c>
      <c r="AK262" s="317">
        <f t="shared" si="208"/>
        <v>0</v>
      </c>
      <c r="AL262" s="317">
        <f t="shared" si="209"/>
        <v>0</v>
      </c>
      <c r="AM262" s="317">
        <f t="shared" si="210"/>
        <v>0</v>
      </c>
      <c r="AN262" s="317">
        <f t="shared" si="211"/>
        <v>0</v>
      </c>
      <c r="AO262" s="317">
        <f t="shared" si="212"/>
        <v>0</v>
      </c>
      <c r="AP262" s="317">
        <f t="shared" si="213"/>
        <v>0</v>
      </c>
      <c r="AQ262" s="317">
        <f t="shared" si="214"/>
        <v>0</v>
      </c>
      <c r="AR262" s="317">
        <f t="shared" si="187"/>
        <v>0</v>
      </c>
      <c r="AS262" s="317">
        <f t="shared" si="188"/>
        <v>0</v>
      </c>
      <c r="AT262" s="317">
        <f t="shared" si="215"/>
        <v>0</v>
      </c>
      <c r="AU262" s="317">
        <f t="shared" si="216"/>
        <v>0</v>
      </c>
      <c r="AV262" s="317">
        <f t="shared" si="217"/>
        <v>0</v>
      </c>
      <c r="AW262" s="317">
        <f t="shared" si="218"/>
        <v>0</v>
      </c>
      <c r="AX262" s="317">
        <f t="shared" si="189"/>
        <v>0</v>
      </c>
      <c r="AY262" s="317">
        <f t="shared" si="190"/>
        <v>0</v>
      </c>
      <c r="AZ262" s="317">
        <f t="shared" si="191"/>
        <v>0</v>
      </c>
      <c r="BA262" s="317">
        <f t="shared" si="192"/>
        <v>0</v>
      </c>
    </row>
    <row r="263" spans="1:53" s="314" customFormat="1" ht="16.5" customHeight="1">
      <c r="A263" s="63" t="str">
        <f t="array" ref="A263">IF(C263&lt;&gt;0,SUM(($C$11:C263&lt;&gt;0)*1),"")</f>
        <v/>
      </c>
      <c r="B263" s="315"/>
      <c r="C263" s="315"/>
      <c r="D263" s="315"/>
      <c r="E263" s="432"/>
      <c r="F263" s="371"/>
      <c r="G263" s="373"/>
      <c r="H263" s="373"/>
      <c r="I263" s="63" t="str">
        <f t="shared" si="219"/>
        <v/>
      </c>
      <c r="J263" s="317">
        <f t="shared" si="181"/>
        <v>0</v>
      </c>
      <c r="K263" s="317">
        <f t="shared" si="182"/>
        <v>0</v>
      </c>
      <c r="L263" s="317">
        <f t="shared" si="193"/>
        <v>0</v>
      </c>
      <c r="M263" s="317">
        <f t="shared" si="194"/>
        <v>0</v>
      </c>
      <c r="N263" s="317">
        <f t="shared" si="174"/>
        <v>0</v>
      </c>
      <c r="O263" s="317">
        <f t="shared" si="175"/>
        <v>0</v>
      </c>
      <c r="P263" s="317">
        <f t="shared" si="195"/>
        <v>0</v>
      </c>
      <c r="Q263" s="317">
        <f t="shared" si="196"/>
        <v>0</v>
      </c>
      <c r="R263" s="317">
        <f t="shared" si="197"/>
        <v>0</v>
      </c>
      <c r="S263" s="317">
        <f t="shared" si="198"/>
        <v>0</v>
      </c>
      <c r="T263" s="317">
        <f t="shared" si="176"/>
        <v>0</v>
      </c>
      <c r="U263" s="317">
        <f t="shared" si="177"/>
        <v>0</v>
      </c>
      <c r="V263" s="317">
        <f t="shared" si="199"/>
        <v>0</v>
      </c>
      <c r="W263" s="317">
        <f t="shared" si="200"/>
        <v>0</v>
      </c>
      <c r="X263" s="317">
        <f t="shared" si="201"/>
        <v>0</v>
      </c>
      <c r="Y263" s="317">
        <f t="shared" si="202"/>
        <v>0</v>
      </c>
      <c r="Z263" s="317">
        <f t="shared" si="183"/>
        <v>0</v>
      </c>
      <c r="AA263" s="317">
        <f t="shared" si="184"/>
        <v>0</v>
      </c>
      <c r="AB263" s="317">
        <f t="shared" si="203"/>
        <v>0</v>
      </c>
      <c r="AC263" s="317">
        <f t="shared" si="204"/>
        <v>0</v>
      </c>
      <c r="AD263" s="317">
        <f t="shared" si="185"/>
        <v>0</v>
      </c>
      <c r="AE263" s="317">
        <f t="shared" si="186"/>
        <v>0</v>
      </c>
      <c r="AF263" s="317">
        <f t="shared" si="178"/>
        <v>0</v>
      </c>
      <c r="AG263" s="317">
        <f t="shared" si="179"/>
        <v>0</v>
      </c>
      <c r="AH263" s="317">
        <f t="shared" si="205"/>
        <v>0</v>
      </c>
      <c r="AI263" s="317">
        <f t="shared" si="206"/>
        <v>0</v>
      </c>
      <c r="AJ263" s="317">
        <f t="shared" si="207"/>
        <v>0</v>
      </c>
      <c r="AK263" s="317">
        <f t="shared" si="208"/>
        <v>0</v>
      </c>
      <c r="AL263" s="317">
        <f t="shared" si="209"/>
        <v>0</v>
      </c>
      <c r="AM263" s="317">
        <f t="shared" si="210"/>
        <v>0</v>
      </c>
      <c r="AN263" s="317">
        <f t="shared" si="211"/>
        <v>0</v>
      </c>
      <c r="AO263" s="317">
        <f t="shared" si="212"/>
        <v>0</v>
      </c>
      <c r="AP263" s="317">
        <f t="shared" si="213"/>
        <v>0</v>
      </c>
      <c r="AQ263" s="317">
        <f t="shared" si="214"/>
        <v>0</v>
      </c>
      <c r="AR263" s="317">
        <f t="shared" si="187"/>
        <v>0</v>
      </c>
      <c r="AS263" s="317">
        <f t="shared" si="188"/>
        <v>0</v>
      </c>
      <c r="AT263" s="317">
        <f t="shared" si="215"/>
        <v>0</v>
      </c>
      <c r="AU263" s="317">
        <f t="shared" si="216"/>
        <v>0</v>
      </c>
      <c r="AV263" s="317">
        <f t="shared" si="217"/>
        <v>0</v>
      </c>
      <c r="AW263" s="317">
        <f t="shared" si="218"/>
        <v>0</v>
      </c>
      <c r="AX263" s="317">
        <f t="shared" si="189"/>
        <v>0</v>
      </c>
      <c r="AY263" s="317">
        <f t="shared" si="190"/>
        <v>0</v>
      </c>
      <c r="AZ263" s="317">
        <f t="shared" si="191"/>
        <v>0</v>
      </c>
      <c r="BA263" s="317">
        <f t="shared" si="192"/>
        <v>0</v>
      </c>
    </row>
    <row r="264" spans="1:53" s="314" customFormat="1" ht="16.5" customHeight="1">
      <c r="A264" s="63" t="str">
        <f t="array" ref="A264">IF(C264&lt;&gt;0,SUM(($C$11:C264&lt;&gt;0)*1),"")</f>
        <v/>
      </c>
      <c r="B264" s="315"/>
      <c r="C264" s="315"/>
      <c r="D264" s="315"/>
      <c r="E264" s="432"/>
      <c r="F264" s="371"/>
      <c r="G264" s="373"/>
      <c r="H264" s="373"/>
      <c r="I264" s="63" t="str">
        <f t="shared" si="219"/>
        <v/>
      </c>
      <c r="J264" s="317">
        <f t="shared" si="181"/>
        <v>0</v>
      </c>
      <c r="K264" s="317">
        <f t="shared" si="182"/>
        <v>0</v>
      </c>
      <c r="L264" s="317">
        <f t="shared" si="193"/>
        <v>0</v>
      </c>
      <c r="M264" s="317">
        <f t="shared" si="194"/>
        <v>0</v>
      </c>
      <c r="N264" s="317">
        <f t="shared" si="174"/>
        <v>0</v>
      </c>
      <c r="O264" s="317">
        <f t="shared" si="175"/>
        <v>0</v>
      </c>
      <c r="P264" s="317">
        <f t="shared" si="195"/>
        <v>0</v>
      </c>
      <c r="Q264" s="317">
        <f t="shared" si="196"/>
        <v>0</v>
      </c>
      <c r="R264" s="317">
        <f t="shared" si="197"/>
        <v>0</v>
      </c>
      <c r="S264" s="317">
        <f t="shared" si="198"/>
        <v>0</v>
      </c>
      <c r="T264" s="317">
        <f t="shared" si="176"/>
        <v>0</v>
      </c>
      <c r="U264" s="317">
        <f t="shared" si="177"/>
        <v>0</v>
      </c>
      <c r="V264" s="317">
        <f t="shared" si="199"/>
        <v>0</v>
      </c>
      <c r="W264" s="317">
        <f t="shared" si="200"/>
        <v>0</v>
      </c>
      <c r="X264" s="317">
        <f t="shared" si="201"/>
        <v>0</v>
      </c>
      <c r="Y264" s="317">
        <f t="shared" si="202"/>
        <v>0</v>
      </c>
      <c r="Z264" s="317">
        <f t="shared" si="183"/>
        <v>0</v>
      </c>
      <c r="AA264" s="317">
        <f t="shared" si="184"/>
        <v>0</v>
      </c>
      <c r="AB264" s="317">
        <f t="shared" si="203"/>
        <v>0</v>
      </c>
      <c r="AC264" s="317">
        <f t="shared" si="204"/>
        <v>0</v>
      </c>
      <c r="AD264" s="317">
        <f t="shared" si="185"/>
        <v>0</v>
      </c>
      <c r="AE264" s="317">
        <f t="shared" si="186"/>
        <v>0</v>
      </c>
      <c r="AF264" s="317">
        <f t="shared" si="178"/>
        <v>0</v>
      </c>
      <c r="AG264" s="317">
        <f t="shared" si="179"/>
        <v>0</v>
      </c>
      <c r="AH264" s="317">
        <f t="shared" si="205"/>
        <v>0</v>
      </c>
      <c r="AI264" s="317">
        <f t="shared" si="206"/>
        <v>0</v>
      </c>
      <c r="AJ264" s="317">
        <f t="shared" si="207"/>
        <v>0</v>
      </c>
      <c r="AK264" s="317">
        <f t="shared" si="208"/>
        <v>0</v>
      </c>
      <c r="AL264" s="317">
        <f t="shared" si="209"/>
        <v>0</v>
      </c>
      <c r="AM264" s="317">
        <f t="shared" si="210"/>
        <v>0</v>
      </c>
      <c r="AN264" s="317">
        <f t="shared" si="211"/>
        <v>0</v>
      </c>
      <c r="AO264" s="317">
        <f t="shared" si="212"/>
        <v>0</v>
      </c>
      <c r="AP264" s="317">
        <f t="shared" si="213"/>
        <v>0</v>
      </c>
      <c r="AQ264" s="317">
        <f t="shared" si="214"/>
        <v>0</v>
      </c>
      <c r="AR264" s="317">
        <f t="shared" si="187"/>
        <v>0</v>
      </c>
      <c r="AS264" s="317">
        <f t="shared" si="188"/>
        <v>0</v>
      </c>
      <c r="AT264" s="317">
        <f t="shared" si="215"/>
        <v>0</v>
      </c>
      <c r="AU264" s="317">
        <f t="shared" si="216"/>
        <v>0</v>
      </c>
      <c r="AV264" s="317">
        <f t="shared" si="217"/>
        <v>0</v>
      </c>
      <c r="AW264" s="317">
        <f t="shared" si="218"/>
        <v>0</v>
      </c>
      <c r="AX264" s="317">
        <f t="shared" si="189"/>
        <v>0</v>
      </c>
      <c r="AY264" s="317">
        <f t="shared" si="190"/>
        <v>0</v>
      </c>
      <c r="AZ264" s="317">
        <f t="shared" si="191"/>
        <v>0</v>
      </c>
      <c r="BA264" s="317">
        <f t="shared" si="192"/>
        <v>0</v>
      </c>
    </row>
    <row r="265" spans="1:53" s="314" customFormat="1" ht="16.5" customHeight="1">
      <c r="A265" s="63" t="str">
        <f t="array" ref="A265">IF(C265&lt;&gt;0,SUM(($C$11:C265&lt;&gt;0)*1),"")</f>
        <v/>
      </c>
      <c r="B265" s="315"/>
      <c r="C265" s="315"/>
      <c r="D265" s="315"/>
      <c r="E265" s="432"/>
      <c r="F265" s="371"/>
      <c r="G265" s="373"/>
      <c r="H265" s="373"/>
      <c r="I265" s="63" t="str">
        <f t="shared" si="219"/>
        <v/>
      </c>
      <c r="J265" s="317">
        <f t="shared" si="181"/>
        <v>0</v>
      </c>
      <c r="K265" s="317">
        <f t="shared" si="182"/>
        <v>0</v>
      </c>
      <c r="L265" s="317">
        <f t="shared" si="193"/>
        <v>0</v>
      </c>
      <c r="M265" s="317">
        <f t="shared" si="194"/>
        <v>0</v>
      </c>
      <c r="N265" s="317">
        <f t="shared" si="174"/>
        <v>0</v>
      </c>
      <c r="O265" s="317">
        <f t="shared" si="175"/>
        <v>0</v>
      </c>
      <c r="P265" s="317">
        <f t="shared" si="195"/>
        <v>0</v>
      </c>
      <c r="Q265" s="317">
        <f t="shared" si="196"/>
        <v>0</v>
      </c>
      <c r="R265" s="317">
        <f t="shared" si="197"/>
        <v>0</v>
      </c>
      <c r="S265" s="317">
        <f t="shared" si="198"/>
        <v>0</v>
      </c>
      <c r="T265" s="317">
        <f t="shared" si="176"/>
        <v>0</v>
      </c>
      <c r="U265" s="317">
        <f t="shared" si="177"/>
        <v>0</v>
      </c>
      <c r="V265" s="317">
        <f t="shared" si="199"/>
        <v>0</v>
      </c>
      <c r="W265" s="317">
        <f t="shared" si="200"/>
        <v>0</v>
      </c>
      <c r="X265" s="317">
        <f t="shared" si="201"/>
        <v>0</v>
      </c>
      <c r="Y265" s="317">
        <f t="shared" si="202"/>
        <v>0</v>
      </c>
      <c r="Z265" s="317">
        <f t="shared" si="183"/>
        <v>0</v>
      </c>
      <c r="AA265" s="317">
        <f t="shared" si="184"/>
        <v>0</v>
      </c>
      <c r="AB265" s="317">
        <f t="shared" si="203"/>
        <v>0</v>
      </c>
      <c r="AC265" s="317">
        <f t="shared" si="204"/>
        <v>0</v>
      </c>
      <c r="AD265" s="317">
        <f t="shared" si="185"/>
        <v>0</v>
      </c>
      <c r="AE265" s="317">
        <f t="shared" si="186"/>
        <v>0</v>
      </c>
      <c r="AF265" s="317">
        <f t="shared" si="178"/>
        <v>0</v>
      </c>
      <c r="AG265" s="317">
        <f t="shared" si="179"/>
        <v>0</v>
      </c>
      <c r="AH265" s="317">
        <f t="shared" si="205"/>
        <v>0</v>
      </c>
      <c r="AI265" s="317">
        <f t="shared" si="206"/>
        <v>0</v>
      </c>
      <c r="AJ265" s="317">
        <f t="shared" si="207"/>
        <v>0</v>
      </c>
      <c r="AK265" s="317">
        <f t="shared" si="208"/>
        <v>0</v>
      </c>
      <c r="AL265" s="317">
        <f t="shared" si="209"/>
        <v>0</v>
      </c>
      <c r="AM265" s="317">
        <f t="shared" si="210"/>
        <v>0</v>
      </c>
      <c r="AN265" s="317">
        <f t="shared" si="211"/>
        <v>0</v>
      </c>
      <c r="AO265" s="317">
        <f t="shared" si="212"/>
        <v>0</v>
      </c>
      <c r="AP265" s="317">
        <f t="shared" si="213"/>
        <v>0</v>
      </c>
      <c r="AQ265" s="317">
        <f t="shared" si="214"/>
        <v>0</v>
      </c>
      <c r="AR265" s="317">
        <f t="shared" si="187"/>
        <v>0</v>
      </c>
      <c r="AS265" s="317">
        <f t="shared" si="188"/>
        <v>0</v>
      </c>
      <c r="AT265" s="317">
        <f t="shared" si="215"/>
        <v>0</v>
      </c>
      <c r="AU265" s="317">
        <f t="shared" si="216"/>
        <v>0</v>
      </c>
      <c r="AV265" s="317">
        <f t="shared" si="217"/>
        <v>0</v>
      </c>
      <c r="AW265" s="317">
        <f t="shared" si="218"/>
        <v>0</v>
      </c>
      <c r="AX265" s="317">
        <f t="shared" si="189"/>
        <v>0</v>
      </c>
      <c r="AY265" s="317">
        <f t="shared" si="190"/>
        <v>0</v>
      </c>
      <c r="AZ265" s="317">
        <f t="shared" si="191"/>
        <v>0</v>
      </c>
      <c r="BA265" s="317">
        <f t="shared" si="192"/>
        <v>0</v>
      </c>
    </row>
    <row r="266" spans="1:53" s="314" customFormat="1" ht="16.5" customHeight="1">
      <c r="A266" s="63" t="str">
        <f t="array" ref="A266">IF(C266&lt;&gt;0,SUM(($C$11:C266&lt;&gt;0)*1),"")</f>
        <v/>
      </c>
      <c r="B266" s="315"/>
      <c r="C266" s="315"/>
      <c r="D266" s="315"/>
      <c r="E266" s="432"/>
      <c r="F266" s="371"/>
      <c r="G266" s="373"/>
      <c r="H266" s="373"/>
      <c r="I266" s="63" t="str">
        <f t="shared" si="219"/>
        <v/>
      </c>
      <c r="J266" s="317">
        <f t="shared" si="181"/>
        <v>0</v>
      </c>
      <c r="K266" s="317">
        <f t="shared" si="182"/>
        <v>0</v>
      </c>
      <c r="L266" s="317">
        <f t="shared" si="193"/>
        <v>0</v>
      </c>
      <c r="M266" s="317">
        <f t="shared" si="194"/>
        <v>0</v>
      </c>
      <c r="N266" s="317">
        <f t="shared" si="174"/>
        <v>0</v>
      </c>
      <c r="O266" s="317">
        <f t="shared" si="175"/>
        <v>0</v>
      </c>
      <c r="P266" s="317">
        <f t="shared" si="195"/>
        <v>0</v>
      </c>
      <c r="Q266" s="317">
        <f t="shared" si="196"/>
        <v>0</v>
      </c>
      <c r="R266" s="317">
        <f t="shared" si="197"/>
        <v>0</v>
      </c>
      <c r="S266" s="317">
        <f t="shared" si="198"/>
        <v>0</v>
      </c>
      <c r="T266" s="317">
        <f t="shared" si="176"/>
        <v>0</v>
      </c>
      <c r="U266" s="317">
        <f t="shared" si="177"/>
        <v>0</v>
      </c>
      <c r="V266" s="317">
        <f t="shared" si="199"/>
        <v>0</v>
      </c>
      <c r="W266" s="317">
        <f t="shared" si="200"/>
        <v>0</v>
      </c>
      <c r="X266" s="317">
        <f t="shared" si="201"/>
        <v>0</v>
      </c>
      <c r="Y266" s="317">
        <f t="shared" si="202"/>
        <v>0</v>
      </c>
      <c r="Z266" s="317">
        <f t="shared" si="183"/>
        <v>0</v>
      </c>
      <c r="AA266" s="317">
        <f t="shared" si="184"/>
        <v>0</v>
      </c>
      <c r="AB266" s="317">
        <f t="shared" si="203"/>
        <v>0</v>
      </c>
      <c r="AC266" s="317">
        <f t="shared" si="204"/>
        <v>0</v>
      </c>
      <c r="AD266" s="317">
        <f t="shared" si="185"/>
        <v>0</v>
      </c>
      <c r="AE266" s="317">
        <f t="shared" si="186"/>
        <v>0</v>
      </c>
      <c r="AF266" s="317">
        <f t="shared" si="178"/>
        <v>0</v>
      </c>
      <c r="AG266" s="317">
        <f t="shared" si="179"/>
        <v>0</v>
      </c>
      <c r="AH266" s="317">
        <f t="shared" si="205"/>
        <v>0</v>
      </c>
      <c r="AI266" s="317">
        <f t="shared" si="206"/>
        <v>0</v>
      </c>
      <c r="AJ266" s="317">
        <f t="shared" si="207"/>
        <v>0</v>
      </c>
      <c r="AK266" s="317">
        <f t="shared" si="208"/>
        <v>0</v>
      </c>
      <c r="AL266" s="317">
        <f t="shared" si="209"/>
        <v>0</v>
      </c>
      <c r="AM266" s="317">
        <f t="shared" si="210"/>
        <v>0</v>
      </c>
      <c r="AN266" s="317">
        <f t="shared" si="211"/>
        <v>0</v>
      </c>
      <c r="AO266" s="317">
        <f t="shared" si="212"/>
        <v>0</v>
      </c>
      <c r="AP266" s="317">
        <f t="shared" si="213"/>
        <v>0</v>
      </c>
      <c r="AQ266" s="317">
        <f t="shared" si="214"/>
        <v>0</v>
      </c>
      <c r="AR266" s="317">
        <f t="shared" si="187"/>
        <v>0</v>
      </c>
      <c r="AS266" s="317">
        <f t="shared" si="188"/>
        <v>0</v>
      </c>
      <c r="AT266" s="317">
        <f t="shared" si="215"/>
        <v>0</v>
      </c>
      <c r="AU266" s="317">
        <f t="shared" si="216"/>
        <v>0</v>
      </c>
      <c r="AV266" s="317">
        <f t="shared" si="217"/>
        <v>0</v>
      </c>
      <c r="AW266" s="317">
        <f t="shared" si="218"/>
        <v>0</v>
      </c>
      <c r="AX266" s="317">
        <f t="shared" si="189"/>
        <v>0</v>
      </c>
      <c r="AY266" s="317">
        <f t="shared" si="190"/>
        <v>0</v>
      </c>
      <c r="AZ266" s="317">
        <f t="shared" si="191"/>
        <v>0</v>
      </c>
      <c r="BA266" s="317">
        <f t="shared" si="192"/>
        <v>0</v>
      </c>
    </row>
    <row r="267" spans="1:53" s="314" customFormat="1" ht="16.5" customHeight="1">
      <c r="A267" s="63" t="str">
        <f t="array" ref="A267">IF(C267&lt;&gt;0,SUM(($C$11:C267&lt;&gt;0)*1),"")</f>
        <v/>
      </c>
      <c r="B267" s="315"/>
      <c r="C267" s="315"/>
      <c r="D267" s="315"/>
      <c r="E267" s="432"/>
      <c r="F267" s="371"/>
      <c r="G267" s="373"/>
      <c r="H267" s="373"/>
      <c r="I267" s="63" t="str">
        <f t="shared" si="219"/>
        <v/>
      </c>
      <c r="J267" s="317">
        <f t="shared" si="181"/>
        <v>0</v>
      </c>
      <c r="K267" s="317">
        <f t="shared" si="182"/>
        <v>0</v>
      </c>
      <c r="L267" s="317">
        <f t="shared" si="193"/>
        <v>0</v>
      </c>
      <c r="M267" s="317">
        <f t="shared" si="194"/>
        <v>0</v>
      </c>
      <c r="N267" s="317">
        <f t="shared" si="174"/>
        <v>0</v>
      </c>
      <c r="O267" s="317">
        <f t="shared" si="175"/>
        <v>0</v>
      </c>
      <c r="P267" s="317">
        <f t="shared" si="195"/>
        <v>0</v>
      </c>
      <c r="Q267" s="317">
        <f t="shared" si="196"/>
        <v>0</v>
      </c>
      <c r="R267" s="317">
        <f t="shared" si="197"/>
        <v>0</v>
      </c>
      <c r="S267" s="317">
        <f t="shared" si="198"/>
        <v>0</v>
      </c>
      <c r="T267" s="317">
        <f t="shared" si="176"/>
        <v>0</v>
      </c>
      <c r="U267" s="317">
        <f t="shared" si="177"/>
        <v>0</v>
      </c>
      <c r="V267" s="317">
        <f t="shared" si="199"/>
        <v>0</v>
      </c>
      <c r="W267" s="317">
        <f t="shared" si="200"/>
        <v>0</v>
      </c>
      <c r="X267" s="317">
        <f t="shared" si="201"/>
        <v>0</v>
      </c>
      <c r="Y267" s="317">
        <f t="shared" si="202"/>
        <v>0</v>
      </c>
      <c r="Z267" s="317">
        <f t="shared" si="183"/>
        <v>0</v>
      </c>
      <c r="AA267" s="317">
        <f t="shared" si="184"/>
        <v>0</v>
      </c>
      <c r="AB267" s="317">
        <f t="shared" si="203"/>
        <v>0</v>
      </c>
      <c r="AC267" s="317">
        <f t="shared" si="204"/>
        <v>0</v>
      </c>
      <c r="AD267" s="317">
        <f t="shared" si="185"/>
        <v>0</v>
      </c>
      <c r="AE267" s="317">
        <f t="shared" si="186"/>
        <v>0</v>
      </c>
      <c r="AF267" s="317">
        <f t="shared" si="178"/>
        <v>0</v>
      </c>
      <c r="AG267" s="317">
        <f t="shared" si="179"/>
        <v>0</v>
      </c>
      <c r="AH267" s="317">
        <f t="shared" si="205"/>
        <v>0</v>
      </c>
      <c r="AI267" s="317">
        <f t="shared" si="206"/>
        <v>0</v>
      </c>
      <c r="AJ267" s="317">
        <f t="shared" si="207"/>
        <v>0</v>
      </c>
      <c r="AK267" s="317">
        <f t="shared" si="208"/>
        <v>0</v>
      </c>
      <c r="AL267" s="317">
        <f t="shared" si="209"/>
        <v>0</v>
      </c>
      <c r="AM267" s="317">
        <f t="shared" si="210"/>
        <v>0</v>
      </c>
      <c r="AN267" s="317">
        <f t="shared" si="211"/>
        <v>0</v>
      </c>
      <c r="AO267" s="317">
        <f t="shared" si="212"/>
        <v>0</v>
      </c>
      <c r="AP267" s="317">
        <f t="shared" si="213"/>
        <v>0</v>
      </c>
      <c r="AQ267" s="317">
        <f t="shared" si="214"/>
        <v>0</v>
      </c>
      <c r="AR267" s="317">
        <f t="shared" si="187"/>
        <v>0</v>
      </c>
      <c r="AS267" s="317">
        <f t="shared" si="188"/>
        <v>0</v>
      </c>
      <c r="AT267" s="317">
        <f t="shared" si="215"/>
        <v>0</v>
      </c>
      <c r="AU267" s="317">
        <f t="shared" si="216"/>
        <v>0</v>
      </c>
      <c r="AV267" s="317">
        <f t="shared" si="217"/>
        <v>0</v>
      </c>
      <c r="AW267" s="317">
        <f t="shared" si="218"/>
        <v>0</v>
      </c>
      <c r="AX267" s="317">
        <f t="shared" si="189"/>
        <v>0</v>
      </c>
      <c r="AY267" s="317">
        <f t="shared" si="190"/>
        <v>0</v>
      </c>
      <c r="AZ267" s="317">
        <f t="shared" si="191"/>
        <v>0</v>
      </c>
      <c r="BA267" s="317">
        <f t="shared" si="192"/>
        <v>0</v>
      </c>
    </row>
    <row r="268" spans="1:53" s="314" customFormat="1" ht="16.5" customHeight="1">
      <c r="A268" s="63" t="str">
        <f t="array" ref="A268">IF(C268&lt;&gt;0,SUM(($C$11:C268&lt;&gt;0)*1),"")</f>
        <v/>
      </c>
      <c r="B268" s="315"/>
      <c r="C268" s="315"/>
      <c r="D268" s="315"/>
      <c r="E268" s="432"/>
      <c r="F268" s="371"/>
      <c r="G268" s="373"/>
      <c r="H268" s="373"/>
      <c r="I268" s="63" t="str">
        <f t="shared" si="219"/>
        <v/>
      </c>
      <c r="J268" s="317">
        <f t="shared" si="181"/>
        <v>0</v>
      </c>
      <c r="K268" s="317">
        <f t="shared" si="182"/>
        <v>0</v>
      </c>
      <c r="L268" s="317">
        <f t="shared" si="193"/>
        <v>0</v>
      </c>
      <c r="M268" s="317">
        <f t="shared" si="194"/>
        <v>0</v>
      </c>
      <c r="N268" s="317">
        <f t="shared" ref="N268:N331" si="220">IF($G268="1122",$F268,0)</f>
        <v>0</v>
      </c>
      <c r="O268" s="317">
        <f t="shared" ref="O268:O331" si="221">IF($H268="1122",$F268,0)</f>
        <v>0</v>
      </c>
      <c r="P268" s="317">
        <f t="shared" si="195"/>
        <v>0</v>
      </c>
      <c r="Q268" s="317">
        <f t="shared" si="196"/>
        <v>0</v>
      </c>
      <c r="R268" s="317">
        <f t="shared" si="197"/>
        <v>0</v>
      </c>
      <c r="S268" s="317">
        <f t="shared" si="198"/>
        <v>0</v>
      </c>
      <c r="T268" s="317">
        <f t="shared" ref="T268:T348" si="222">IF($G268="2412",$F268,0)</f>
        <v>0</v>
      </c>
      <c r="U268" s="317">
        <f t="shared" ref="U268:U348" si="223">IF($H268="2412",$F268,0)</f>
        <v>0</v>
      </c>
      <c r="V268" s="317">
        <f t="shared" si="199"/>
        <v>0</v>
      </c>
      <c r="W268" s="317">
        <f t="shared" si="200"/>
        <v>0</v>
      </c>
      <c r="X268" s="317">
        <f t="shared" si="201"/>
        <v>0</v>
      </c>
      <c r="Y268" s="317">
        <f t="shared" si="202"/>
        <v>0</v>
      </c>
      <c r="Z268" s="317">
        <f t="shared" si="183"/>
        <v>0</v>
      </c>
      <c r="AA268" s="317">
        <f t="shared" si="184"/>
        <v>0</v>
      </c>
      <c r="AB268" s="317">
        <f t="shared" si="203"/>
        <v>0</v>
      </c>
      <c r="AC268" s="317">
        <f t="shared" si="204"/>
        <v>0</v>
      </c>
      <c r="AD268" s="317">
        <f t="shared" si="185"/>
        <v>0</v>
      </c>
      <c r="AE268" s="317">
        <f t="shared" si="186"/>
        <v>0</v>
      </c>
      <c r="AF268" s="317">
        <f t="shared" ref="AF268:AF331" si="224">IF($G268="3412",$F268,0)</f>
        <v>0</v>
      </c>
      <c r="AG268" s="317">
        <f t="shared" ref="AG268:AG331" si="225">IF($H268="3412",$F268,0)</f>
        <v>0</v>
      </c>
      <c r="AH268" s="317">
        <f t="shared" si="205"/>
        <v>0</v>
      </c>
      <c r="AI268" s="317">
        <f t="shared" si="206"/>
        <v>0</v>
      </c>
      <c r="AJ268" s="317">
        <f t="shared" si="207"/>
        <v>0</v>
      </c>
      <c r="AK268" s="317">
        <f t="shared" si="208"/>
        <v>0</v>
      </c>
      <c r="AL268" s="317">
        <f t="shared" si="209"/>
        <v>0</v>
      </c>
      <c r="AM268" s="317">
        <f t="shared" si="210"/>
        <v>0</v>
      </c>
      <c r="AN268" s="317">
        <f t="shared" si="211"/>
        <v>0</v>
      </c>
      <c r="AO268" s="317">
        <f t="shared" si="212"/>
        <v>0</v>
      </c>
      <c r="AP268" s="317">
        <f t="shared" si="213"/>
        <v>0</v>
      </c>
      <c r="AQ268" s="317">
        <f t="shared" si="214"/>
        <v>0</v>
      </c>
      <c r="AR268" s="317">
        <f t="shared" si="187"/>
        <v>0</v>
      </c>
      <c r="AS268" s="317">
        <f t="shared" si="188"/>
        <v>0</v>
      </c>
      <c r="AT268" s="317">
        <f t="shared" si="215"/>
        <v>0</v>
      </c>
      <c r="AU268" s="317">
        <f t="shared" si="216"/>
        <v>0</v>
      </c>
      <c r="AV268" s="317">
        <f t="shared" si="217"/>
        <v>0</v>
      </c>
      <c r="AW268" s="317">
        <f t="shared" si="218"/>
        <v>0</v>
      </c>
      <c r="AX268" s="317">
        <f t="shared" si="189"/>
        <v>0</v>
      </c>
      <c r="AY268" s="317">
        <f t="shared" si="190"/>
        <v>0</v>
      </c>
      <c r="AZ268" s="317">
        <f t="shared" si="191"/>
        <v>0</v>
      </c>
      <c r="BA268" s="317">
        <f t="shared" si="192"/>
        <v>0</v>
      </c>
    </row>
    <row r="269" spans="1:53" s="314" customFormat="1" ht="16.5" customHeight="1">
      <c r="A269" s="63" t="str">
        <f t="array" ref="A269">IF(C269&lt;&gt;0,SUM(($C$11:C269&lt;&gt;0)*1),"")</f>
        <v/>
      </c>
      <c r="B269" s="315"/>
      <c r="C269" s="315"/>
      <c r="D269" s="315"/>
      <c r="E269" s="432"/>
      <c r="F269" s="371"/>
      <c r="G269" s="373"/>
      <c r="H269" s="373"/>
      <c r="I269" s="63" t="str">
        <f t="shared" si="219"/>
        <v/>
      </c>
      <c r="J269" s="317">
        <f t="shared" si="181"/>
        <v>0</v>
      </c>
      <c r="K269" s="317">
        <f t="shared" si="182"/>
        <v>0</v>
      </c>
      <c r="L269" s="317">
        <f t="shared" si="193"/>
        <v>0</v>
      </c>
      <c r="M269" s="317">
        <f t="shared" si="194"/>
        <v>0</v>
      </c>
      <c r="N269" s="317">
        <f t="shared" si="220"/>
        <v>0</v>
      </c>
      <c r="O269" s="317">
        <f t="shared" si="221"/>
        <v>0</v>
      </c>
      <c r="P269" s="317">
        <f t="shared" si="195"/>
        <v>0</v>
      </c>
      <c r="Q269" s="317">
        <f t="shared" si="196"/>
        <v>0</v>
      </c>
      <c r="R269" s="317">
        <f t="shared" si="197"/>
        <v>0</v>
      </c>
      <c r="S269" s="317">
        <f t="shared" si="198"/>
        <v>0</v>
      </c>
      <c r="T269" s="317">
        <f t="shared" si="222"/>
        <v>0</v>
      </c>
      <c r="U269" s="317">
        <f t="shared" si="223"/>
        <v>0</v>
      </c>
      <c r="V269" s="317">
        <f t="shared" si="199"/>
        <v>0</v>
      </c>
      <c r="W269" s="317">
        <f t="shared" si="200"/>
        <v>0</v>
      </c>
      <c r="X269" s="317">
        <f t="shared" si="201"/>
        <v>0</v>
      </c>
      <c r="Y269" s="317">
        <f t="shared" si="202"/>
        <v>0</v>
      </c>
      <c r="Z269" s="317">
        <f t="shared" si="183"/>
        <v>0</v>
      </c>
      <c r="AA269" s="317">
        <f t="shared" si="184"/>
        <v>0</v>
      </c>
      <c r="AB269" s="317">
        <f t="shared" si="203"/>
        <v>0</v>
      </c>
      <c r="AC269" s="317">
        <f t="shared" si="204"/>
        <v>0</v>
      </c>
      <c r="AD269" s="317">
        <f t="shared" si="185"/>
        <v>0</v>
      </c>
      <c r="AE269" s="317">
        <f t="shared" si="186"/>
        <v>0</v>
      </c>
      <c r="AF269" s="317">
        <f t="shared" si="224"/>
        <v>0</v>
      </c>
      <c r="AG269" s="317">
        <f t="shared" si="225"/>
        <v>0</v>
      </c>
      <c r="AH269" s="317">
        <f t="shared" si="205"/>
        <v>0</v>
      </c>
      <c r="AI269" s="317">
        <f t="shared" si="206"/>
        <v>0</v>
      </c>
      <c r="AJ269" s="317">
        <f t="shared" si="207"/>
        <v>0</v>
      </c>
      <c r="AK269" s="317">
        <f t="shared" si="208"/>
        <v>0</v>
      </c>
      <c r="AL269" s="317">
        <f t="shared" si="209"/>
        <v>0</v>
      </c>
      <c r="AM269" s="317">
        <f t="shared" si="210"/>
        <v>0</v>
      </c>
      <c r="AN269" s="317">
        <f t="shared" si="211"/>
        <v>0</v>
      </c>
      <c r="AO269" s="317">
        <f t="shared" si="212"/>
        <v>0</v>
      </c>
      <c r="AP269" s="317">
        <f t="shared" si="213"/>
        <v>0</v>
      </c>
      <c r="AQ269" s="317">
        <f t="shared" si="214"/>
        <v>0</v>
      </c>
      <c r="AR269" s="317">
        <f t="shared" si="187"/>
        <v>0</v>
      </c>
      <c r="AS269" s="317">
        <f t="shared" si="188"/>
        <v>0</v>
      </c>
      <c r="AT269" s="317">
        <f t="shared" si="215"/>
        <v>0</v>
      </c>
      <c r="AU269" s="317">
        <f t="shared" si="216"/>
        <v>0</v>
      </c>
      <c r="AV269" s="317">
        <f t="shared" si="217"/>
        <v>0</v>
      </c>
      <c r="AW269" s="317">
        <f t="shared" si="218"/>
        <v>0</v>
      </c>
      <c r="AX269" s="317">
        <f t="shared" si="189"/>
        <v>0</v>
      </c>
      <c r="AY269" s="317">
        <f t="shared" si="190"/>
        <v>0</v>
      </c>
      <c r="AZ269" s="317">
        <f t="shared" si="191"/>
        <v>0</v>
      </c>
      <c r="BA269" s="317">
        <f t="shared" si="192"/>
        <v>0</v>
      </c>
    </row>
    <row r="270" spans="1:53" s="314" customFormat="1" ht="16.5" customHeight="1">
      <c r="A270" s="63" t="str">
        <f t="array" ref="A270">IF(C270&lt;&gt;0,SUM(($C$11:C270&lt;&gt;0)*1),"")</f>
        <v/>
      </c>
      <c r="B270" s="315"/>
      <c r="C270" s="315"/>
      <c r="D270" s="315"/>
      <c r="E270" s="432"/>
      <c r="F270" s="371"/>
      <c r="G270" s="373"/>
      <c r="H270" s="373"/>
      <c r="I270" s="63" t="str">
        <f t="shared" si="219"/>
        <v/>
      </c>
      <c r="J270" s="317">
        <f t="shared" si="181"/>
        <v>0</v>
      </c>
      <c r="K270" s="317">
        <f t="shared" si="182"/>
        <v>0</v>
      </c>
      <c r="L270" s="317">
        <f t="shared" si="193"/>
        <v>0</v>
      </c>
      <c r="M270" s="317">
        <f t="shared" si="194"/>
        <v>0</v>
      </c>
      <c r="N270" s="317">
        <f t="shared" si="220"/>
        <v>0</v>
      </c>
      <c r="O270" s="317">
        <f t="shared" si="221"/>
        <v>0</v>
      </c>
      <c r="P270" s="317">
        <f t="shared" si="195"/>
        <v>0</v>
      </c>
      <c r="Q270" s="317">
        <f t="shared" si="196"/>
        <v>0</v>
      </c>
      <c r="R270" s="317">
        <f t="shared" si="197"/>
        <v>0</v>
      </c>
      <c r="S270" s="317">
        <f t="shared" si="198"/>
        <v>0</v>
      </c>
      <c r="T270" s="317">
        <f t="shared" si="222"/>
        <v>0</v>
      </c>
      <c r="U270" s="317">
        <f t="shared" si="223"/>
        <v>0</v>
      </c>
      <c r="V270" s="317">
        <f t="shared" si="199"/>
        <v>0</v>
      </c>
      <c r="W270" s="317">
        <f t="shared" si="200"/>
        <v>0</v>
      </c>
      <c r="X270" s="317">
        <f t="shared" si="201"/>
        <v>0</v>
      </c>
      <c r="Y270" s="317">
        <f t="shared" si="202"/>
        <v>0</v>
      </c>
      <c r="Z270" s="317">
        <f t="shared" si="183"/>
        <v>0</v>
      </c>
      <c r="AA270" s="317">
        <f t="shared" si="184"/>
        <v>0</v>
      </c>
      <c r="AB270" s="317">
        <f t="shared" si="203"/>
        <v>0</v>
      </c>
      <c r="AC270" s="317">
        <f t="shared" si="204"/>
        <v>0</v>
      </c>
      <c r="AD270" s="317">
        <f t="shared" si="185"/>
        <v>0</v>
      </c>
      <c r="AE270" s="317">
        <f t="shared" si="186"/>
        <v>0</v>
      </c>
      <c r="AF270" s="317">
        <f t="shared" si="224"/>
        <v>0</v>
      </c>
      <c r="AG270" s="317">
        <f t="shared" si="225"/>
        <v>0</v>
      </c>
      <c r="AH270" s="317">
        <f t="shared" si="205"/>
        <v>0</v>
      </c>
      <c r="AI270" s="317">
        <f t="shared" si="206"/>
        <v>0</v>
      </c>
      <c r="AJ270" s="317">
        <f t="shared" si="207"/>
        <v>0</v>
      </c>
      <c r="AK270" s="317">
        <f t="shared" si="208"/>
        <v>0</v>
      </c>
      <c r="AL270" s="317">
        <f t="shared" si="209"/>
        <v>0</v>
      </c>
      <c r="AM270" s="317">
        <f t="shared" si="210"/>
        <v>0</v>
      </c>
      <c r="AN270" s="317">
        <f t="shared" si="211"/>
        <v>0</v>
      </c>
      <c r="AO270" s="317">
        <f t="shared" si="212"/>
        <v>0</v>
      </c>
      <c r="AP270" s="317">
        <f t="shared" si="213"/>
        <v>0</v>
      </c>
      <c r="AQ270" s="317">
        <f t="shared" si="214"/>
        <v>0</v>
      </c>
      <c r="AR270" s="317">
        <f t="shared" si="187"/>
        <v>0</v>
      </c>
      <c r="AS270" s="317">
        <f t="shared" si="188"/>
        <v>0</v>
      </c>
      <c r="AT270" s="317">
        <f t="shared" si="215"/>
        <v>0</v>
      </c>
      <c r="AU270" s="317">
        <f t="shared" si="216"/>
        <v>0</v>
      </c>
      <c r="AV270" s="317">
        <f t="shared" si="217"/>
        <v>0</v>
      </c>
      <c r="AW270" s="317">
        <f t="shared" si="218"/>
        <v>0</v>
      </c>
      <c r="AX270" s="317">
        <f t="shared" si="189"/>
        <v>0</v>
      </c>
      <c r="AY270" s="317">
        <f t="shared" si="190"/>
        <v>0</v>
      </c>
      <c r="AZ270" s="317">
        <f t="shared" si="191"/>
        <v>0</v>
      </c>
      <c r="BA270" s="317">
        <f t="shared" si="192"/>
        <v>0</v>
      </c>
    </row>
    <row r="271" spans="1:53" s="314" customFormat="1" ht="16.5" customHeight="1">
      <c r="A271" s="63" t="str">
        <f t="array" ref="A271">IF(C271&lt;&gt;0,SUM(($C$11:C271&lt;&gt;0)*1),"")</f>
        <v/>
      </c>
      <c r="B271" s="315"/>
      <c r="C271" s="315"/>
      <c r="D271" s="315"/>
      <c r="E271" s="432"/>
      <c r="F271" s="371"/>
      <c r="G271" s="373"/>
      <c r="H271" s="373"/>
      <c r="I271" s="63" t="str">
        <f t="shared" si="219"/>
        <v/>
      </c>
      <c r="J271" s="317">
        <f t="shared" ref="J271:J348" si="226">IF($G271="1111",$F271,0)</f>
        <v>0</v>
      </c>
      <c r="K271" s="317">
        <f t="shared" ref="K271:K348" si="227">IF($H271="1111",$F271,0)</f>
        <v>0</v>
      </c>
      <c r="L271" s="317">
        <f t="shared" si="193"/>
        <v>0</v>
      </c>
      <c r="M271" s="317">
        <f t="shared" si="194"/>
        <v>0</v>
      </c>
      <c r="N271" s="317">
        <f t="shared" si="220"/>
        <v>0</v>
      </c>
      <c r="O271" s="317">
        <f t="shared" si="221"/>
        <v>0</v>
      </c>
      <c r="P271" s="317">
        <f t="shared" si="195"/>
        <v>0</v>
      </c>
      <c r="Q271" s="317">
        <f t="shared" si="196"/>
        <v>0</v>
      </c>
      <c r="R271" s="317">
        <f t="shared" si="197"/>
        <v>0</v>
      </c>
      <c r="S271" s="317">
        <f t="shared" si="198"/>
        <v>0</v>
      </c>
      <c r="T271" s="317">
        <f t="shared" si="222"/>
        <v>0</v>
      </c>
      <c r="U271" s="317">
        <f t="shared" si="223"/>
        <v>0</v>
      </c>
      <c r="V271" s="317">
        <f t="shared" si="199"/>
        <v>0</v>
      </c>
      <c r="W271" s="317">
        <f t="shared" si="200"/>
        <v>0</v>
      </c>
      <c r="X271" s="317">
        <f t="shared" si="201"/>
        <v>0</v>
      </c>
      <c r="Y271" s="317">
        <f t="shared" si="202"/>
        <v>0</v>
      </c>
      <c r="Z271" s="317">
        <f t="shared" ref="Z271:Z348" si="228">IF($G271="33382",$F271,0)</f>
        <v>0</v>
      </c>
      <c r="AA271" s="317">
        <f t="shared" ref="AA271:AA348" si="229">IF($H271="33382",$F271,0)</f>
        <v>0</v>
      </c>
      <c r="AB271" s="317">
        <f t="shared" si="203"/>
        <v>0</v>
      </c>
      <c r="AC271" s="317">
        <f t="shared" si="204"/>
        <v>0</v>
      </c>
      <c r="AD271" s="317">
        <f t="shared" ref="AD271:AD348" si="230">IF($G271="3411",$F271,0)</f>
        <v>0</v>
      </c>
      <c r="AE271" s="317">
        <f t="shared" ref="AE271:AE348" si="231">IF($H271="3411",$F271,0)</f>
        <v>0</v>
      </c>
      <c r="AF271" s="317">
        <f t="shared" si="224"/>
        <v>0</v>
      </c>
      <c r="AG271" s="317">
        <f t="shared" si="225"/>
        <v>0</v>
      </c>
      <c r="AH271" s="317">
        <f t="shared" si="205"/>
        <v>0</v>
      </c>
      <c r="AI271" s="317">
        <f t="shared" si="206"/>
        <v>0</v>
      </c>
      <c r="AJ271" s="317">
        <f t="shared" si="207"/>
        <v>0</v>
      </c>
      <c r="AK271" s="317">
        <f t="shared" si="208"/>
        <v>0</v>
      </c>
      <c r="AL271" s="317">
        <f t="shared" si="209"/>
        <v>0</v>
      </c>
      <c r="AM271" s="317">
        <f t="shared" si="210"/>
        <v>0</v>
      </c>
      <c r="AN271" s="317">
        <f t="shared" si="211"/>
        <v>0</v>
      </c>
      <c r="AO271" s="317">
        <f t="shared" si="212"/>
        <v>0</v>
      </c>
      <c r="AP271" s="317">
        <f t="shared" si="213"/>
        <v>0</v>
      </c>
      <c r="AQ271" s="317">
        <f t="shared" si="214"/>
        <v>0</v>
      </c>
      <c r="AR271" s="317">
        <f t="shared" ref="AR271:AR348" si="232">IF($G271="642",$F271,0)</f>
        <v>0</v>
      </c>
      <c r="AS271" s="317">
        <f t="shared" ref="AS271:AS348" si="233">IF($H271="642",$F271,0)</f>
        <v>0</v>
      </c>
      <c r="AT271" s="317">
        <f t="shared" si="215"/>
        <v>0</v>
      </c>
      <c r="AU271" s="317">
        <f t="shared" si="216"/>
        <v>0</v>
      </c>
      <c r="AV271" s="317">
        <f t="shared" si="217"/>
        <v>0</v>
      </c>
      <c r="AW271" s="317">
        <f t="shared" si="218"/>
        <v>0</v>
      </c>
      <c r="AX271" s="317">
        <f t="shared" ref="AX271:AX348" si="234">IF($G271="821",$F271,0)</f>
        <v>0</v>
      </c>
      <c r="AY271" s="317">
        <f t="shared" ref="AY271:AY348" si="235">IF($H271="821",$F271,0)</f>
        <v>0</v>
      </c>
      <c r="AZ271" s="317">
        <f t="shared" ref="AZ271:AZ348" si="236">IF($G271="911",$F271,0)</f>
        <v>0</v>
      </c>
      <c r="BA271" s="317">
        <f t="shared" ref="BA271:BA348" si="237">IF($H271="911",$F271,0)</f>
        <v>0</v>
      </c>
    </row>
    <row r="272" spans="1:53" s="314" customFormat="1" ht="16.5" customHeight="1">
      <c r="A272" s="63" t="str">
        <f t="array" ref="A272">IF(C272&lt;&gt;0,SUM(($C$11:C272&lt;&gt;0)*1),"")</f>
        <v/>
      </c>
      <c r="B272" s="315"/>
      <c r="C272" s="315"/>
      <c r="D272" s="315"/>
      <c r="E272" s="432"/>
      <c r="F272" s="371"/>
      <c r="G272" s="373"/>
      <c r="H272" s="373"/>
      <c r="I272" s="63" t="str">
        <f t="shared" si="219"/>
        <v/>
      </c>
      <c r="J272" s="317">
        <f t="shared" si="226"/>
        <v>0</v>
      </c>
      <c r="K272" s="317">
        <f t="shared" si="227"/>
        <v>0</v>
      </c>
      <c r="L272" s="317">
        <f t="shared" ref="L272:L348" si="238">IF($G272="1121",$F272,0)</f>
        <v>0</v>
      </c>
      <c r="M272" s="317">
        <f t="shared" ref="M272:M348" si="239">IF($H272="1121",$F272,0)</f>
        <v>0</v>
      </c>
      <c r="N272" s="317">
        <f t="shared" si="220"/>
        <v>0</v>
      </c>
      <c r="O272" s="317">
        <f t="shared" si="221"/>
        <v>0</v>
      </c>
      <c r="P272" s="317">
        <f t="shared" ref="P272:P348" si="240">IF($G272="1331",$F272,0)</f>
        <v>0</v>
      </c>
      <c r="Q272" s="317">
        <f t="shared" ref="Q272:Q348" si="241">IF($H272="1331",$F272,0)</f>
        <v>0</v>
      </c>
      <c r="R272" s="317">
        <f t="shared" ref="R272:R348" si="242">IF($G272="1388",$F272,0)</f>
        <v>0</v>
      </c>
      <c r="S272" s="317">
        <f t="shared" ref="S272:S348" si="243">IF($H272="1388",$F272,0)</f>
        <v>0</v>
      </c>
      <c r="T272" s="317">
        <f t="shared" si="222"/>
        <v>0</v>
      </c>
      <c r="U272" s="317">
        <f t="shared" si="223"/>
        <v>0</v>
      </c>
      <c r="V272" s="317">
        <f t="shared" ref="V272:V348" si="244">IF($G272="331",$F272,0)</f>
        <v>0</v>
      </c>
      <c r="W272" s="317">
        <f t="shared" ref="W272:W348" si="245">IF($H272="331",$F272,0)</f>
        <v>0</v>
      </c>
      <c r="X272" s="317">
        <f t="shared" ref="X272:X348" si="246">IF($G272="3334",$F272,0)</f>
        <v>0</v>
      </c>
      <c r="Y272" s="317">
        <f t="shared" ref="Y272:Y348" si="247">IF($H272="3334",$F272,0)</f>
        <v>0</v>
      </c>
      <c r="Z272" s="317">
        <f t="shared" si="228"/>
        <v>0</v>
      </c>
      <c r="AA272" s="317">
        <f t="shared" si="229"/>
        <v>0</v>
      </c>
      <c r="AB272" s="317">
        <f t="shared" ref="AB272:AB348" si="248">IF($G272="3388",$F272,0)</f>
        <v>0</v>
      </c>
      <c r="AC272" s="317">
        <f t="shared" ref="AC272:AC348" si="249">IF($H272="3388",$F272,0)</f>
        <v>0</v>
      </c>
      <c r="AD272" s="317">
        <f t="shared" si="230"/>
        <v>0</v>
      </c>
      <c r="AE272" s="317">
        <f t="shared" si="231"/>
        <v>0</v>
      </c>
      <c r="AF272" s="317">
        <f t="shared" si="224"/>
        <v>0</v>
      </c>
      <c r="AG272" s="317">
        <f t="shared" si="225"/>
        <v>0</v>
      </c>
      <c r="AH272" s="317">
        <f t="shared" ref="AH272:AH348" si="250">IF($G272="4111",$F272,0)</f>
        <v>0</v>
      </c>
      <c r="AI272" s="317">
        <f t="shared" ref="AI272:AI348" si="251">IF($H272="4111",$F272,0)</f>
        <v>0</v>
      </c>
      <c r="AJ272" s="317">
        <f t="shared" ref="AJ272:AJ348" si="252">IF($G272="4211",$F272,0)</f>
        <v>0</v>
      </c>
      <c r="AK272" s="317">
        <f t="shared" ref="AK272:AK348" si="253">IF($H272="4211",$F272,0)</f>
        <v>0</v>
      </c>
      <c r="AL272" s="317">
        <f t="shared" ref="AL272:AL348" si="254">IF($G272="4212",$F272,0)</f>
        <v>0</v>
      </c>
      <c r="AM272" s="317">
        <f t="shared" ref="AM272:AM348" si="255">IF($H272="4212",$F272,0)</f>
        <v>0</v>
      </c>
      <c r="AN272" s="317">
        <f t="shared" ref="AN272:AN348" si="256">IF($G272="515",$F272,0)</f>
        <v>0</v>
      </c>
      <c r="AO272" s="317">
        <f t="shared" ref="AO272:AO348" si="257">IF($H272="515",$F272,0)</f>
        <v>0</v>
      </c>
      <c r="AP272" s="317">
        <f t="shared" ref="AP272:AP348" si="258">IF($G272="635",$F272,0)</f>
        <v>0</v>
      </c>
      <c r="AQ272" s="317">
        <f t="shared" ref="AQ272:AQ348" si="259">IF($H272="635",$F272,0)</f>
        <v>0</v>
      </c>
      <c r="AR272" s="317">
        <f t="shared" si="232"/>
        <v>0</v>
      </c>
      <c r="AS272" s="317">
        <f t="shared" si="233"/>
        <v>0</v>
      </c>
      <c r="AT272" s="317">
        <f t="shared" ref="AT272:AT348" si="260">IF($G272="711",$F272,0)</f>
        <v>0</v>
      </c>
      <c r="AU272" s="317">
        <f t="shared" ref="AU272:AU348" si="261">IF($H272="711",$F272,0)</f>
        <v>0</v>
      </c>
      <c r="AV272" s="317">
        <f t="shared" ref="AV272:AV348" si="262">IF($G272="811",$F272,0)</f>
        <v>0</v>
      </c>
      <c r="AW272" s="317">
        <f t="shared" ref="AW272:AW348" si="263">IF($H272="811",$F272,0)</f>
        <v>0</v>
      </c>
      <c r="AX272" s="317">
        <f t="shared" si="234"/>
        <v>0</v>
      </c>
      <c r="AY272" s="317">
        <f t="shared" si="235"/>
        <v>0</v>
      </c>
      <c r="AZ272" s="317">
        <f t="shared" si="236"/>
        <v>0</v>
      </c>
      <c r="BA272" s="317">
        <f t="shared" si="237"/>
        <v>0</v>
      </c>
    </row>
    <row r="273" spans="1:53" s="314" customFormat="1" ht="16.5" customHeight="1">
      <c r="A273" s="63" t="str">
        <f t="array" ref="A273">IF(C273&lt;&gt;0,SUM(($C$11:C273&lt;&gt;0)*1),"")</f>
        <v/>
      </c>
      <c r="B273" s="315"/>
      <c r="C273" s="315"/>
      <c r="D273" s="315"/>
      <c r="E273" s="432"/>
      <c r="F273" s="371"/>
      <c r="G273" s="373"/>
      <c r="H273" s="373"/>
      <c r="I273" s="63" t="str">
        <f t="shared" si="219"/>
        <v/>
      </c>
      <c r="J273" s="317">
        <f t="shared" si="226"/>
        <v>0</v>
      </c>
      <c r="K273" s="317">
        <f t="shared" si="227"/>
        <v>0</v>
      </c>
      <c r="L273" s="317">
        <f t="shared" si="238"/>
        <v>0</v>
      </c>
      <c r="M273" s="317">
        <f t="shared" si="239"/>
        <v>0</v>
      </c>
      <c r="N273" s="317">
        <f t="shared" si="220"/>
        <v>0</v>
      </c>
      <c r="O273" s="317">
        <f t="shared" si="221"/>
        <v>0</v>
      </c>
      <c r="P273" s="317">
        <f t="shared" si="240"/>
        <v>0</v>
      </c>
      <c r="Q273" s="317">
        <f t="shared" si="241"/>
        <v>0</v>
      </c>
      <c r="R273" s="317">
        <f t="shared" si="242"/>
        <v>0</v>
      </c>
      <c r="S273" s="317">
        <f t="shared" si="243"/>
        <v>0</v>
      </c>
      <c r="T273" s="317">
        <f t="shared" si="222"/>
        <v>0</v>
      </c>
      <c r="U273" s="317">
        <f t="shared" si="223"/>
        <v>0</v>
      </c>
      <c r="V273" s="317">
        <f t="shared" si="244"/>
        <v>0</v>
      </c>
      <c r="W273" s="317">
        <f t="shared" si="245"/>
        <v>0</v>
      </c>
      <c r="X273" s="317">
        <f t="shared" si="246"/>
        <v>0</v>
      </c>
      <c r="Y273" s="317">
        <f t="shared" si="247"/>
        <v>0</v>
      </c>
      <c r="Z273" s="317">
        <f t="shared" si="228"/>
        <v>0</v>
      </c>
      <c r="AA273" s="317">
        <f t="shared" si="229"/>
        <v>0</v>
      </c>
      <c r="AB273" s="317">
        <f t="shared" si="248"/>
        <v>0</v>
      </c>
      <c r="AC273" s="317">
        <f t="shared" si="249"/>
        <v>0</v>
      </c>
      <c r="AD273" s="317">
        <f t="shared" si="230"/>
        <v>0</v>
      </c>
      <c r="AE273" s="317">
        <f t="shared" si="231"/>
        <v>0</v>
      </c>
      <c r="AF273" s="317">
        <f t="shared" si="224"/>
        <v>0</v>
      </c>
      <c r="AG273" s="317">
        <f t="shared" si="225"/>
        <v>0</v>
      </c>
      <c r="AH273" s="317">
        <f t="shared" si="250"/>
        <v>0</v>
      </c>
      <c r="AI273" s="317">
        <f t="shared" si="251"/>
        <v>0</v>
      </c>
      <c r="AJ273" s="317">
        <f t="shared" si="252"/>
        <v>0</v>
      </c>
      <c r="AK273" s="317">
        <f t="shared" si="253"/>
        <v>0</v>
      </c>
      <c r="AL273" s="317">
        <f t="shared" si="254"/>
        <v>0</v>
      </c>
      <c r="AM273" s="317">
        <f t="shared" si="255"/>
        <v>0</v>
      </c>
      <c r="AN273" s="317">
        <f t="shared" si="256"/>
        <v>0</v>
      </c>
      <c r="AO273" s="317">
        <f t="shared" si="257"/>
        <v>0</v>
      </c>
      <c r="AP273" s="317">
        <f t="shared" si="258"/>
        <v>0</v>
      </c>
      <c r="AQ273" s="317">
        <f t="shared" si="259"/>
        <v>0</v>
      </c>
      <c r="AR273" s="317">
        <f t="shared" si="232"/>
        <v>0</v>
      </c>
      <c r="AS273" s="317">
        <f t="shared" si="233"/>
        <v>0</v>
      </c>
      <c r="AT273" s="317">
        <f t="shared" si="260"/>
        <v>0</v>
      </c>
      <c r="AU273" s="317">
        <f t="shared" si="261"/>
        <v>0</v>
      </c>
      <c r="AV273" s="317">
        <f t="shared" si="262"/>
        <v>0</v>
      </c>
      <c r="AW273" s="317">
        <f t="shared" si="263"/>
        <v>0</v>
      </c>
      <c r="AX273" s="317">
        <f t="shared" si="234"/>
        <v>0</v>
      </c>
      <c r="AY273" s="317">
        <f t="shared" si="235"/>
        <v>0</v>
      </c>
      <c r="AZ273" s="317">
        <f t="shared" si="236"/>
        <v>0</v>
      </c>
      <c r="BA273" s="317">
        <f t="shared" si="237"/>
        <v>0</v>
      </c>
    </row>
    <row r="274" spans="1:53" s="314" customFormat="1" ht="16.5" customHeight="1">
      <c r="A274" s="63" t="str">
        <f t="array" ref="A274">IF(C274&lt;&gt;0,SUM(($C$11:C274&lt;&gt;0)*1),"")</f>
        <v/>
      </c>
      <c r="B274" s="315"/>
      <c r="C274" s="315"/>
      <c r="D274" s="315"/>
      <c r="E274" s="432"/>
      <c r="F274" s="371"/>
      <c r="G274" s="373"/>
      <c r="H274" s="373"/>
      <c r="I274" s="63" t="str">
        <f t="shared" si="219"/>
        <v/>
      </c>
      <c r="J274" s="317">
        <f t="shared" si="226"/>
        <v>0</v>
      </c>
      <c r="K274" s="317">
        <f t="shared" si="227"/>
        <v>0</v>
      </c>
      <c r="L274" s="317">
        <f t="shared" si="238"/>
        <v>0</v>
      </c>
      <c r="M274" s="317">
        <f t="shared" si="239"/>
        <v>0</v>
      </c>
      <c r="N274" s="317">
        <f t="shared" si="220"/>
        <v>0</v>
      </c>
      <c r="O274" s="317">
        <f t="shared" si="221"/>
        <v>0</v>
      </c>
      <c r="P274" s="317">
        <f t="shared" si="240"/>
        <v>0</v>
      </c>
      <c r="Q274" s="317">
        <f t="shared" si="241"/>
        <v>0</v>
      </c>
      <c r="R274" s="317">
        <f t="shared" si="242"/>
        <v>0</v>
      </c>
      <c r="S274" s="317">
        <f t="shared" si="243"/>
        <v>0</v>
      </c>
      <c r="T274" s="317">
        <f t="shared" si="222"/>
        <v>0</v>
      </c>
      <c r="U274" s="317">
        <f t="shared" si="223"/>
        <v>0</v>
      </c>
      <c r="V274" s="317">
        <f t="shared" si="244"/>
        <v>0</v>
      </c>
      <c r="W274" s="317">
        <f t="shared" si="245"/>
        <v>0</v>
      </c>
      <c r="X274" s="317">
        <f t="shared" si="246"/>
        <v>0</v>
      </c>
      <c r="Y274" s="317">
        <f t="shared" si="247"/>
        <v>0</v>
      </c>
      <c r="Z274" s="317">
        <f t="shared" si="228"/>
        <v>0</v>
      </c>
      <c r="AA274" s="317">
        <f t="shared" si="229"/>
        <v>0</v>
      </c>
      <c r="AB274" s="317">
        <f t="shared" si="248"/>
        <v>0</v>
      </c>
      <c r="AC274" s="317">
        <f t="shared" si="249"/>
        <v>0</v>
      </c>
      <c r="AD274" s="317">
        <f t="shared" si="230"/>
        <v>0</v>
      </c>
      <c r="AE274" s="317">
        <f t="shared" si="231"/>
        <v>0</v>
      </c>
      <c r="AF274" s="317">
        <f t="shared" si="224"/>
        <v>0</v>
      </c>
      <c r="AG274" s="317">
        <f t="shared" si="225"/>
        <v>0</v>
      </c>
      <c r="AH274" s="317">
        <f t="shared" si="250"/>
        <v>0</v>
      </c>
      <c r="AI274" s="317">
        <f t="shared" si="251"/>
        <v>0</v>
      </c>
      <c r="AJ274" s="317">
        <f t="shared" si="252"/>
        <v>0</v>
      </c>
      <c r="AK274" s="317">
        <f t="shared" si="253"/>
        <v>0</v>
      </c>
      <c r="AL274" s="317">
        <f t="shared" si="254"/>
        <v>0</v>
      </c>
      <c r="AM274" s="317">
        <f t="shared" si="255"/>
        <v>0</v>
      </c>
      <c r="AN274" s="317">
        <f t="shared" si="256"/>
        <v>0</v>
      </c>
      <c r="AO274" s="317">
        <f t="shared" si="257"/>
        <v>0</v>
      </c>
      <c r="AP274" s="317">
        <f t="shared" si="258"/>
        <v>0</v>
      </c>
      <c r="AQ274" s="317">
        <f t="shared" si="259"/>
        <v>0</v>
      </c>
      <c r="AR274" s="317">
        <f t="shared" si="232"/>
        <v>0</v>
      </c>
      <c r="AS274" s="317">
        <f t="shared" si="233"/>
        <v>0</v>
      </c>
      <c r="AT274" s="317">
        <f t="shared" si="260"/>
        <v>0</v>
      </c>
      <c r="AU274" s="317">
        <f t="shared" si="261"/>
        <v>0</v>
      </c>
      <c r="AV274" s="317">
        <f t="shared" si="262"/>
        <v>0</v>
      </c>
      <c r="AW274" s="317">
        <f t="shared" si="263"/>
        <v>0</v>
      </c>
      <c r="AX274" s="317">
        <f t="shared" si="234"/>
        <v>0</v>
      </c>
      <c r="AY274" s="317">
        <f t="shared" si="235"/>
        <v>0</v>
      </c>
      <c r="AZ274" s="317">
        <f t="shared" si="236"/>
        <v>0</v>
      </c>
      <c r="BA274" s="317">
        <f t="shared" si="237"/>
        <v>0</v>
      </c>
    </row>
    <row r="275" spans="1:53" s="314" customFormat="1" ht="16.5" customHeight="1">
      <c r="A275" s="63" t="str">
        <f t="array" ref="A275">IF(C275&lt;&gt;0,SUM(($C$11:C275&lt;&gt;0)*1),"")</f>
        <v/>
      </c>
      <c r="B275" s="315"/>
      <c r="C275" s="315"/>
      <c r="D275" s="315"/>
      <c r="E275" s="432"/>
      <c r="F275" s="371"/>
      <c r="G275" s="373"/>
      <c r="H275" s="373"/>
      <c r="I275" s="63" t="str">
        <f t="shared" si="219"/>
        <v/>
      </c>
      <c r="J275" s="317">
        <f t="shared" si="226"/>
        <v>0</v>
      </c>
      <c r="K275" s="317">
        <f t="shared" si="227"/>
        <v>0</v>
      </c>
      <c r="L275" s="317">
        <f t="shared" si="238"/>
        <v>0</v>
      </c>
      <c r="M275" s="317">
        <f t="shared" si="239"/>
        <v>0</v>
      </c>
      <c r="N275" s="317">
        <f t="shared" si="220"/>
        <v>0</v>
      </c>
      <c r="O275" s="317">
        <f t="shared" si="221"/>
        <v>0</v>
      </c>
      <c r="P275" s="317">
        <f t="shared" si="240"/>
        <v>0</v>
      </c>
      <c r="Q275" s="317">
        <f t="shared" si="241"/>
        <v>0</v>
      </c>
      <c r="R275" s="317">
        <f t="shared" si="242"/>
        <v>0</v>
      </c>
      <c r="S275" s="317">
        <f t="shared" si="243"/>
        <v>0</v>
      </c>
      <c r="T275" s="317">
        <f t="shared" si="222"/>
        <v>0</v>
      </c>
      <c r="U275" s="317">
        <f t="shared" si="223"/>
        <v>0</v>
      </c>
      <c r="V275" s="317">
        <f t="shared" si="244"/>
        <v>0</v>
      </c>
      <c r="W275" s="317">
        <f t="shared" si="245"/>
        <v>0</v>
      </c>
      <c r="X275" s="317">
        <f t="shared" si="246"/>
        <v>0</v>
      </c>
      <c r="Y275" s="317">
        <f t="shared" si="247"/>
        <v>0</v>
      </c>
      <c r="Z275" s="317">
        <f t="shared" si="228"/>
        <v>0</v>
      </c>
      <c r="AA275" s="317">
        <f t="shared" si="229"/>
        <v>0</v>
      </c>
      <c r="AB275" s="317">
        <f t="shared" si="248"/>
        <v>0</v>
      </c>
      <c r="AC275" s="317">
        <f t="shared" si="249"/>
        <v>0</v>
      </c>
      <c r="AD275" s="317">
        <f t="shared" si="230"/>
        <v>0</v>
      </c>
      <c r="AE275" s="317">
        <f t="shared" si="231"/>
        <v>0</v>
      </c>
      <c r="AF275" s="317">
        <f t="shared" si="224"/>
        <v>0</v>
      </c>
      <c r="AG275" s="317">
        <f t="shared" si="225"/>
        <v>0</v>
      </c>
      <c r="AH275" s="317">
        <f t="shared" si="250"/>
        <v>0</v>
      </c>
      <c r="AI275" s="317">
        <f t="shared" si="251"/>
        <v>0</v>
      </c>
      <c r="AJ275" s="317">
        <f t="shared" si="252"/>
        <v>0</v>
      </c>
      <c r="AK275" s="317">
        <f t="shared" si="253"/>
        <v>0</v>
      </c>
      <c r="AL275" s="317">
        <f t="shared" si="254"/>
        <v>0</v>
      </c>
      <c r="AM275" s="317">
        <f t="shared" si="255"/>
        <v>0</v>
      </c>
      <c r="AN275" s="317">
        <f t="shared" si="256"/>
        <v>0</v>
      </c>
      <c r="AO275" s="317">
        <f t="shared" si="257"/>
        <v>0</v>
      </c>
      <c r="AP275" s="317">
        <f t="shared" si="258"/>
        <v>0</v>
      </c>
      <c r="AQ275" s="317">
        <f t="shared" si="259"/>
        <v>0</v>
      </c>
      <c r="AR275" s="317">
        <f t="shared" si="232"/>
        <v>0</v>
      </c>
      <c r="AS275" s="317">
        <f t="shared" si="233"/>
        <v>0</v>
      </c>
      <c r="AT275" s="317">
        <f t="shared" si="260"/>
        <v>0</v>
      </c>
      <c r="AU275" s="317">
        <f t="shared" si="261"/>
        <v>0</v>
      </c>
      <c r="AV275" s="317">
        <f t="shared" si="262"/>
        <v>0</v>
      </c>
      <c r="AW275" s="317">
        <f t="shared" si="263"/>
        <v>0</v>
      </c>
      <c r="AX275" s="317">
        <f t="shared" si="234"/>
        <v>0</v>
      </c>
      <c r="AY275" s="317">
        <f t="shared" si="235"/>
        <v>0</v>
      </c>
      <c r="AZ275" s="317">
        <f t="shared" si="236"/>
        <v>0</v>
      </c>
      <c r="BA275" s="317">
        <f t="shared" si="237"/>
        <v>0</v>
      </c>
    </row>
    <row r="276" spans="1:53" s="314" customFormat="1" ht="16.5" customHeight="1">
      <c r="A276" s="63" t="str">
        <f t="array" ref="A276">IF(C276&lt;&gt;0,SUM(($C$11:C276&lt;&gt;0)*1),"")</f>
        <v/>
      </c>
      <c r="B276" s="315"/>
      <c r="C276" s="315"/>
      <c r="D276" s="315"/>
      <c r="E276" s="432"/>
      <c r="F276" s="371"/>
      <c r="G276" s="373"/>
      <c r="H276" s="373"/>
      <c r="I276" s="63" t="str">
        <f t="shared" si="219"/>
        <v/>
      </c>
      <c r="J276" s="317">
        <f t="shared" si="226"/>
        <v>0</v>
      </c>
      <c r="K276" s="317">
        <f t="shared" si="227"/>
        <v>0</v>
      </c>
      <c r="L276" s="317">
        <f t="shared" si="238"/>
        <v>0</v>
      </c>
      <c r="M276" s="317">
        <f t="shared" si="239"/>
        <v>0</v>
      </c>
      <c r="N276" s="317">
        <f t="shared" si="220"/>
        <v>0</v>
      </c>
      <c r="O276" s="317">
        <f t="shared" si="221"/>
        <v>0</v>
      </c>
      <c r="P276" s="317">
        <f t="shared" si="240"/>
        <v>0</v>
      </c>
      <c r="Q276" s="317">
        <f t="shared" si="241"/>
        <v>0</v>
      </c>
      <c r="R276" s="317">
        <f t="shared" si="242"/>
        <v>0</v>
      </c>
      <c r="S276" s="317">
        <f t="shared" si="243"/>
        <v>0</v>
      </c>
      <c r="T276" s="317">
        <f t="shared" si="222"/>
        <v>0</v>
      </c>
      <c r="U276" s="317">
        <f t="shared" si="223"/>
        <v>0</v>
      </c>
      <c r="V276" s="317">
        <f t="shared" si="244"/>
        <v>0</v>
      </c>
      <c r="W276" s="317">
        <f t="shared" si="245"/>
        <v>0</v>
      </c>
      <c r="X276" s="317">
        <f t="shared" si="246"/>
        <v>0</v>
      </c>
      <c r="Y276" s="317">
        <f t="shared" si="247"/>
        <v>0</v>
      </c>
      <c r="Z276" s="317">
        <f t="shared" si="228"/>
        <v>0</v>
      </c>
      <c r="AA276" s="317">
        <f t="shared" si="229"/>
        <v>0</v>
      </c>
      <c r="AB276" s="317">
        <f t="shared" si="248"/>
        <v>0</v>
      </c>
      <c r="AC276" s="317">
        <f t="shared" si="249"/>
        <v>0</v>
      </c>
      <c r="AD276" s="317">
        <f t="shared" si="230"/>
        <v>0</v>
      </c>
      <c r="AE276" s="317">
        <f t="shared" si="231"/>
        <v>0</v>
      </c>
      <c r="AF276" s="317">
        <f t="shared" si="224"/>
        <v>0</v>
      </c>
      <c r="AG276" s="317">
        <f t="shared" si="225"/>
        <v>0</v>
      </c>
      <c r="AH276" s="317">
        <f t="shared" si="250"/>
        <v>0</v>
      </c>
      <c r="AI276" s="317">
        <f t="shared" si="251"/>
        <v>0</v>
      </c>
      <c r="AJ276" s="317">
        <f t="shared" si="252"/>
        <v>0</v>
      </c>
      <c r="AK276" s="317">
        <f t="shared" si="253"/>
        <v>0</v>
      </c>
      <c r="AL276" s="317">
        <f t="shared" si="254"/>
        <v>0</v>
      </c>
      <c r="AM276" s="317">
        <f t="shared" si="255"/>
        <v>0</v>
      </c>
      <c r="AN276" s="317">
        <f t="shared" si="256"/>
        <v>0</v>
      </c>
      <c r="AO276" s="317">
        <f t="shared" si="257"/>
        <v>0</v>
      </c>
      <c r="AP276" s="317">
        <f t="shared" si="258"/>
        <v>0</v>
      </c>
      <c r="AQ276" s="317">
        <f t="shared" si="259"/>
        <v>0</v>
      </c>
      <c r="AR276" s="317">
        <f t="shared" si="232"/>
        <v>0</v>
      </c>
      <c r="AS276" s="317">
        <f t="shared" si="233"/>
        <v>0</v>
      </c>
      <c r="AT276" s="317">
        <f t="shared" si="260"/>
        <v>0</v>
      </c>
      <c r="AU276" s="317">
        <f t="shared" si="261"/>
        <v>0</v>
      </c>
      <c r="AV276" s="317">
        <f t="shared" si="262"/>
        <v>0</v>
      </c>
      <c r="AW276" s="317">
        <f t="shared" si="263"/>
        <v>0</v>
      </c>
      <c r="AX276" s="317">
        <f t="shared" si="234"/>
        <v>0</v>
      </c>
      <c r="AY276" s="317">
        <f t="shared" si="235"/>
        <v>0</v>
      </c>
      <c r="AZ276" s="317">
        <f t="shared" si="236"/>
        <v>0</v>
      </c>
      <c r="BA276" s="317">
        <f t="shared" si="237"/>
        <v>0</v>
      </c>
    </row>
    <row r="277" spans="1:53" s="314" customFormat="1" ht="16.5" customHeight="1">
      <c r="A277" s="63" t="str">
        <f t="array" ref="A277">IF(C277&lt;&gt;0,SUM(($C$11:C277&lt;&gt;0)*1),"")</f>
        <v/>
      </c>
      <c r="B277" s="315"/>
      <c r="C277" s="315"/>
      <c r="D277" s="315"/>
      <c r="E277" s="432"/>
      <c r="F277" s="371"/>
      <c r="G277" s="373"/>
      <c r="H277" s="373"/>
      <c r="I277" s="63" t="str">
        <f t="shared" si="219"/>
        <v/>
      </c>
      <c r="J277" s="317">
        <f t="shared" si="226"/>
        <v>0</v>
      </c>
      <c r="K277" s="317">
        <f t="shared" si="227"/>
        <v>0</v>
      </c>
      <c r="L277" s="317">
        <f t="shared" si="238"/>
        <v>0</v>
      </c>
      <c r="M277" s="317">
        <f t="shared" si="239"/>
        <v>0</v>
      </c>
      <c r="N277" s="317">
        <f t="shared" si="220"/>
        <v>0</v>
      </c>
      <c r="O277" s="317">
        <f t="shared" si="221"/>
        <v>0</v>
      </c>
      <c r="P277" s="317">
        <f t="shared" si="240"/>
        <v>0</v>
      </c>
      <c r="Q277" s="317">
        <f t="shared" si="241"/>
        <v>0</v>
      </c>
      <c r="R277" s="317">
        <f t="shared" si="242"/>
        <v>0</v>
      </c>
      <c r="S277" s="317">
        <f t="shared" si="243"/>
        <v>0</v>
      </c>
      <c r="T277" s="317">
        <f t="shared" si="222"/>
        <v>0</v>
      </c>
      <c r="U277" s="317">
        <f t="shared" si="223"/>
        <v>0</v>
      </c>
      <c r="V277" s="317">
        <f t="shared" si="244"/>
        <v>0</v>
      </c>
      <c r="W277" s="317">
        <f t="shared" si="245"/>
        <v>0</v>
      </c>
      <c r="X277" s="317">
        <f t="shared" si="246"/>
        <v>0</v>
      </c>
      <c r="Y277" s="317">
        <f t="shared" si="247"/>
        <v>0</v>
      </c>
      <c r="Z277" s="317">
        <f t="shared" si="228"/>
        <v>0</v>
      </c>
      <c r="AA277" s="317">
        <f t="shared" si="229"/>
        <v>0</v>
      </c>
      <c r="AB277" s="317">
        <f t="shared" si="248"/>
        <v>0</v>
      </c>
      <c r="AC277" s="317">
        <f t="shared" si="249"/>
        <v>0</v>
      </c>
      <c r="AD277" s="317">
        <f t="shared" si="230"/>
        <v>0</v>
      </c>
      <c r="AE277" s="317">
        <f t="shared" si="231"/>
        <v>0</v>
      </c>
      <c r="AF277" s="317">
        <f t="shared" si="224"/>
        <v>0</v>
      </c>
      <c r="AG277" s="317">
        <f t="shared" si="225"/>
        <v>0</v>
      </c>
      <c r="AH277" s="317">
        <f t="shared" si="250"/>
        <v>0</v>
      </c>
      <c r="AI277" s="317">
        <f t="shared" si="251"/>
        <v>0</v>
      </c>
      <c r="AJ277" s="317">
        <f t="shared" si="252"/>
        <v>0</v>
      </c>
      <c r="AK277" s="317">
        <f t="shared" si="253"/>
        <v>0</v>
      </c>
      <c r="AL277" s="317">
        <f t="shared" si="254"/>
        <v>0</v>
      </c>
      <c r="AM277" s="317">
        <f t="shared" si="255"/>
        <v>0</v>
      </c>
      <c r="AN277" s="317">
        <f t="shared" si="256"/>
        <v>0</v>
      </c>
      <c r="AO277" s="317">
        <f t="shared" si="257"/>
        <v>0</v>
      </c>
      <c r="AP277" s="317">
        <f t="shared" si="258"/>
        <v>0</v>
      </c>
      <c r="AQ277" s="317">
        <f t="shared" si="259"/>
        <v>0</v>
      </c>
      <c r="AR277" s="317">
        <f t="shared" si="232"/>
        <v>0</v>
      </c>
      <c r="AS277" s="317">
        <f t="shared" si="233"/>
        <v>0</v>
      </c>
      <c r="AT277" s="317">
        <f t="shared" si="260"/>
        <v>0</v>
      </c>
      <c r="AU277" s="317">
        <f t="shared" si="261"/>
        <v>0</v>
      </c>
      <c r="AV277" s="317">
        <f t="shared" si="262"/>
        <v>0</v>
      </c>
      <c r="AW277" s="317">
        <f t="shared" si="263"/>
        <v>0</v>
      </c>
      <c r="AX277" s="317">
        <f t="shared" si="234"/>
        <v>0</v>
      </c>
      <c r="AY277" s="317">
        <f t="shared" si="235"/>
        <v>0</v>
      </c>
      <c r="AZ277" s="317">
        <f t="shared" si="236"/>
        <v>0</v>
      </c>
      <c r="BA277" s="317">
        <f t="shared" si="237"/>
        <v>0</v>
      </c>
    </row>
    <row r="278" spans="1:53" s="314" customFormat="1" ht="16.5" customHeight="1">
      <c r="A278" s="63" t="str">
        <f t="array" ref="A278">IF(C278&lt;&gt;0,SUM(($C$11:C278&lt;&gt;0)*1),"")</f>
        <v/>
      </c>
      <c r="B278" s="315"/>
      <c r="C278" s="315"/>
      <c r="D278" s="315"/>
      <c r="E278" s="432"/>
      <c r="F278" s="371"/>
      <c r="G278" s="373"/>
      <c r="H278" s="373"/>
      <c r="I278" s="63" t="str">
        <f t="shared" si="219"/>
        <v/>
      </c>
      <c r="J278" s="317">
        <f t="shared" si="226"/>
        <v>0</v>
      </c>
      <c r="K278" s="317">
        <f t="shared" si="227"/>
        <v>0</v>
      </c>
      <c r="L278" s="317">
        <f t="shared" si="238"/>
        <v>0</v>
      </c>
      <c r="M278" s="317">
        <f t="shared" si="239"/>
        <v>0</v>
      </c>
      <c r="N278" s="317">
        <f t="shared" si="220"/>
        <v>0</v>
      </c>
      <c r="O278" s="317">
        <f t="shared" si="221"/>
        <v>0</v>
      </c>
      <c r="P278" s="317">
        <f t="shared" si="240"/>
        <v>0</v>
      </c>
      <c r="Q278" s="317">
        <f t="shared" si="241"/>
        <v>0</v>
      </c>
      <c r="R278" s="317">
        <f t="shared" si="242"/>
        <v>0</v>
      </c>
      <c r="S278" s="317">
        <f t="shared" si="243"/>
        <v>0</v>
      </c>
      <c r="T278" s="317">
        <f t="shared" si="222"/>
        <v>0</v>
      </c>
      <c r="U278" s="317">
        <f t="shared" si="223"/>
        <v>0</v>
      </c>
      <c r="V278" s="317">
        <f t="shared" si="244"/>
        <v>0</v>
      </c>
      <c r="W278" s="317">
        <f t="shared" si="245"/>
        <v>0</v>
      </c>
      <c r="X278" s="317">
        <f t="shared" si="246"/>
        <v>0</v>
      </c>
      <c r="Y278" s="317">
        <f t="shared" si="247"/>
        <v>0</v>
      </c>
      <c r="Z278" s="317">
        <f t="shared" si="228"/>
        <v>0</v>
      </c>
      <c r="AA278" s="317">
        <f t="shared" si="229"/>
        <v>0</v>
      </c>
      <c r="AB278" s="317">
        <f t="shared" si="248"/>
        <v>0</v>
      </c>
      <c r="AC278" s="317">
        <f t="shared" si="249"/>
        <v>0</v>
      </c>
      <c r="AD278" s="317">
        <f t="shared" si="230"/>
        <v>0</v>
      </c>
      <c r="AE278" s="317">
        <f t="shared" si="231"/>
        <v>0</v>
      </c>
      <c r="AF278" s="317">
        <f t="shared" si="224"/>
        <v>0</v>
      </c>
      <c r="AG278" s="317">
        <f t="shared" si="225"/>
        <v>0</v>
      </c>
      <c r="AH278" s="317">
        <f t="shared" si="250"/>
        <v>0</v>
      </c>
      <c r="AI278" s="317">
        <f t="shared" si="251"/>
        <v>0</v>
      </c>
      <c r="AJ278" s="317">
        <f t="shared" si="252"/>
        <v>0</v>
      </c>
      <c r="AK278" s="317">
        <f t="shared" si="253"/>
        <v>0</v>
      </c>
      <c r="AL278" s="317">
        <f t="shared" si="254"/>
        <v>0</v>
      </c>
      <c r="AM278" s="317">
        <f t="shared" si="255"/>
        <v>0</v>
      </c>
      <c r="AN278" s="317">
        <f t="shared" si="256"/>
        <v>0</v>
      </c>
      <c r="AO278" s="317">
        <f t="shared" si="257"/>
        <v>0</v>
      </c>
      <c r="AP278" s="317">
        <f t="shared" si="258"/>
        <v>0</v>
      </c>
      <c r="AQ278" s="317">
        <f t="shared" si="259"/>
        <v>0</v>
      </c>
      <c r="AR278" s="317">
        <f t="shared" si="232"/>
        <v>0</v>
      </c>
      <c r="AS278" s="317">
        <f t="shared" si="233"/>
        <v>0</v>
      </c>
      <c r="AT278" s="317">
        <f t="shared" si="260"/>
        <v>0</v>
      </c>
      <c r="AU278" s="317">
        <f t="shared" si="261"/>
        <v>0</v>
      </c>
      <c r="AV278" s="317">
        <f t="shared" si="262"/>
        <v>0</v>
      </c>
      <c r="AW278" s="317">
        <f t="shared" si="263"/>
        <v>0</v>
      </c>
      <c r="AX278" s="317">
        <f t="shared" si="234"/>
        <v>0</v>
      </c>
      <c r="AY278" s="317">
        <f t="shared" si="235"/>
        <v>0</v>
      </c>
      <c r="AZ278" s="317">
        <f t="shared" si="236"/>
        <v>0</v>
      </c>
      <c r="BA278" s="317">
        <f t="shared" si="237"/>
        <v>0</v>
      </c>
    </row>
    <row r="279" spans="1:53" s="314" customFormat="1" ht="16.5" customHeight="1">
      <c r="A279" s="63" t="str">
        <f t="array" ref="A279">IF(C279&lt;&gt;0,SUM(($C$11:C279&lt;&gt;0)*1),"")</f>
        <v/>
      </c>
      <c r="B279" s="315"/>
      <c r="C279" s="315"/>
      <c r="D279" s="315"/>
      <c r="E279" s="432"/>
      <c r="F279" s="371"/>
      <c r="G279" s="373"/>
      <c r="H279" s="373"/>
      <c r="I279" s="63" t="str">
        <f t="shared" si="219"/>
        <v/>
      </c>
      <c r="J279" s="317">
        <f t="shared" si="226"/>
        <v>0</v>
      </c>
      <c r="K279" s="317">
        <f t="shared" si="227"/>
        <v>0</v>
      </c>
      <c r="L279" s="317">
        <f t="shared" si="238"/>
        <v>0</v>
      </c>
      <c r="M279" s="317">
        <f t="shared" si="239"/>
        <v>0</v>
      </c>
      <c r="N279" s="317">
        <f t="shared" si="220"/>
        <v>0</v>
      </c>
      <c r="O279" s="317">
        <f t="shared" si="221"/>
        <v>0</v>
      </c>
      <c r="P279" s="317">
        <f t="shared" si="240"/>
        <v>0</v>
      </c>
      <c r="Q279" s="317">
        <f t="shared" si="241"/>
        <v>0</v>
      </c>
      <c r="R279" s="317">
        <f t="shared" si="242"/>
        <v>0</v>
      </c>
      <c r="S279" s="317">
        <f t="shared" si="243"/>
        <v>0</v>
      </c>
      <c r="T279" s="317">
        <f t="shared" si="222"/>
        <v>0</v>
      </c>
      <c r="U279" s="317">
        <f t="shared" si="223"/>
        <v>0</v>
      </c>
      <c r="V279" s="317">
        <f t="shared" si="244"/>
        <v>0</v>
      </c>
      <c r="W279" s="317">
        <f t="shared" si="245"/>
        <v>0</v>
      </c>
      <c r="X279" s="317">
        <f t="shared" si="246"/>
        <v>0</v>
      </c>
      <c r="Y279" s="317">
        <f t="shared" si="247"/>
        <v>0</v>
      </c>
      <c r="Z279" s="317">
        <f t="shared" si="228"/>
        <v>0</v>
      </c>
      <c r="AA279" s="317">
        <f t="shared" si="229"/>
        <v>0</v>
      </c>
      <c r="AB279" s="317">
        <f t="shared" si="248"/>
        <v>0</v>
      </c>
      <c r="AC279" s="317">
        <f t="shared" si="249"/>
        <v>0</v>
      </c>
      <c r="AD279" s="317">
        <f t="shared" si="230"/>
        <v>0</v>
      </c>
      <c r="AE279" s="317">
        <f t="shared" si="231"/>
        <v>0</v>
      </c>
      <c r="AF279" s="317">
        <f t="shared" si="224"/>
        <v>0</v>
      </c>
      <c r="AG279" s="317">
        <f t="shared" si="225"/>
        <v>0</v>
      </c>
      <c r="AH279" s="317">
        <f t="shared" si="250"/>
        <v>0</v>
      </c>
      <c r="AI279" s="317">
        <f t="shared" si="251"/>
        <v>0</v>
      </c>
      <c r="AJ279" s="317">
        <f t="shared" si="252"/>
        <v>0</v>
      </c>
      <c r="AK279" s="317">
        <f t="shared" si="253"/>
        <v>0</v>
      </c>
      <c r="AL279" s="317">
        <f t="shared" si="254"/>
        <v>0</v>
      </c>
      <c r="AM279" s="317">
        <f t="shared" si="255"/>
        <v>0</v>
      </c>
      <c r="AN279" s="317">
        <f t="shared" si="256"/>
        <v>0</v>
      </c>
      <c r="AO279" s="317">
        <f t="shared" si="257"/>
        <v>0</v>
      </c>
      <c r="AP279" s="317">
        <f t="shared" si="258"/>
        <v>0</v>
      </c>
      <c r="AQ279" s="317">
        <f t="shared" si="259"/>
        <v>0</v>
      </c>
      <c r="AR279" s="317">
        <f t="shared" si="232"/>
        <v>0</v>
      </c>
      <c r="AS279" s="317">
        <f t="shared" si="233"/>
        <v>0</v>
      </c>
      <c r="AT279" s="317">
        <f t="shared" si="260"/>
        <v>0</v>
      </c>
      <c r="AU279" s="317">
        <f t="shared" si="261"/>
        <v>0</v>
      </c>
      <c r="AV279" s="317">
        <f t="shared" si="262"/>
        <v>0</v>
      </c>
      <c r="AW279" s="317">
        <f t="shared" si="263"/>
        <v>0</v>
      </c>
      <c r="AX279" s="317">
        <f t="shared" si="234"/>
        <v>0</v>
      </c>
      <c r="AY279" s="317">
        <f t="shared" si="235"/>
        <v>0</v>
      </c>
      <c r="AZ279" s="317">
        <f t="shared" si="236"/>
        <v>0</v>
      </c>
      <c r="BA279" s="317">
        <f t="shared" si="237"/>
        <v>0</v>
      </c>
    </row>
    <row r="280" spans="1:53" s="314" customFormat="1" ht="16.5" customHeight="1">
      <c r="A280" s="63" t="str">
        <f t="array" ref="A280">IF(C280&lt;&gt;0,SUM(($C$11:C280&lt;&gt;0)*1),"")</f>
        <v/>
      </c>
      <c r="B280" s="315"/>
      <c r="C280" s="315"/>
      <c r="D280" s="315"/>
      <c r="E280" s="432"/>
      <c r="F280" s="371"/>
      <c r="G280" s="373"/>
      <c r="H280" s="373"/>
      <c r="I280" s="63" t="str">
        <f t="shared" si="219"/>
        <v/>
      </c>
      <c r="J280" s="317">
        <f t="shared" si="226"/>
        <v>0</v>
      </c>
      <c r="K280" s="317">
        <f t="shared" si="227"/>
        <v>0</v>
      </c>
      <c r="L280" s="317">
        <f t="shared" si="238"/>
        <v>0</v>
      </c>
      <c r="M280" s="317">
        <f t="shared" si="239"/>
        <v>0</v>
      </c>
      <c r="N280" s="317">
        <f t="shared" si="220"/>
        <v>0</v>
      </c>
      <c r="O280" s="317">
        <f t="shared" si="221"/>
        <v>0</v>
      </c>
      <c r="P280" s="317">
        <f t="shared" si="240"/>
        <v>0</v>
      </c>
      <c r="Q280" s="317">
        <f t="shared" si="241"/>
        <v>0</v>
      </c>
      <c r="R280" s="317">
        <f t="shared" si="242"/>
        <v>0</v>
      </c>
      <c r="S280" s="317">
        <f t="shared" si="243"/>
        <v>0</v>
      </c>
      <c r="T280" s="317">
        <f t="shared" si="222"/>
        <v>0</v>
      </c>
      <c r="U280" s="317">
        <f t="shared" si="223"/>
        <v>0</v>
      </c>
      <c r="V280" s="317">
        <f t="shared" si="244"/>
        <v>0</v>
      </c>
      <c r="W280" s="317">
        <f t="shared" si="245"/>
        <v>0</v>
      </c>
      <c r="X280" s="317">
        <f t="shared" si="246"/>
        <v>0</v>
      </c>
      <c r="Y280" s="317">
        <f t="shared" si="247"/>
        <v>0</v>
      </c>
      <c r="Z280" s="317">
        <f t="shared" si="228"/>
        <v>0</v>
      </c>
      <c r="AA280" s="317">
        <f t="shared" si="229"/>
        <v>0</v>
      </c>
      <c r="AB280" s="317">
        <f t="shared" si="248"/>
        <v>0</v>
      </c>
      <c r="AC280" s="317">
        <f t="shared" si="249"/>
        <v>0</v>
      </c>
      <c r="AD280" s="317">
        <f t="shared" si="230"/>
        <v>0</v>
      </c>
      <c r="AE280" s="317">
        <f t="shared" si="231"/>
        <v>0</v>
      </c>
      <c r="AF280" s="317">
        <f t="shared" si="224"/>
        <v>0</v>
      </c>
      <c r="AG280" s="317">
        <f t="shared" si="225"/>
        <v>0</v>
      </c>
      <c r="AH280" s="317">
        <f t="shared" si="250"/>
        <v>0</v>
      </c>
      <c r="AI280" s="317">
        <f t="shared" si="251"/>
        <v>0</v>
      </c>
      <c r="AJ280" s="317">
        <f t="shared" si="252"/>
        <v>0</v>
      </c>
      <c r="AK280" s="317">
        <f t="shared" si="253"/>
        <v>0</v>
      </c>
      <c r="AL280" s="317">
        <f t="shared" si="254"/>
        <v>0</v>
      </c>
      <c r="AM280" s="317">
        <f t="shared" si="255"/>
        <v>0</v>
      </c>
      <c r="AN280" s="317">
        <f t="shared" si="256"/>
        <v>0</v>
      </c>
      <c r="AO280" s="317">
        <f t="shared" si="257"/>
        <v>0</v>
      </c>
      <c r="AP280" s="317">
        <f t="shared" si="258"/>
        <v>0</v>
      </c>
      <c r="AQ280" s="317">
        <f t="shared" si="259"/>
        <v>0</v>
      </c>
      <c r="AR280" s="317">
        <f t="shared" si="232"/>
        <v>0</v>
      </c>
      <c r="AS280" s="317">
        <f t="shared" si="233"/>
        <v>0</v>
      </c>
      <c r="AT280" s="317">
        <f t="shared" si="260"/>
        <v>0</v>
      </c>
      <c r="AU280" s="317">
        <f t="shared" si="261"/>
        <v>0</v>
      </c>
      <c r="AV280" s="317">
        <f t="shared" si="262"/>
        <v>0</v>
      </c>
      <c r="AW280" s="317">
        <f t="shared" si="263"/>
        <v>0</v>
      </c>
      <c r="AX280" s="317">
        <f t="shared" si="234"/>
        <v>0</v>
      </c>
      <c r="AY280" s="317">
        <f t="shared" si="235"/>
        <v>0</v>
      </c>
      <c r="AZ280" s="317">
        <f t="shared" si="236"/>
        <v>0</v>
      </c>
      <c r="BA280" s="317">
        <f t="shared" si="237"/>
        <v>0</v>
      </c>
    </row>
    <row r="281" spans="1:53" s="314" customFormat="1" ht="16.5" customHeight="1">
      <c r="A281" s="63" t="str">
        <f t="array" ref="A281">IF(C281&lt;&gt;0,SUM(($C$11:C281&lt;&gt;0)*1),"")</f>
        <v/>
      </c>
      <c r="B281" s="315"/>
      <c r="C281" s="315"/>
      <c r="D281" s="315"/>
      <c r="E281" s="432"/>
      <c r="F281" s="371"/>
      <c r="G281" s="373"/>
      <c r="H281" s="373"/>
      <c r="I281" s="63" t="str">
        <f t="shared" si="219"/>
        <v/>
      </c>
      <c r="J281" s="317">
        <f t="shared" si="226"/>
        <v>0</v>
      </c>
      <c r="K281" s="317">
        <f t="shared" si="227"/>
        <v>0</v>
      </c>
      <c r="L281" s="317">
        <f t="shared" si="238"/>
        <v>0</v>
      </c>
      <c r="M281" s="317">
        <f t="shared" si="239"/>
        <v>0</v>
      </c>
      <c r="N281" s="317">
        <f t="shared" si="220"/>
        <v>0</v>
      </c>
      <c r="O281" s="317">
        <f t="shared" si="221"/>
        <v>0</v>
      </c>
      <c r="P281" s="317">
        <f t="shared" si="240"/>
        <v>0</v>
      </c>
      <c r="Q281" s="317">
        <f t="shared" si="241"/>
        <v>0</v>
      </c>
      <c r="R281" s="317">
        <f t="shared" si="242"/>
        <v>0</v>
      </c>
      <c r="S281" s="317">
        <f t="shared" si="243"/>
        <v>0</v>
      </c>
      <c r="T281" s="317">
        <f t="shared" si="222"/>
        <v>0</v>
      </c>
      <c r="U281" s="317">
        <f t="shared" si="223"/>
        <v>0</v>
      </c>
      <c r="V281" s="317">
        <f t="shared" si="244"/>
        <v>0</v>
      </c>
      <c r="W281" s="317">
        <f t="shared" si="245"/>
        <v>0</v>
      </c>
      <c r="X281" s="317">
        <f t="shared" si="246"/>
        <v>0</v>
      </c>
      <c r="Y281" s="317">
        <f t="shared" si="247"/>
        <v>0</v>
      </c>
      <c r="Z281" s="317">
        <f t="shared" si="228"/>
        <v>0</v>
      </c>
      <c r="AA281" s="317">
        <f t="shared" si="229"/>
        <v>0</v>
      </c>
      <c r="AB281" s="317">
        <f t="shared" si="248"/>
        <v>0</v>
      </c>
      <c r="AC281" s="317">
        <f t="shared" si="249"/>
        <v>0</v>
      </c>
      <c r="AD281" s="317">
        <f t="shared" si="230"/>
        <v>0</v>
      </c>
      <c r="AE281" s="317">
        <f t="shared" si="231"/>
        <v>0</v>
      </c>
      <c r="AF281" s="317">
        <f t="shared" si="224"/>
        <v>0</v>
      </c>
      <c r="AG281" s="317">
        <f t="shared" si="225"/>
        <v>0</v>
      </c>
      <c r="AH281" s="317">
        <f t="shared" si="250"/>
        <v>0</v>
      </c>
      <c r="AI281" s="317">
        <f t="shared" si="251"/>
        <v>0</v>
      </c>
      <c r="AJ281" s="317">
        <f t="shared" si="252"/>
        <v>0</v>
      </c>
      <c r="AK281" s="317">
        <f t="shared" si="253"/>
        <v>0</v>
      </c>
      <c r="AL281" s="317">
        <f t="shared" si="254"/>
        <v>0</v>
      </c>
      <c r="AM281" s="317">
        <f t="shared" si="255"/>
        <v>0</v>
      </c>
      <c r="AN281" s="317">
        <f t="shared" si="256"/>
        <v>0</v>
      </c>
      <c r="AO281" s="317">
        <f t="shared" si="257"/>
        <v>0</v>
      </c>
      <c r="AP281" s="317">
        <f t="shared" si="258"/>
        <v>0</v>
      </c>
      <c r="AQ281" s="317">
        <f t="shared" si="259"/>
        <v>0</v>
      </c>
      <c r="AR281" s="317">
        <f t="shared" si="232"/>
        <v>0</v>
      </c>
      <c r="AS281" s="317">
        <f t="shared" si="233"/>
        <v>0</v>
      </c>
      <c r="AT281" s="317">
        <f t="shared" si="260"/>
        <v>0</v>
      </c>
      <c r="AU281" s="317">
        <f t="shared" si="261"/>
        <v>0</v>
      </c>
      <c r="AV281" s="317">
        <f t="shared" si="262"/>
        <v>0</v>
      </c>
      <c r="AW281" s="317">
        <f t="shared" si="263"/>
        <v>0</v>
      </c>
      <c r="AX281" s="317">
        <f t="shared" si="234"/>
        <v>0</v>
      </c>
      <c r="AY281" s="317">
        <f t="shared" si="235"/>
        <v>0</v>
      </c>
      <c r="AZ281" s="317">
        <f t="shared" si="236"/>
        <v>0</v>
      </c>
      <c r="BA281" s="317">
        <f t="shared" si="237"/>
        <v>0</v>
      </c>
    </row>
    <row r="282" spans="1:53" s="314" customFormat="1" ht="16.5" customHeight="1">
      <c r="A282" s="63" t="str">
        <f t="array" ref="A282">IF(C282&lt;&gt;0,SUM(($C$11:C282&lt;&gt;0)*1),"")</f>
        <v/>
      </c>
      <c r="B282" s="315"/>
      <c r="C282" s="315"/>
      <c r="D282" s="315"/>
      <c r="E282" s="432"/>
      <c r="F282" s="371"/>
      <c r="G282" s="373"/>
      <c r="H282" s="373"/>
      <c r="I282" s="63" t="str">
        <f t="shared" si="219"/>
        <v/>
      </c>
      <c r="J282" s="317">
        <f t="shared" si="226"/>
        <v>0</v>
      </c>
      <c r="K282" s="317">
        <f t="shared" si="227"/>
        <v>0</v>
      </c>
      <c r="L282" s="317">
        <f t="shared" si="238"/>
        <v>0</v>
      </c>
      <c r="M282" s="317">
        <f t="shared" si="239"/>
        <v>0</v>
      </c>
      <c r="N282" s="317">
        <f t="shared" si="220"/>
        <v>0</v>
      </c>
      <c r="O282" s="317">
        <f t="shared" si="221"/>
        <v>0</v>
      </c>
      <c r="P282" s="317">
        <f t="shared" si="240"/>
        <v>0</v>
      </c>
      <c r="Q282" s="317">
        <f t="shared" si="241"/>
        <v>0</v>
      </c>
      <c r="R282" s="317">
        <f t="shared" si="242"/>
        <v>0</v>
      </c>
      <c r="S282" s="317">
        <f t="shared" si="243"/>
        <v>0</v>
      </c>
      <c r="T282" s="317">
        <f t="shared" si="222"/>
        <v>0</v>
      </c>
      <c r="U282" s="317">
        <f t="shared" si="223"/>
        <v>0</v>
      </c>
      <c r="V282" s="317">
        <f t="shared" si="244"/>
        <v>0</v>
      </c>
      <c r="W282" s="317">
        <f t="shared" si="245"/>
        <v>0</v>
      </c>
      <c r="X282" s="317">
        <f t="shared" si="246"/>
        <v>0</v>
      </c>
      <c r="Y282" s="317">
        <f t="shared" si="247"/>
        <v>0</v>
      </c>
      <c r="Z282" s="317">
        <f t="shared" si="228"/>
        <v>0</v>
      </c>
      <c r="AA282" s="317">
        <f t="shared" si="229"/>
        <v>0</v>
      </c>
      <c r="AB282" s="317">
        <f t="shared" si="248"/>
        <v>0</v>
      </c>
      <c r="AC282" s="317">
        <f t="shared" si="249"/>
        <v>0</v>
      </c>
      <c r="AD282" s="317">
        <f t="shared" si="230"/>
        <v>0</v>
      </c>
      <c r="AE282" s="317">
        <f t="shared" si="231"/>
        <v>0</v>
      </c>
      <c r="AF282" s="317">
        <f t="shared" si="224"/>
        <v>0</v>
      </c>
      <c r="AG282" s="317">
        <f t="shared" si="225"/>
        <v>0</v>
      </c>
      <c r="AH282" s="317">
        <f t="shared" si="250"/>
        <v>0</v>
      </c>
      <c r="AI282" s="317">
        <f t="shared" si="251"/>
        <v>0</v>
      </c>
      <c r="AJ282" s="317">
        <f t="shared" si="252"/>
        <v>0</v>
      </c>
      <c r="AK282" s="317">
        <f t="shared" si="253"/>
        <v>0</v>
      </c>
      <c r="AL282" s="317">
        <f t="shared" si="254"/>
        <v>0</v>
      </c>
      <c r="AM282" s="317">
        <f t="shared" si="255"/>
        <v>0</v>
      </c>
      <c r="AN282" s="317">
        <f t="shared" si="256"/>
        <v>0</v>
      </c>
      <c r="AO282" s="317">
        <f t="shared" si="257"/>
        <v>0</v>
      </c>
      <c r="AP282" s="317">
        <f t="shared" si="258"/>
        <v>0</v>
      </c>
      <c r="AQ282" s="317">
        <f t="shared" si="259"/>
        <v>0</v>
      </c>
      <c r="AR282" s="317">
        <f t="shared" si="232"/>
        <v>0</v>
      </c>
      <c r="AS282" s="317">
        <f t="shared" si="233"/>
        <v>0</v>
      </c>
      <c r="AT282" s="317">
        <f t="shared" si="260"/>
        <v>0</v>
      </c>
      <c r="AU282" s="317">
        <f t="shared" si="261"/>
        <v>0</v>
      </c>
      <c r="AV282" s="317">
        <f t="shared" si="262"/>
        <v>0</v>
      </c>
      <c r="AW282" s="317">
        <f t="shared" si="263"/>
        <v>0</v>
      </c>
      <c r="AX282" s="317">
        <f t="shared" si="234"/>
        <v>0</v>
      </c>
      <c r="AY282" s="317">
        <f t="shared" si="235"/>
        <v>0</v>
      </c>
      <c r="AZ282" s="317">
        <f t="shared" si="236"/>
        <v>0</v>
      </c>
      <c r="BA282" s="317">
        <f t="shared" si="237"/>
        <v>0</v>
      </c>
    </row>
    <row r="283" spans="1:53" s="314" customFormat="1" ht="16.5" customHeight="1">
      <c r="A283" s="63" t="str">
        <f t="array" ref="A283">IF(C283&lt;&gt;0,SUM(($C$11:C283&lt;&gt;0)*1),"")</f>
        <v/>
      </c>
      <c r="B283" s="315"/>
      <c r="C283" s="315"/>
      <c r="D283" s="315"/>
      <c r="E283" s="432"/>
      <c r="F283" s="371"/>
      <c r="G283" s="373"/>
      <c r="H283" s="373"/>
      <c r="I283" s="63" t="str">
        <f t="shared" si="219"/>
        <v/>
      </c>
      <c r="J283" s="317">
        <f t="shared" si="226"/>
        <v>0</v>
      </c>
      <c r="K283" s="317">
        <f t="shared" si="227"/>
        <v>0</v>
      </c>
      <c r="L283" s="317">
        <f t="shared" si="238"/>
        <v>0</v>
      </c>
      <c r="M283" s="317">
        <f t="shared" si="239"/>
        <v>0</v>
      </c>
      <c r="N283" s="317">
        <f t="shared" si="220"/>
        <v>0</v>
      </c>
      <c r="O283" s="317">
        <f t="shared" si="221"/>
        <v>0</v>
      </c>
      <c r="P283" s="317">
        <f t="shared" si="240"/>
        <v>0</v>
      </c>
      <c r="Q283" s="317">
        <f t="shared" si="241"/>
        <v>0</v>
      </c>
      <c r="R283" s="317">
        <f t="shared" si="242"/>
        <v>0</v>
      </c>
      <c r="S283" s="317">
        <f t="shared" si="243"/>
        <v>0</v>
      </c>
      <c r="T283" s="317">
        <f t="shared" si="222"/>
        <v>0</v>
      </c>
      <c r="U283" s="317">
        <f t="shared" si="223"/>
        <v>0</v>
      </c>
      <c r="V283" s="317">
        <f t="shared" si="244"/>
        <v>0</v>
      </c>
      <c r="W283" s="317">
        <f t="shared" si="245"/>
        <v>0</v>
      </c>
      <c r="X283" s="317">
        <f t="shared" si="246"/>
        <v>0</v>
      </c>
      <c r="Y283" s="317">
        <f t="shared" si="247"/>
        <v>0</v>
      </c>
      <c r="Z283" s="317">
        <f t="shared" si="228"/>
        <v>0</v>
      </c>
      <c r="AA283" s="317">
        <f t="shared" si="229"/>
        <v>0</v>
      </c>
      <c r="AB283" s="317">
        <f t="shared" si="248"/>
        <v>0</v>
      </c>
      <c r="AC283" s="317">
        <f t="shared" si="249"/>
        <v>0</v>
      </c>
      <c r="AD283" s="317">
        <f t="shared" si="230"/>
        <v>0</v>
      </c>
      <c r="AE283" s="317">
        <f t="shared" si="231"/>
        <v>0</v>
      </c>
      <c r="AF283" s="317">
        <f t="shared" si="224"/>
        <v>0</v>
      </c>
      <c r="AG283" s="317">
        <f t="shared" si="225"/>
        <v>0</v>
      </c>
      <c r="AH283" s="317">
        <f t="shared" si="250"/>
        <v>0</v>
      </c>
      <c r="AI283" s="317">
        <f t="shared" si="251"/>
        <v>0</v>
      </c>
      <c r="AJ283" s="317">
        <f t="shared" si="252"/>
        <v>0</v>
      </c>
      <c r="AK283" s="317">
        <f t="shared" si="253"/>
        <v>0</v>
      </c>
      <c r="AL283" s="317">
        <f t="shared" si="254"/>
        <v>0</v>
      </c>
      <c r="AM283" s="317">
        <f t="shared" si="255"/>
        <v>0</v>
      </c>
      <c r="AN283" s="317">
        <f t="shared" si="256"/>
        <v>0</v>
      </c>
      <c r="AO283" s="317">
        <f t="shared" si="257"/>
        <v>0</v>
      </c>
      <c r="AP283" s="317">
        <f t="shared" si="258"/>
        <v>0</v>
      </c>
      <c r="AQ283" s="317">
        <f t="shared" si="259"/>
        <v>0</v>
      </c>
      <c r="AR283" s="317">
        <f t="shared" si="232"/>
        <v>0</v>
      </c>
      <c r="AS283" s="317">
        <f t="shared" si="233"/>
        <v>0</v>
      </c>
      <c r="AT283" s="317">
        <f t="shared" si="260"/>
        <v>0</v>
      </c>
      <c r="AU283" s="317">
        <f t="shared" si="261"/>
        <v>0</v>
      </c>
      <c r="AV283" s="317">
        <f t="shared" si="262"/>
        <v>0</v>
      </c>
      <c r="AW283" s="317">
        <f t="shared" si="263"/>
        <v>0</v>
      </c>
      <c r="AX283" s="317">
        <f t="shared" si="234"/>
        <v>0</v>
      </c>
      <c r="AY283" s="317">
        <f t="shared" si="235"/>
        <v>0</v>
      </c>
      <c r="AZ283" s="317">
        <f t="shared" si="236"/>
        <v>0</v>
      </c>
      <c r="BA283" s="317">
        <f t="shared" si="237"/>
        <v>0</v>
      </c>
    </row>
    <row r="284" spans="1:53" s="314" customFormat="1" ht="16.5" customHeight="1">
      <c r="A284" s="63" t="str">
        <f t="array" ref="A284">IF(C284&lt;&gt;0,SUM(($C$11:C284&lt;&gt;0)*1),"")</f>
        <v/>
      </c>
      <c r="B284" s="315"/>
      <c r="C284" s="315"/>
      <c r="D284" s="315"/>
      <c r="E284" s="432"/>
      <c r="F284" s="371"/>
      <c r="G284" s="373"/>
      <c r="H284" s="373"/>
      <c r="I284" s="63" t="str">
        <f t="shared" si="219"/>
        <v/>
      </c>
      <c r="J284" s="317">
        <f t="shared" si="226"/>
        <v>0</v>
      </c>
      <c r="K284" s="317">
        <f t="shared" si="227"/>
        <v>0</v>
      </c>
      <c r="L284" s="317">
        <f t="shared" si="238"/>
        <v>0</v>
      </c>
      <c r="M284" s="317">
        <f t="shared" si="239"/>
        <v>0</v>
      </c>
      <c r="N284" s="317">
        <f t="shared" si="220"/>
        <v>0</v>
      </c>
      <c r="O284" s="317">
        <f t="shared" si="221"/>
        <v>0</v>
      </c>
      <c r="P284" s="317">
        <f t="shared" si="240"/>
        <v>0</v>
      </c>
      <c r="Q284" s="317">
        <f t="shared" si="241"/>
        <v>0</v>
      </c>
      <c r="R284" s="317">
        <f t="shared" si="242"/>
        <v>0</v>
      </c>
      <c r="S284" s="317">
        <f t="shared" si="243"/>
        <v>0</v>
      </c>
      <c r="T284" s="317">
        <f t="shared" si="222"/>
        <v>0</v>
      </c>
      <c r="U284" s="317">
        <f t="shared" si="223"/>
        <v>0</v>
      </c>
      <c r="V284" s="317">
        <f t="shared" si="244"/>
        <v>0</v>
      </c>
      <c r="W284" s="317">
        <f t="shared" si="245"/>
        <v>0</v>
      </c>
      <c r="X284" s="317">
        <f t="shared" si="246"/>
        <v>0</v>
      </c>
      <c r="Y284" s="317">
        <f t="shared" si="247"/>
        <v>0</v>
      </c>
      <c r="Z284" s="317">
        <f t="shared" si="228"/>
        <v>0</v>
      </c>
      <c r="AA284" s="317">
        <f t="shared" si="229"/>
        <v>0</v>
      </c>
      <c r="AB284" s="317">
        <f t="shared" si="248"/>
        <v>0</v>
      </c>
      <c r="AC284" s="317">
        <f t="shared" si="249"/>
        <v>0</v>
      </c>
      <c r="AD284" s="317">
        <f t="shared" si="230"/>
        <v>0</v>
      </c>
      <c r="AE284" s="317">
        <f t="shared" si="231"/>
        <v>0</v>
      </c>
      <c r="AF284" s="317">
        <f t="shared" si="224"/>
        <v>0</v>
      </c>
      <c r="AG284" s="317">
        <f t="shared" si="225"/>
        <v>0</v>
      </c>
      <c r="AH284" s="317">
        <f t="shared" si="250"/>
        <v>0</v>
      </c>
      <c r="AI284" s="317">
        <f t="shared" si="251"/>
        <v>0</v>
      </c>
      <c r="AJ284" s="317">
        <f t="shared" si="252"/>
        <v>0</v>
      </c>
      <c r="AK284" s="317">
        <f t="shared" si="253"/>
        <v>0</v>
      </c>
      <c r="AL284" s="317">
        <f t="shared" si="254"/>
        <v>0</v>
      </c>
      <c r="AM284" s="317">
        <f t="shared" si="255"/>
        <v>0</v>
      </c>
      <c r="AN284" s="317">
        <f t="shared" si="256"/>
        <v>0</v>
      </c>
      <c r="AO284" s="317">
        <f t="shared" si="257"/>
        <v>0</v>
      </c>
      <c r="AP284" s="317">
        <f t="shared" si="258"/>
        <v>0</v>
      </c>
      <c r="AQ284" s="317">
        <f t="shared" si="259"/>
        <v>0</v>
      </c>
      <c r="AR284" s="317">
        <f t="shared" si="232"/>
        <v>0</v>
      </c>
      <c r="AS284" s="317">
        <f t="shared" si="233"/>
        <v>0</v>
      </c>
      <c r="AT284" s="317">
        <f t="shared" si="260"/>
        <v>0</v>
      </c>
      <c r="AU284" s="317">
        <f t="shared" si="261"/>
        <v>0</v>
      </c>
      <c r="AV284" s="317">
        <f t="shared" si="262"/>
        <v>0</v>
      </c>
      <c r="AW284" s="317">
        <f t="shared" si="263"/>
        <v>0</v>
      </c>
      <c r="AX284" s="317">
        <f t="shared" si="234"/>
        <v>0</v>
      </c>
      <c r="AY284" s="317">
        <f t="shared" si="235"/>
        <v>0</v>
      </c>
      <c r="AZ284" s="317">
        <f t="shared" si="236"/>
        <v>0</v>
      </c>
      <c r="BA284" s="317">
        <f t="shared" si="237"/>
        <v>0</v>
      </c>
    </row>
    <row r="285" spans="1:53" s="314" customFormat="1" ht="16.5" customHeight="1">
      <c r="A285" s="63" t="str">
        <f t="array" ref="A285">IF(C285&lt;&gt;0,SUM(($C$11:C285&lt;&gt;0)*1),"")</f>
        <v/>
      </c>
      <c r="B285" s="315"/>
      <c r="C285" s="315"/>
      <c r="D285" s="315"/>
      <c r="E285" s="432"/>
      <c r="F285" s="371"/>
      <c r="G285" s="373"/>
      <c r="H285" s="373"/>
      <c r="I285" s="63" t="str">
        <f t="shared" si="219"/>
        <v/>
      </c>
      <c r="J285" s="317">
        <f t="shared" si="226"/>
        <v>0</v>
      </c>
      <c r="K285" s="317">
        <f t="shared" si="227"/>
        <v>0</v>
      </c>
      <c r="L285" s="317">
        <f t="shared" si="238"/>
        <v>0</v>
      </c>
      <c r="M285" s="317">
        <f t="shared" si="239"/>
        <v>0</v>
      </c>
      <c r="N285" s="317">
        <f t="shared" si="220"/>
        <v>0</v>
      </c>
      <c r="O285" s="317">
        <f t="shared" si="221"/>
        <v>0</v>
      </c>
      <c r="P285" s="317">
        <f t="shared" si="240"/>
        <v>0</v>
      </c>
      <c r="Q285" s="317">
        <f t="shared" si="241"/>
        <v>0</v>
      </c>
      <c r="R285" s="317">
        <f t="shared" si="242"/>
        <v>0</v>
      </c>
      <c r="S285" s="317">
        <f t="shared" si="243"/>
        <v>0</v>
      </c>
      <c r="T285" s="317">
        <f t="shared" si="222"/>
        <v>0</v>
      </c>
      <c r="U285" s="317">
        <f t="shared" si="223"/>
        <v>0</v>
      </c>
      <c r="V285" s="317">
        <f t="shared" si="244"/>
        <v>0</v>
      </c>
      <c r="W285" s="317">
        <f t="shared" si="245"/>
        <v>0</v>
      </c>
      <c r="X285" s="317">
        <f t="shared" si="246"/>
        <v>0</v>
      </c>
      <c r="Y285" s="317">
        <f t="shared" si="247"/>
        <v>0</v>
      </c>
      <c r="Z285" s="317">
        <f t="shared" si="228"/>
        <v>0</v>
      </c>
      <c r="AA285" s="317">
        <f t="shared" si="229"/>
        <v>0</v>
      </c>
      <c r="AB285" s="317">
        <f t="shared" si="248"/>
        <v>0</v>
      </c>
      <c r="AC285" s="317">
        <f t="shared" si="249"/>
        <v>0</v>
      </c>
      <c r="AD285" s="317">
        <f t="shared" si="230"/>
        <v>0</v>
      </c>
      <c r="AE285" s="317">
        <f t="shared" si="231"/>
        <v>0</v>
      </c>
      <c r="AF285" s="317">
        <f t="shared" si="224"/>
        <v>0</v>
      </c>
      <c r="AG285" s="317">
        <f t="shared" si="225"/>
        <v>0</v>
      </c>
      <c r="AH285" s="317">
        <f t="shared" si="250"/>
        <v>0</v>
      </c>
      <c r="AI285" s="317">
        <f t="shared" si="251"/>
        <v>0</v>
      </c>
      <c r="AJ285" s="317">
        <f t="shared" si="252"/>
        <v>0</v>
      </c>
      <c r="AK285" s="317">
        <f t="shared" si="253"/>
        <v>0</v>
      </c>
      <c r="AL285" s="317">
        <f t="shared" si="254"/>
        <v>0</v>
      </c>
      <c r="AM285" s="317">
        <f t="shared" si="255"/>
        <v>0</v>
      </c>
      <c r="AN285" s="317">
        <f t="shared" si="256"/>
        <v>0</v>
      </c>
      <c r="AO285" s="317">
        <f t="shared" si="257"/>
        <v>0</v>
      </c>
      <c r="AP285" s="317">
        <f t="shared" si="258"/>
        <v>0</v>
      </c>
      <c r="AQ285" s="317">
        <f t="shared" si="259"/>
        <v>0</v>
      </c>
      <c r="AR285" s="317">
        <f t="shared" si="232"/>
        <v>0</v>
      </c>
      <c r="AS285" s="317">
        <f t="shared" si="233"/>
        <v>0</v>
      </c>
      <c r="AT285" s="317">
        <f t="shared" si="260"/>
        <v>0</v>
      </c>
      <c r="AU285" s="317">
        <f t="shared" si="261"/>
        <v>0</v>
      </c>
      <c r="AV285" s="317">
        <f t="shared" si="262"/>
        <v>0</v>
      </c>
      <c r="AW285" s="317">
        <f t="shared" si="263"/>
        <v>0</v>
      </c>
      <c r="AX285" s="317">
        <f t="shared" si="234"/>
        <v>0</v>
      </c>
      <c r="AY285" s="317">
        <f t="shared" si="235"/>
        <v>0</v>
      </c>
      <c r="AZ285" s="317">
        <f t="shared" si="236"/>
        <v>0</v>
      </c>
      <c r="BA285" s="317">
        <f t="shared" si="237"/>
        <v>0</v>
      </c>
    </row>
    <row r="286" spans="1:53" s="314" customFormat="1" ht="16.5" customHeight="1">
      <c r="A286" s="63" t="str">
        <f t="array" ref="A286">IF(C286&lt;&gt;0,SUM(($C$11:C286&lt;&gt;0)*1),"")</f>
        <v/>
      </c>
      <c r="B286" s="315"/>
      <c r="C286" s="315"/>
      <c r="D286" s="315"/>
      <c r="E286" s="432"/>
      <c r="F286" s="371"/>
      <c r="G286" s="373"/>
      <c r="H286" s="373"/>
      <c r="I286" s="63" t="str">
        <f t="shared" si="219"/>
        <v/>
      </c>
      <c r="J286" s="317">
        <f t="shared" si="226"/>
        <v>0</v>
      </c>
      <c r="K286" s="317">
        <f t="shared" si="227"/>
        <v>0</v>
      </c>
      <c r="L286" s="317">
        <f t="shared" si="238"/>
        <v>0</v>
      </c>
      <c r="M286" s="317">
        <f t="shared" si="239"/>
        <v>0</v>
      </c>
      <c r="N286" s="317">
        <f t="shared" si="220"/>
        <v>0</v>
      </c>
      <c r="O286" s="317">
        <f t="shared" si="221"/>
        <v>0</v>
      </c>
      <c r="P286" s="317">
        <f t="shared" si="240"/>
        <v>0</v>
      </c>
      <c r="Q286" s="317">
        <f t="shared" si="241"/>
        <v>0</v>
      </c>
      <c r="R286" s="317">
        <f t="shared" si="242"/>
        <v>0</v>
      </c>
      <c r="S286" s="317">
        <f t="shared" si="243"/>
        <v>0</v>
      </c>
      <c r="T286" s="317">
        <f t="shared" si="222"/>
        <v>0</v>
      </c>
      <c r="U286" s="317">
        <f t="shared" si="223"/>
        <v>0</v>
      </c>
      <c r="V286" s="317">
        <f t="shared" si="244"/>
        <v>0</v>
      </c>
      <c r="W286" s="317">
        <f t="shared" si="245"/>
        <v>0</v>
      </c>
      <c r="X286" s="317">
        <f t="shared" si="246"/>
        <v>0</v>
      </c>
      <c r="Y286" s="317">
        <f t="shared" si="247"/>
        <v>0</v>
      </c>
      <c r="Z286" s="317">
        <f t="shared" si="228"/>
        <v>0</v>
      </c>
      <c r="AA286" s="317">
        <f t="shared" si="229"/>
        <v>0</v>
      </c>
      <c r="AB286" s="317">
        <f t="shared" si="248"/>
        <v>0</v>
      </c>
      <c r="AC286" s="317">
        <f t="shared" si="249"/>
        <v>0</v>
      </c>
      <c r="AD286" s="317">
        <f t="shared" si="230"/>
        <v>0</v>
      </c>
      <c r="AE286" s="317">
        <f t="shared" si="231"/>
        <v>0</v>
      </c>
      <c r="AF286" s="317">
        <f t="shared" si="224"/>
        <v>0</v>
      </c>
      <c r="AG286" s="317">
        <f t="shared" si="225"/>
        <v>0</v>
      </c>
      <c r="AH286" s="317">
        <f t="shared" si="250"/>
        <v>0</v>
      </c>
      <c r="AI286" s="317">
        <f t="shared" si="251"/>
        <v>0</v>
      </c>
      <c r="AJ286" s="317">
        <f t="shared" si="252"/>
        <v>0</v>
      </c>
      <c r="AK286" s="317">
        <f t="shared" si="253"/>
        <v>0</v>
      </c>
      <c r="AL286" s="317">
        <f t="shared" si="254"/>
        <v>0</v>
      </c>
      <c r="AM286" s="317">
        <f t="shared" si="255"/>
        <v>0</v>
      </c>
      <c r="AN286" s="317">
        <f t="shared" si="256"/>
        <v>0</v>
      </c>
      <c r="AO286" s="317">
        <f t="shared" si="257"/>
        <v>0</v>
      </c>
      <c r="AP286" s="317">
        <f t="shared" si="258"/>
        <v>0</v>
      </c>
      <c r="AQ286" s="317">
        <f t="shared" si="259"/>
        <v>0</v>
      </c>
      <c r="AR286" s="317">
        <f t="shared" si="232"/>
        <v>0</v>
      </c>
      <c r="AS286" s="317">
        <f t="shared" si="233"/>
        <v>0</v>
      </c>
      <c r="AT286" s="317">
        <f t="shared" si="260"/>
        <v>0</v>
      </c>
      <c r="AU286" s="317">
        <f t="shared" si="261"/>
        <v>0</v>
      </c>
      <c r="AV286" s="317">
        <f t="shared" si="262"/>
        <v>0</v>
      </c>
      <c r="AW286" s="317">
        <f t="shared" si="263"/>
        <v>0</v>
      </c>
      <c r="AX286" s="317">
        <f t="shared" si="234"/>
        <v>0</v>
      </c>
      <c r="AY286" s="317">
        <f t="shared" si="235"/>
        <v>0</v>
      </c>
      <c r="AZ286" s="317">
        <f t="shared" si="236"/>
        <v>0</v>
      </c>
      <c r="BA286" s="317">
        <f t="shared" si="237"/>
        <v>0</v>
      </c>
    </row>
    <row r="287" spans="1:53" s="314" customFormat="1" ht="16.5" customHeight="1">
      <c r="A287" s="63" t="str">
        <f t="array" ref="A287">IF(C287&lt;&gt;0,SUM(($C$11:C287&lt;&gt;0)*1),"")</f>
        <v/>
      </c>
      <c r="B287" s="315"/>
      <c r="C287" s="315"/>
      <c r="D287" s="315"/>
      <c r="E287" s="432"/>
      <c r="F287" s="371"/>
      <c r="G287" s="373"/>
      <c r="H287" s="373"/>
      <c r="I287" s="63" t="str">
        <f t="shared" si="219"/>
        <v/>
      </c>
      <c r="J287" s="317">
        <f t="shared" si="226"/>
        <v>0</v>
      </c>
      <c r="K287" s="317">
        <f t="shared" si="227"/>
        <v>0</v>
      </c>
      <c r="L287" s="317">
        <f t="shared" si="238"/>
        <v>0</v>
      </c>
      <c r="M287" s="317">
        <f t="shared" si="239"/>
        <v>0</v>
      </c>
      <c r="N287" s="317">
        <f t="shared" si="220"/>
        <v>0</v>
      </c>
      <c r="O287" s="317">
        <f t="shared" si="221"/>
        <v>0</v>
      </c>
      <c r="P287" s="317">
        <f t="shared" si="240"/>
        <v>0</v>
      </c>
      <c r="Q287" s="317">
        <f t="shared" si="241"/>
        <v>0</v>
      </c>
      <c r="R287" s="317">
        <f t="shared" si="242"/>
        <v>0</v>
      </c>
      <c r="S287" s="317">
        <f t="shared" si="243"/>
        <v>0</v>
      </c>
      <c r="T287" s="317">
        <f t="shared" si="222"/>
        <v>0</v>
      </c>
      <c r="U287" s="317">
        <f t="shared" si="223"/>
        <v>0</v>
      </c>
      <c r="V287" s="317">
        <f t="shared" si="244"/>
        <v>0</v>
      </c>
      <c r="W287" s="317">
        <f t="shared" si="245"/>
        <v>0</v>
      </c>
      <c r="X287" s="317">
        <f t="shared" si="246"/>
        <v>0</v>
      </c>
      <c r="Y287" s="317">
        <f t="shared" si="247"/>
        <v>0</v>
      </c>
      <c r="Z287" s="317">
        <f t="shared" si="228"/>
        <v>0</v>
      </c>
      <c r="AA287" s="317">
        <f t="shared" si="229"/>
        <v>0</v>
      </c>
      <c r="AB287" s="317">
        <f t="shared" si="248"/>
        <v>0</v>
      </c>
      <c r="AC287" s="317">
        <f t="shared" si="249"/>
        <v>0</v>
      </c>
      <c r="AD287" s="317">
        <f t="shared" si="230"/>
        <v>0</v>
      </c>
      <c r="AE287" s="317">
        <f t="shared" si="231"/>
        <v>0</v>
      </c>
      <c r="AF287" s="317">
        <f t="shared" si="224"/>
        <v>0</v>
      </c>
      <c r="AG287" s="317">
        <f t="shared" si="225"/>
        <v>0</v>
      </c>
      <c r="AH287" s="317">
        <f t="shared" si="250"/>
        <v>0</v>
      </c>
      <c r="AI287" s="317">
        <f t="shared" si="251"/>
        <v>0</v>
      </c>
      <c r="AJ287" s="317">
        <f t="shared" si="252"/>
        <v>0</v>
      </c>
      <c r="AK287" s="317">
        <f t="shared" si="253"/>
        <v>0</v>
      </c>
      <c r="AL287" s="317">
        <f t="shared" si="254"/>
        <v>0</v>
      </c>
      <c r="AM287" s="317">
        <f t="shared" si="255"/>
        <v>0</v>
      </c>
      <c r="AN287" s="317">
        <f t="shared" si="256"/>
        <v>0</v>
      </c>
      <c r="AO287" s="317">
        <f t="shared" si="257"/>
        <v>0</v>
      </c>
      <c r="AP287" s="317">
        <f t="shared" si="258"/>
        <v>0</v>
      </c>
      <c r="AQ287" s="317">
        <f t="shared" si="259"/>
        <v>0</v>
      </c>
      <c r="AR287" s="317">
        <f t="shared" si="232"/>
        <v>0</v>
      </c>
      <c r="AS287" s="317">
        <f t="shared" si="233"/>
        <v>0</v>
      </c>
      <c r="AT287" s="317">
        <f t="shared" si="260"/>
        <v>0</v>
      </c>
      <c r="AU287" s="317">
        <f t="shared" si="261"/>
        <v>0</v>
      </c>
      <c r="AV287" s="317">
        <f t="shared" si="262"/>
        <v>0</v>
      </c>
      <c r="AW287" s="317">
        <f t="shared" si="263"/>
        <v>0</v>
      </c>
      <c r="AX287" s="317">
        <f t="shared" si="234"/>
        <v>0</v>
      </c>
      <c r="AY287" s="317">
        <f t="shared" si="235"/>
        <v>0</v>
      </c>
      <c r="AZ287" s="317">
        <f t="shared" si="236"/>
        <v>0</v>
      </c>
      <c r="BA287" s="317">
        <f t="shared" si="237"/>
        <v>0</v>
      </c>
    </row>
    <row r="288" spans="1:53" s="314" customFormat="1" ht="16.5" customHeight="1">
      <c r="A288" s="63" t="str">
        <f t="array" ref="A288">IF(C288&lt;&gt;0,SUM(($C$11:C288&lt;&gt;0)*1),"")</f>
        <v/>
      </c>
      <c r="B288" s="315"/>
      <c r="C288" s="315"/>
      <c r="D288" s="315"/>
      <c r="E288" s="432"/>
      <c r="F288" s="371"/>
      <c r="G288" s="373"/>
      <c r="H288" s="373"/>
      <c r="I288" s="63" t="str">
        <f t="shared" si="219"/>
        <v/>
      </c>
      <c r="J288" s="317">
        <f t="shared" si="226"/>
        <v>0</v>
      </c>
      <c r="K288" s="317">
        <f t="shared" si="227"/>
        <v>0</v>
      </c>
      <c r="L288" s="317">
        <f t="shared" si="238"/>
        <v>0</v>
      </c>
      <c r="M288" s="317">
        <f t="shared" si="239"/>
        <v>0</v>
      </c>
      <c r="N288" s="317">
        <f t="shared" si="220"/>
        <v>0</v>
      </c>
      <c r="O288" s="317">
        <f t="shared" si="221"/>
        <v>0</v>
      </c>
      <c r="P288" s="317">
        <f t="shared" si="240"/>
        <v>0</v>
      </c>
      <c r="Q288" s="317">
        <f t="shared" si="241"/>
        <v>0</v>
      </c>
      <c r="R288" s="317">
        <f t="shared" si="242"/>
        <v>0</v>
      </c>
      <c r="S288" s="317">
        <f t="shared" si="243"/>
        <v>0</v>
      </c>
      <c r="T288" s="317">
        <f t="shared" si="222"/>
        <v>0</v>
      </c>
      <c r="U288" s="317">
        <f t="shared" si="223"/>
        <v>0</v>
      </c>
      <c r="V288" s="317">
        <f t="shared" si="244"/>
        <v>0</v>
      </c>
      <c r="W288" s="317">
        <f t="shared" si="245"/>
        <v>0</v>
      </c>
      <c r="X288" s="317">
        <f t="shared" si="246"/>
        <v>0</v>
      </c>
      <c r="Y288" s="317">
        <f t="shared" si="247"/>
        <v>0</v>
      </c>
      <c r="Z288" s="317">
        <f t="shared" si="228"/>
        <v>0</v>
      </c>
      <c r="AA288" s="317">
        <f t="shared" si="229"/>
        <v>0</v>
      </c>
      <c r="AB288" s="317">
        <f t="shared" si="248"/>
        <v>0</v>
      </c>
      <c r="AC288" s="317">
        <f t="shared" si="249"/>
        <v>0</v>
      </c>
      <c r="AD288" s="317">
        <f t="shared" si="230"/>
        <v>0</v>
      </c>
      <c r="AE288" s="317">
        <f t="shared" si="231"/>
        <v>0</v>
      </c>
      <c r="AF288" s="317">
        <f t="shared" si="224"/>
        <v>0</v>
      </c>
      <c r="AG288" s="317">
        <f t="shared" si="225"/>
        <v>0</v>
      </c>
      <c r="AH288" s="317">
        <f t="shared" si="250"/>
        <v>0</v>
      </c>
      <c r="AI288" s="317">
        <f t="shared" si="251"/>
        <v>0</v>
      </c>
      <c r="AJ288" s="317">
        <f t="shared" si="252"/>
        <v>0</v>
      </c>
      <c r="AK288" s="317">
        <f t="shared" si="253"/>
        <v>0</v>
      </c>
      <c r="AL288" s="317">
        <f t="shared" si="254"/>
        <v>0</v>
      </c>
      <c r="AM288" s="317">
        <f t="shared" si="255"/>
        <v>0</v>
      </c>
      <c r="AN288" s="317">
        <f t="shared" si="256"/>
        <v>0</v>
      </c>
      <c r="AO288" s="317">
        <f t="shared" si="257"/>
        <v>0</v>
      </c>
      <c r="AP288" s="317">
        <f t="shared" si="258"/>
        <v>0</v>
      </c>
      <c r="AQ288" s="317">
        <f t="shared" si="259"/>
        <v>0</v>
      </c>
      <c r="AR288" s="317">
        <f t="shared" si="232"/>
        <v>0</v>
      </c>
      <c r="AS288" s="317">
        <f t="shared" si="233"/>
        <v>0</v>
      </c>
      <c r="AT288" s="317">
        <f t="shared" si="260"/>
        <v>0</v>
      </c>
      <c r="AU288" s="317">
        <f t="shared" si="261"/>
        <v>0</v>
      </c>
      <c r="AV288" s="317">
        <f t="shared" si="262"/>
        <v>0</v>
      </c>
      <c r="AW288" s="317">
        <f t="shared" si="263"/>
        <v>0</v>
      </c>
      <c r="AX288" s="317">
        <f t="shared" si="234"/>
        <v>0</v>
      </c>
      <c r="AY288" s="317">
        <f t="shared" si="235"/>
        <v>0</v>
      </c>
      <c r="AZ288" s="317">
        <f t="shared" si="236"/>
        <v>0</v>
      </c>
      <c r="BA288" s="317">
        <f t="shared" si="237"/>
        <v>0</v>
      </c>
    </row>
    <row r="289" spans="1:53" s="314" customFormat="1" ht="16.5" customHeight="1">
      <c r="A289" s="63" t="str">
        <f t="array" ref="A289">IF(C289&lt;&gt;0,SUM(($C$11:C289&lt;&gt;0)*1),"")</f>
        <v/>
      </c>
      <c r="B289" s="315"/>
      <c r="C289" s="315"/>
      <c r="D289" s="315"/>
      <c r="E289" s="432"/>
      <c r="F289" s="371"/>
      <c r="G289" s="373"/>
      <c r="H289" s="373"/>
      <c r="I289" s="63" t="str">
        <f t="shared" si="219"/>
        <v/>
      </c>
      <c r="J289" s="317">
        <f t="shared" si="226"/>
        <v>0</v>
      </c>
      <c r="K289" s="317">
        <f t="shared" si="227"/>
        <v>0</v>
      </c>
      <c r="L289" s="317">
        <f t="shared" si="238"/>
        <v>0</v>
      </c>
      <c r="M289" s="317">
        <f t="shared" si="239"/>
        <v>0</v>
      </c>
      <c r="N289" s="317">
        <f t="shared" si="220"/>
        <v>0</v>
      </c>
      <c r="O289" s="317">
        <f t="shared" si="221"/>
        <v>0</v>
      </c>
      <c r="P289" s="317">
        <f t="shared" si="240"/>
        <v>0</v>
      </c>
      <c r="Q289" s="317">
        <f t="shared" si="241"/>
        <v>0</v>
      </c>
      <c r="R289" s="317">
        <f t="shared" si="242"/>
        <v>0</v>
      </c>
      <c r="S289" s="317">
        <f t="shared" si="243"/>
        <v>0</v>
      </c>
      <c r="T289" s="317">
        <f t="shared" si="222"/>
        <v>0</v>
      </c>
      <c r="U289" s="317">
        <f t="shared" si="223"/>
        <v>0</v>
      </c>
      <c r="V289" s="317">
        <f t="shared" si="244"/>
        <v>0</v>
      </c>
      <c r="W289" s="317">
        <f t="shared" si="245"/>
        <v>0</v>
      </c>
      <c r="X289" s="317">
        <f t="shared" si="246"/>
        <v>0</v>
      </c>
      <c r="Y289" s="317">
        <f t="shared" si="247"/>
        <v>0</v>
      </c>
      <c r="Z289" s="317">
        <f t="shared" si="228"/>
        <v>0</v>
      </c>
      <c r="AA289" s="317">
        <f t="shared" si="229"/>
        <v>0</v>
      </c>
      <c r="AB289" s="317">
        <f t="shared" si="248"/>
        <v>0</v>
      </c>
      <c r="AC289" s="317">
        <f t="shared" si="249"/>
        <v>0</v>
      </c>
      <c r="AD289" s="317">
        <f t="shared" si="230"/>
        <v>0</v>
      </c>
      <c r="AE289" s="317">
        <f t="shared" si="231"/>
        <v>0</v>
      </c>
      <c r="AF289" s="317">
        <f t="shared" si="224"/>
        <v>0</v>
      </c>
      <c r="AG289" s="317">
        <f t="shared" si="225"/>
        <v>0</v>
      </c>
      <c r="AH289" s="317">
        <f t="shared" si="250"/>
        <v>0</v>
      </c>
      <c r="AI289" s="317">
        <f t="shared" si="251"/>
        <v>0</v>
      </c>
      <c r="AJ289" s="317">
        <f t="shared" si="252"/>
        <v>0</v>
      </c>
      <c r="AK289" s="317">
        <f t="shared" si="253"/>
        <v>0</v>
      </c>
      <c r="AL289" s="317">
        <f t="shared" si="254"/>
        <v>0</v>
      </c>
      <c r="AM289" s="317">
        <f t="shared" si="255"/>
        <v>0</v>
      </c>
      <c r="AN289" s="317">
        <f t="shared" si="256"/>
        <v>0</v>
      </c>
      <c r="AO289" s="317">
        <f t="shared" si="257"/>
        <v>0</v>
      </c>
      <c r="AP289" s="317">
        <f t="shared" si="258"/>
        <v>0</v>
      </c>
      <c r="AQ289" s="317">
        <f t="shared" si="259"/>
        <v>0</v>
      </c>
      <c r="AR289" s="317">
        <f t="shared" si="232"/>
        <v>0</v>
      </c>
      <c r="AS289" s="317">
        <f t="shared" si="233"/>
        <v>0</v>
      </c>
      <c r="AT289" s="317">
        <f t="shared" si="260"/>
        <v>0</v>
      </c>
      <c r="AU289" s="317">
        <f t="shared" si="261"/>
        <v>0</v>
      </c>
      <c r="AV289" s="317">
        <f t="shared" si="262"/>
        <v>0</v>
      </c>
      <c r="AW289" s="317">
        <f t="shared" si="263"/>
        <v>0</v>
      </c>
      <c r="AX289" s="317">
        <f t="shared" si="234"/>
        <v>0</v>
      </c>
      <c r="AY289" s="317">
        <f t="shared" si="235"/>
        <v>0</v>
      </c>
      <c r="AZ289" s="317">
        <f t="shared" si="236"/>
        <v>0</v>
      </c>
      <c r="BA289" s="317">
        <f t="shared" si="237"/>
        <v>0</v>
      </c>
    </row>
    <row r="290" spans="1:53" s="314" customFormat="1" ht="16.5" customHeight="1">
      <c r="A290" s="63" t="str">
        <f t="array" ref="A290">IF(C290&lt;&gt;0,SUM(($C$11:C290&lt;&gt;0)*1),"")</f>
        <v/>
      </c>
      <c r="B290" s="315"/>
      <c r="C290" s="315"/>
      <c r="D290" s="315"/>
      <c r="E290" s="432"/>
      <c r="F290" s="371"/>
      <c r="G290" s="373"/>
      <c r="H290" s="373"/>
      <c r="I290" s="63" t="str">
        <f t="shared" si="219"/>
        <v/>
      </c>
      <c r="J290" s="317">
        <f t="shared" si="226"/>
        <v>0</v>
      </c>
      <c r="K290" s="317">
        <f t="shared" si="227"/>
        <v>0</v>
      </c>
      <c r="L290" s="317">
        <f t="shared" si="238"/>
        <v>0</v>
      </c>
      <c r="M290" s="317">
        <f t="shared" si="239"/>
        <v>0</v>
      </c>
      <c r="N290" s="317">
        <f t="shared" si="220"/>
        <v>0</v>
      </c>
      <c r="O290" s="317">
        <f t="shared" si="221"/>
        <v>0</v>
      </c>
      <c r="P290" s="317">
        <f t="shared" si="240"/>
        <v>0</v>
      </c>
      <c r="Q290" s="317">
        <f t="shared" si="241"/>
        <v>0</v>
      </c>
      <c r="R290" s="317">
        <f t="shared" si="242"/>
        <v>0</v>
      </c>
      <c r="S290" s="317">
        <f t="shared" si="243"/>
        <v>0</v>
      </c>
      <c r="T290" s="317">
        <f t="shared" si="222"/>
        <v>0</v>
      </c>
      <c r="U290" s="317">
        <f t="shared" si="223"/>
        <v>0</v>
      </c>
      <c r="V290" s="317">
        <f t="shared" si="244"/>
        <v>0</v>
      </c>
      <c r="W290" s="317">
        <f t="shared" si="245"/>
        <v>0</v>
      </c>
      <c r="X290" s="317">
        <f t="shared" si="246"/>
        <v>0</v>
      </c>
      <c r="Y290" s="317">
        <f t="shared" si="247"/>
        <v>0</v>
      </c>
      <c r="Z290" s="317">
        <f t="shared" si="228"/>
        <v>0</v>
      </c>
      <c r="AA290" s="317">
        <f t="shared" si="229"/>
        <v>0</v>
      </c>
      <c r="AB290" s="317">
        <f t="shared" si="248"/>
        <v>0</v>
      </c>
      <c r="AC290" s="317">
        <f t="shared" si="249"/>
        <v>0</v>
      </c>
      <c r="AD290" s="317">
        <f t="shared" si="230"/>
        <v>0</v>
      </c>
      <c r="AE290" s="317">
        <f t="shared" si="231"/>
        <v>0</v>
      </c>
      <c r="AF290" s="317">
        <f t="shared" si="224"/>
        <v>0</v>
      </c>
      <c r="AG290" s="317">
        <f t="shared" si="225"/>
        <v>0</v>
      </c>
      <c r="AH290" s="317">
        <f t="shared" si="250"/>
        <v>0</v>
      </c>
      <c r="AI290" s="317">
        <f t="shared" si="251"/>
        <v>0</v>
      </c>
      <c r="AJ290" s="317">
        <f t="shared" si="252"/>
        <v>0</v>
      </c>
      <c r="AK290" s="317">
        <f t="shared" si="253"/>
        <v>0</v>
      </c>
      <c r="AL290" s="317">
        <f t="shared" si="254"/>
        <v>0</v>
      </c>
      <c r="AM290" s="317">
        <f t="shared" si="255"/>
        <v>0</v>
      </c>
      <c r="AN290" s="317">
        <f t="shared" si="256"/>
        <v>0</v>
      </c>
      <c r="AO290" s="317">
        <f t="shared" si="257"/>
        <v>0</v>
      </c>
      <c r="AP290" s="317">
        <f t="shared" si="258"/>
        <v>0</v>
      </c>
      <c r="AQ290" s="317">
        <f t="shared" si="259"/>
        <v>0</v>
      </c>
      <c r="AR290" s="317">
        <f t="shared" si="232"/>
        <v>0</v>
      </c>
      <c r="AS290" s="317">
        <f t="shared" si="233"/>
        <v>0</v>
      </c>
      <c r="AT290" s="317">
        <f t="shared" si="260"/>
        <v>0</v>
      </c>
      <c r="AU290" s="317">
        <f t="shared" si="261"/>
        <v>0</v>
      </c>
      <c r="AV290" s="317">
        <f t="shared" si="262"/>
        <v>0</v>
      </c>
      <c r="AW290" s="317">
        <f t="shared" si="263"/>
        <v>0</v>
      </c>
      <c r="AX290" s="317">
        <f t="shared" si="234"/>
        <v>0</v>
      </c>
      <c r="AY290" s="317">
        <f t="shared" si="235"/>
        <v>0</v>
      </c>
      <c r="AZ290" s="317">
        <f t="shared" si="236"/>
        <v>0</v>
      </c>
      <c r="BA290" s="317">
        <f t="shared" si="237"/>
        <v>0</v>
      </c>
    </row>
    <row r="291" spans="1:53" s="314" customFormat="1" ht="16.5" customHeight="1">
      <c r="A291" s="63" t="str">
        <f t="array" ref="A291">IF(C291&lt;&gt;0,SUM(($C$11:C291&lt;&gt;0)*1),"")</f>
        <v/>
      </c>
      <c r="B291" s="315"/>
      <c r="C291" s="315"/>
      <c r="D291" s="315"/>
      <c r="E291" s="432"/>
      <c r="F291" s="371"/>
      <c r="G291" s="373"/>
      <c r="H291" s="373"/>
      <c r="I291" s="63" t="str">
        <f t="shared" si="219"/>
        <v/>
      </c>
      <c r="J291" s="317">
        <f t="shared" si="226"/>
        <v>0</v>
      </c>
      <c r="K291" s="317">
        <f t="shared" si="227"/>
        <v>0</v>
      </c>
      <c r="L291" s="317">
        <f t="shared" si="238"/>
        <v>0</v>
      </c>
      <c r="M291" s="317">
        <f t="shared" si="239"/>
        <v>0</v>
      </c>
      <c r="N291" s="317">
        <f t="shared" si="220"/>
        <v>0</v>
      </c>
      <c r="O291" s="317">
        <f t="shared" si="221"/>
        <v>0</v>
      </c>
      <c r="P291" s="317">
        <f t="shared" si="240"/>
        <v>0</v>
      </c>
      <c r="Q291" s="317">
        <f t="shared" si="241"/>
        <v>0</v>
      </c>
      <c r="R291" s="317">
        <f t="shared" si="242"/>
        <v>0</v>
      </c>
      <c r="S291" s="317">
        <f t="shared" si="243"/>
        <v>0</v>
      </c>
      <c r="T291" s="317">
        <f t="shared" si="222"/>
        <v>0</v>
      </c>
      <c r="U291" s="317">
        <f t="shared" si="223"/>
        <v>0</v>
      </c>
      <c r="V291" s="317">
        <f t="shared" si="244"/>
        <v>0</v>
      </c>
      <c r="W291" s="317">
        <f t="shared" si="245"/>
        <v>0</v>
      </c>
      <c r="X291" s="317">
        <f t="shared" si="246"/>
        <v>0</v>
      </c>
      <c r="Y291" s="317">
        <f t="shared" si="247"/>
        <v>0</v>
      </c>
      <c r="Z291" s="317">
        <f t="shared" si="228"/>
        <v>0</v>
      </c>
      <c r="AA291" s="317">
        <f t="shared" si="229"/>
        <v>0</v>
      </c>
      <c r="AB291" s="317">
        <f t="shared" si="248"/>
        <v>0</v>
      </c>
      <c r="AC291" s="317">
        <f t="shared" si="249"/>
        <v>0</v>
      </c>
      <c r="AD291" s="317">
        <f t="shared" si="230"/>
        <v>0</v>
      </c>
      <c r="AE291" s="317">
        <f t="shared" si="231"/>
        <v>0</v>
      </c>
      <c r="AF291" s="317">
        <f t="shared" si="224"/>
        <v>0</v>
      </c>
      <c r="AG291" s="317">
        <f t="shared" si="225"/>
        <v>0</v>
      </c>
      <c r="AH291" s="317">
        <f t="shared" si="250"/>
        <v>0</v>
      </c>
      <c r="AI291" s="317">
        <f t="shared" si="251"/>
        <v>0</v>
      </c>
      <c r="AJ291" s="317">
        <f t="shared" si="252"/>
        <v>0</v>
      </c>
      <c r="AK291" s="317">
        <f t="shared" si="253"/>
        <v>0</v>
      </c>
      <c r="AL291" s="317">
        <f t="shared" si="254"/>
        <v>0</v>
      </c>
      <c r="AM291" s="317">
        <f t="shared" si="255"/>
        <v>0</v>
      </c>
      <c r="AN291" s="317">
        <f t="shared" si="256"/>
        <v>0</v>
      </c>
      <c r="AO291" s="317">
        <f t="shared" si="257"/>
        <v>0</v>
      </c>
      <c r="AP291" s="317">
        <f t="shared" si="258"/>
        <v>0</v>
      </c>
      <c r="AQ291" s="317">
        <f t="shared" si="259"/>
        <v>0</v>
      </c>
      <c r="AR291" s="317">
        <f t="shared" si="232"/>
        <v>0</v>
      </c>
      <c r="AS291" s="317">
        <f t="shared" si="233"/>
        <v>0</v>
      </c>
      <c r="AT291" s="317">
        <f t="shared" si="260"/>
        <v>0</v>
      </c>
      <c r="AU291" s="317">
        <f t="shared" si="261"/>
        <v>0</v>
      </c>
      <c r="AV291" s="317">
        <f t="shared" si="262"/>
        <v>0</v>
      </c>
      <c r="AW291" s="317">
        <f t="shared" si="263"/>
        <v>0</v>
      </c>
      <c r="AX291" s="317">
        <f t="shared" si="234"/>
        <v>0</v>
      </c>
      <c r="AY291" s="317">
        <f t="shared" si="235"/>
        <v>0</v>
      </c>
      <c r="AZ291" s="317">
        <f t="shared" si="236"/>
        <v>0</v>
      </c>
      <c r="BA291" s="317">
        <f t="shared" si="237"/>
        <v>0</v>
      </c>
    </row>
    <row r="292" spans="1:53" s="314" customFormat="1" ht="16.5" customHeight="1">
      <c r="A292" s="63" t="str">
        <f t="array" ref="A292">IF(C292&lt;&gt;0,SUM(($C$11:C292&lt;&gt;0)*1),"")</f>
        <v/>
      </c>
      <c r="B292" s="315"/>
      <c r="C292" s="315"/>
      <c r="D292" s="315"/>
      <c r="E292" s="432"/>
      <c r="F292" s="371"/>
      <c r="G292" s="373"/>
      <c r="H292" s="373"/>
      <c r="I292" s="63" t="str">
        <f t="shared" si="219"/>
        <v/>
      </c>
      <c r="J292" s="317">
        <f t="shared" si="226"/>
        <v>0</v>
      </c>
      <c r="K292" s="317">
        <f t="shared" si="227"/>
        <v>0</v>
      </c>
      <c r="L292" s="317">
        <f t="shared" si="238"/>
        <v>0</v>
      </c>
      <c r="M292" s="317">
        <f t="shared" si="239"/>
        <v>0</v>
      </c>
      <c r="N292" s="317">
        <f t="shared" si="220"/>
        <v>0</v>
      </c>
      <c r="O292" s="317">
        <f t="shared" si="221"/>
        <v>0</v>
      </c>
      <c r="P292" s="317">
        <f t="shared" si="240"/>
        <v>0</v>
      </c>
      <c r="Q292" s="317">
        <f t="shared" si="241"/>
        <v>0</v>
      </c>
      <c r="R292" s="317">
        <f t="shared" si="242"/>
        <v>0</v>
      </c>
      <c r="S292" s="317">
        <f t="shared" si="243"/>
        <v>0</v>
      </c>
      <c r="T292" s="317">
        <f t="shared" si="222"/>
        <v>0</v>
      </c>
      <c r="U292" s="317">
        <f t="shared" si="223"/>
        <v>0</v>
      </c>
      <c r="V292" s="317">
        <f t="shared" si="244"/>
        <v>0</v>
      </c>
      <c r="W292" s="317">
        <f t="shared" si="245"/>
        <v>0</v>
      </c>
      <c r="X292" s="317">
        <f t="shared" si="246"/>
        <v>0</v>
      </c>
      <c r="Y292" s="317">
        <f t="shared" si="247"/>
        <v>0</v>
      </c>
      <c r="Z292" s="317">
        <f t="shared" si="228"/>
        <v>0</v>
      </c>
      <c r="AA292" s="317">
        <f t="shared" si="229"/>
        <v>0</v>
      </c>
      <c r="AB292" s="317">
        <f t="shared" si="248"/>
        <v>0</v>
      </c>
      <c r="AC292" s="317">
        <f t="shared" si="249"/>
        <v>0</v>
      </c>
      <c r="AD292" s="317">
        <f t="shared" si="230"/>
        <v>0</v>
      </c>
      <c r="AE292" s="317">
        <f t="shared" si="231"/>
        <v>0</v>
      </c>
      <c r="AF292" s="317">
        <f t="shared" si="224"/>
        <v>0</v>
      </c>
      <c r="AG292" s="317">
        <f t="shared" si="225"/>
        <v>0</v>
      </c>
      <c r="AH292" s="317">
        <f t="shared" si="250"/>
        <v>0</v>
      </c>
      <c r="AI292" s="317">
        <f t="shared" si="251"/>
        <v>0</v>
      </c>
      <c r="AJ292" s="317">
        <f t="shared" si="252"/>
        <v>0</v>
      </c>
      <c r="AK292" s="317">
        <f t="shared" si="253"/>
        <v>0</v>
      </c>
      <c r="AL292" s="317">
        <f t="shared" si="254"/>
        <v>0</v>
      </c>
      <c r="AM292" s="317">
        <f t="shared" si="255"/>
        <v>0</v>
      </c>
      <c r="AN292" s="317">
        <f t="shared" si="256"/>
        <v>0</v>
      </c>
      <c r="AO292" s="317">
        <f t="shared" si="257"/>
        <v>0</v>
      </c>
      <c r="AP292" s="317">
        <f t="shared" si="258"/>
        <v>0</v>
      </c>
      <c r="AQ292" s="317">
        <f t="shared" si="259"/>
        <v>0</v>
      </c>
      <c r="AR292" s="317">
        <f t="shared" si="232"/>
        <v>0</v>
      </c>
      <c r="AS292" s="317">
        <f t="shared" si="233"/>
        <v>0</v>
      </c>
      <c r="AT292" s="317">
        <f t="shared" si="260"/>
        <v>0</v>
      </c>
      <c r="AU292" s="317">
        <f t="shared" si="261"/>
        <v>0</v>
      </c>
      <c r="AV292" s="317">
        <f t="shared" si="262"/>
        <v>0</v>
      </c>
      <c r="AW292" s="317">
        <f t="shared" si="263"/>
        <v>0</v>
      </c>
      <c r="AX292" s="317">
        <f t="shared" si="234"/>
        <v>0</v>
      </c>
      <c r="AY292" s="317">
        <f t="shared" si="235"/>
        <v>0</v>
      </c>
      <c r="AZ292" s="317">
        <f t="shared" si="236"/>
        <v>0</v>
      </c>
      <c r="BA292" s="317">
        <f t="shared" si="237"/>
        <v>0</v>
      </c>
    </row>
    <row r="293" spans="1:53" s="314" customFormat="1" ht="16.5" customHeight="1">
      <c r="A293" s="63" t="str">
        <f t="array" ref="A293">IF(C293&lt;&gt;0,SUM(($C$11:C293&lt;&gt;0)*1),"")</f>
        <v/>
      </c>
      <c r="B293" s="315"/>
      <c r="C293" s="315"/>
      <c r="D293" s="315"/>
      <c r="E293" s="432"/>
      <c r="F293" s="371"/>
      <c r="G293" s="373"/>
      <c r="H293" s="373"/>
      <c r="I293" s="63" t="str">
        <f t="shared" si="219"/>
        <v/>
      </c>
      <c r="J293" s="317">
        <f t="shared" si="226"/>
        <v>0</v>
      </c>
      <c r="K293" s="317">
        <f t="shared" si="227"/>
        <v>0</v>
      </c>
      <c r="L293" s="317">
        <f t="shared" si="238"/>
        <v>0</v>
      </c>
      <c r="M293" s="317">
        <f t="shared" si="239"/>
        <v>0</v>
      </c>
      <c r="N293" s="317">
        <f t="shared" si="220"/>
        <v>0</v>
      </c>
      <c r="O293" s="317">
        <f t="shared" si="221"/>
        <v>0</v>
      </c>
      <c r="P293" s="317">
        <f t="shared" si="240"/>
        <v>0</v>
      </c>
      <c r="Q293" s="317">
        <f t="shared" si="241"/>
        <v>0</v>
      </c>
      <c r="R293" s="317">
        <f t="shared" si="242"/>
        <v>0</v>
      </c>
      <c r="S293" s="317">
        <f t="shared" si="243"/>
        <v>0</v>
      </c>
      <c r="T293" s="317">
        <f t="shared" si="222"/>
        <v>0</v>
      </c>
      <c r="U293" s="317">
        <f t="shared" si="223"/>
        <v>0</v>
      </c>
      <c r="V293" s="317">
        <f t="shared" si="244"/>
        <v>0</v>
      </c>
      <c r="W293" s="317">
        <f t="shared" si="245"/>
        <v>0</v>
      </c>
      <c r="X293" s="317">
        <f t="shared" si="246"/>
        <v>0</v>
      </c>
      <c r="Y293" s="317">
        <f t="shared" si="247"/>
        <v>0</v>
      </c>
      <c r="Z293" s="317">
        <f t="shared" si="228"/>
        <v>0</v>
      </c>
      <c r="AA293" s="317">
        <f t="shared" si="229"/>
        <v>0</v>
      </c>
      <c r="AB293" s="317">
        <f t="shared" si="248"/>
        <v>0</v>
      </c>
      <c r="AC293" s="317">
        <f t="shared" si="249"/>
        <v>0</v>
      </c>
      <c r="AD293" s="317">
        <f t="shared" si="230"/>
        <v>0</v>
      </c>
      <c r="AE293" s="317">
        <f t="shared" si="231"/>
        <v>0</v>
      </c>
      <c r="AF293" s="317">
        <f t="shared" si="224"/>
        <v>0</v>
      </c>
      <c r="AG293" s="317">
        <f t="shared" si="225"/>
        <v>0</v>
      </c>
      <c r="AH293" s="317">
        <f t="shared" si="250"/>
        <v>0</v>
      </c>
      <c r="AI293" s="317">
        <f t="shared" si="251"/>
        <v>0</v>
      </c>
      <c r="AJ293" s="317">
        <f t="shared" si="252"/>
        <v>0</v>
      </c>
      <c r="AK293" s="317">
        <f t="shared" si="253"/>
        <v>0</v>
      </c>
      <c r="AL293" s="317">
        <f t="shared" si="254"/>
        <v>0</v>
      </c>
      <c r="AM293" s="317">
        <f t="shared" si="255"/>
        <v>0</v>
      </c>
      <c r="AN293" s="317">
        <f t="shared" si="256"/>
        <v>0</v>
      </c>
      <c r="AO293" s="317">
        <f t="shared" si="257"/>
        <v>0</v>
      </c>
      <c r="AP293" s="317">
        <f t="shared" si="258"/>
        <v>0</v>
      </c>
      <c r="AQ293" s="317">
        <f t="shared" si="259"/>
        <v>0</v>
      </c>
      <c r="AR293" s="317">
        <f t="shared" si="232"/>
        <v>0</v>
      </c>
      <c r="AS293" s="317">
        <f t="shared" si="233"/>
        <v>0</v>
      </c>
      <c r="AT293" s="317">
        <f t="shared" si="260"/>
        <v>0</v>
      </c>
      <c r="AU293" s="317">
        <f t="shared" si="261"/>
        <v>0</v>
      </c>
      <c r="AV293" s="317">
        <f t="shared" si="262"/>
        <v>0</v>
      </c>
      <c r="AW293" s="317">
        <f t="shared" si="263"/>
        <v>0</v>
      </c>
      <c r="AX293" s="317">
        <f t="shared" si="234"/>
        <v>0</v>
      </c>
      <c r="AY293" s="317">
        <f t="shared" si="235"/>
        <v>0</v>
      </c>
      <c r="AZ293" s="317">
        <f t="shared" si="236"/>
        <v>0</v>
      </c>
      <c r="BA293" s="317">
        <f t="shared" si="237"/>
        <v>0</v>
      </c>
    </row>
    <row r="294" spans="1:53" s="314" customFormat="1" ht="16.5" customHeight="1">
      <c r="A294" s="63" t="str">
        <f t="array" ref="A294">IF(C294&lt;&gt;0,SUM(($C$11:C294&lt;&gt;0)*1),"")</f>
        <v/>
      </c>
      <c r="B294" s="315"/>
      <c r="C294" s="315"/>
      <c r="D294" s="315"/>
      <c r="E294" s="432"/>
      <c r="F294" s="371"/>
      <c r="G294" s="373"/>
      <c r="H294" s="373"/>
      <c r="I294" s="63" t="str">
        <f t="shared" si="219"/>
        <v/>
      </c>
      <c r="J294" s="317">
        <f t="shared" si="226"/>
        <v>0</v>
      </c>
      <c r="K294" s="317">
        <f t="shared" si="227"/>
        <v>0</v>
      </c>
      <c r="L294" s="317">
        <f t="shared" si="238"/>
        <v>0</v>
      </c>
      <c r="M294" s="317">
        <f t="shared" si="239"/>
        <v>0</v>
      </c>
      <c r="N294" s="317">
        <f t="shared" si="220"/>
        <v>0</v>
      </c>
      <c r="O294" s="317">
        <f t="shared" si="221"/>
        <v>0</v>
      </c>
      <c r="P294" s="317">
        <f t="shared" si="240"/>
        <v>0</v>
      </c>
      <c r="Q294" s="317">
        <f t="shared" si="241"/>
        <v>0</v>
      </c>
      <c r="R294" s="317">
        <f t="shared" si="242"/>
        <v>0</v>
      </c>
      <c r="S294" s="317">
        <f t="shared" si="243"/>
        <v>0</v>
      </c>
      <c r="T294" s="317">
        <f t="shared" si="222"/>
        <v>0</v>
      </c>
      <c r="U294" s="317">
        <f t="shared" si="223"/>
        <v>0</v>
      </c>
      <c r="V294" s="317">
        <f t="shared" si="244"/>
        <v>0</v>
      </c>
      <c r="W294" s="317">
        <f t="shared" si="245"/>
        <v>0</v>
      </c>
      <c r="X294" s="317">
        <f t="shared" si="246"/>
        <v>0</v>
      </c>
      <c r="Y294" s="317">
        <f t="shared" si="247"/>
        <v>0</v>
      </c>
      <c r="Z294" s="317">
        <f t="shared" si="228"/>
        <v>0</v>
      </c>
      <c r="AA294" s="317">
        <f t="shared" si="229"/>
        <v>0</v>
      </c>
      <c r="AB294" s="317">
        <f t="shared" si="248"/>
        <v>0</v>
      </c>
      <c r="AC294" s="317">
        <f t="shared" si="249"/>
        <v>0</v>
      </c>
      <c r="AD294" s="317">
        <f t="shared" si="230"/>
        <v>0</v>
      </c>
      <c r="AE294" s="317">
        <f t="shared" si="231"/>
        <v>0</v>
      </c>
      <c r="AF294" s="317">
        <f t="shared" si="224"/>
        <v>0</v>
      </c>
      <c r="AG294" s="317">
        <f t="shared" si="225"/>
        <v>0</v>
      </c>
      <c r="AH294" s="317">
        <f t="shared" si="250"/>
        <v>0</v>
      </c>
      <c r="AI294" s="317">
        <f t="shared" si="251"/>
        <v>0</v>
      </c>
      <c r="AJ294" s="317">
        <f t="shared" si="252"/>
        <v>0</v>
      </c>
      <c r="AK294" s="317">
        <f t="shared" si="253"/>
        <v>0</v>
      </c>
      <c r="AL294" s="317">
        <f t="shared" si="254"/>
        <v>0</v>
      </c>
      <c r="AM294" s="317">
        <f t="shared" si="255"/>
        <v>0</v>
      </c>
      <c r="AN294" s="317">
        <f t="shared" si="256"/>
        <v>0</v>
      </c>
      <c r="AO294" s="317">
        <f t="shared" si="257"/>
        <v>0</v>
      </c>
      <c r="AP294" s="317">
        <f t="shared" si="258"/>
        <v>0</v>
      </c>
      <c r="AQ294" s="317">
        <f t="shared" si="259"/>
        <v>0</v>
      </c>
      <c r="AR294" s="317">
        <f t="shared" si="232"/>
        <v>0</v>
      </c>
      <c r="AS294" s="317">
        <f t="shared" si="233"/>
        <v>0</v>
      </c>
      <c r="AT294" s="317">
        <f t="shared" si="260"/>
        <v>0</v>
      </c>
      <c r="AU294" s="317">
        <f t="shared" si="261"/>
        <v>0</v>
      </c>
      <c r="AV294" s="317">
        <f t="shared" si="262"/>
        <v>0</v>
      </c>
      <c r="AW294" s="317">
        <f t="shared" si="263"/>
        <v>0</v>
      </c>
      <c r="AX294" s="317">
        <f t="shared" si="234"/>
        <v>0</v>
      </c>
      <c r="AY294" s="317">
        <f t="shared" si="235"/>
        <v>0</v>
      </c>
      <c r="AZ294" s="317">
        <f t="shared" si="236"/>
        <v>0</v>
      </c>
      <c r="BA294" s="317">
        <f t="shared" si="237"/>
        <v>0</v>
      </c>
    </row>
    <row r="295" spans="1:53" s="314" customFormat="1" ht="16.5" customHeight="1">
      <c r="A295" s="63" t="str">
        <f t="array" ref="A295">IF(C295&lt;&gt;0,SUM(($C$11:C295&lt;&gt;0)*1),"")</f>
        <v/>
      </c>
      <c r="B295" s="315"/>
      <c r="C295" s="315"/>
      <c r="D295" s="315"/>
      <c r="E295" s="432"/>
      <c r="F295" s="371"/>
      <c r="G295" s="373"/>
      <c r="H295" s="373"/>
      <c r="I295" s="63" t="str">
        <f t="shared" si="219"/>
        <v/>
      </c>
      <c r="J295" s="317">
        <f t="shared" si="226"/>
        <v>0</v>
      </c>
      <c r="K295" s="317">
        <f t="shared" si="227"/>
        <v>0</v>
      </c>
      <c r="L295" s="317">
        <f t="shared" si="238"/>
        <v>0</v>
      </c>
      <c r="M295" s="317">
        <f t="shared" si="239"/>
        <v>0</v>
      </c>
      <c r="N295" s="317">
        <f t="shared" si="220"/>
        <v>0</v>
      </c>
      <c r="O295" s="317">
        <f t="shared" si="221"/>
        <v>0</v>
      </c>
      <c r="P295" s="317">
        <f t="shared" si="240"/>
        <v>0</v>
      </c>
      <c r="Q295" s="317">
        <f t="shared" si="241"/>
        <v>0</v>
      </c>
      <c r="R295" s="317">
        <f t="shared" si="242"/>
        <v>0</v>
      </c>
      <c r="S295" s="317">
        <f t="shared" si="243"/>
        <v>0</v>
      </c>
      <c r="T295" s="317">
        <f t="shared" si="222"/>
        <v>0</v>
      </c>
      <c r="U295" s="317">
        <f t="shared" si="223"/>
        <v>0</v>
      </c>
      <c r="V295" s="317">
        <f t="shared" si="244"/>
        <v>0</v>
      </c>
      <c r="W295" s="317">
        <f t="shared" si="245"/>
        <v>0</v>
      </c>
      <c r="X295" s="317">
        <f t="shared" si="246"/>
        <v>0</v>
      </c>
      <c r="Y295" s="317">
        <f t="shared" si="247"/>
        <v>0</v>
      </c>
      <c r="Z295" s="317">
        <f t="shared" si="228"/>
        <v>0</v>
      </c>
      <c r="AA295" s="317">
        <f t="shared" si="229"/>
        <v>0</v>
      </c>
      <c r="AB295" s="317">
        <f t="shared" si="248"/>
        <v>0</v>
      </c>
      <c r="AC295" s="317">
        <f t="shared" si="249"/>
        <v>0</v>
      </c>
      <c r="AD295" s="317">
        <f t="shared" si="230"/>
        <v>0</v>
      </c>
      <c r="AE295" s="317">
        <f t="shared" si="231"/>
        <v>0</v>
      </c>
      <c r="AF295" s="317">
        <f t="shared" si="224"/>
        <v>0</v>
      </c>
      <c r="AG295" s="317">
        <f t="shared" si="225"/>
        <v>0</v>
      </c>
      <c r="AH295" s="317">
        <f t="shared" si="250"/>
        <v>0</v>
      </c>
      <c r="AI295" s="317">
        <f t="shared" si="251"/>
        <v>0</v>
      </c>
      <c r="AJ295" s="317">
        <f t="shared" si="252"/>
        <v>0</v>
      </c>
      <c r="AK295" s="317">
        <f t="shared" si="253"/>
        <v>0</v>
      </c>
      <c r="AL295" s="317">
        <f t="shared" si="254"/>
        <v>0</v>
      </c>
      <c r="AM295" s="317">
        <f t="shared" si="255"/>
        <v>0</v>
      </c>
      <c r="AN295" s="317">
        <f t="shared" si="256"/>
        <v>0</v>
      </c>
      <c r="AO295" s="317">
        <f t="shared" si="257"/>
        <v>0</v>
      </c>
      <c r="AP295" s="317">
        <f t="shared" si="258"/>
        <v>0</v>
      </c>
      <c r="AQ295" s="317">
        <f t="shared" si="259"/>
        <v>0</v>
      </c>
      <c r="AR295" s="317">
        <f t="shared" si="232"/>
        <v>0</v>
      </c>
      <c r="AS295" s="317">
        <f t="shared" si="233"/>
        <v>0</v>
      </c>
      <c r="AT295" s="317">
        <f t="shared" si="260"/>
        <v>0</v>
      </c>
      <c r="AU295" s="317">
        <f t="shared" si="261"/>
        <v>0</v>
      </c>
      <c r="AV295" s="317">
        <f t="shared" si="262"/>
        <v>0</v>
      </c>
      <c r="AW295" s="317">
        <f t="shared" si="263"/>
        <v>0</v>
      </c>
      <c r="AX295" s="317">
        <f t="shared" si="234"/>
        <v>0</v>
      </c>
      <c r="AY295" s="317">
        <f t="shared" si="235"/>
        <v>0</v>
      </c>
      <c r="AZ295" s="317">
        <f t="shared" si="236"/>
        <v>0</v>
      </c>
      <c r="BA295" s="317">
        <f t="shared" si="237"/>
        <v>0</v>
      </c>
    </row>
    <row r="296" spans="1:53" s="314" customFormat="1" ht="16.5" customHeight="1">
      <c r="A296" s="63" t="str">
        <f t="array" ref="A296">IF(C296&lt;&gt;0,SUM(($C$11:C296&lt;&gt;0)*1),"")</f>
        <v/>
      </c>
      <c r="B296" s="315"/>
      <c r="C296" s="315"/>
      <c r="D296" s="315"/>
      <c r="E296" s="432"/>
      <c r="F296" s="371"/>
      <c r="G296" s="373"/>
      <c r="H296" s="373"/>
      <c r="I296" s="63" t="str">
        <f t="shared" si="219"/>
        <v/>
      </c>
      <c r="J296" s="317">
        <f t="shared" si="226"/>
        <v>0</v>
      </c>
      <c r="K296" s="317">
        <f t="shared" si="227"/>
        <v>0</v>
      </c>
      <c r="L296" s="317">
        <f t="shared" si="238"/>
        <v>0</v>
      </c>
      <c r="M296" s="317">
        <f t="shared" si="239"/>
        <v>0</v>
      </c>
      <c r="N296" s="317">
        <f t="shared" si="220"/>
        <v>0</v>
      </c>
      <c r="O296" s="317">
        <f t="shared" si="221"/>
        <v>0</v>
      </c>
      <c r="P296" s="317">
        <f t="shared" si="240"/>
        <v>0</v>
      </c>
      <c r="Q296" s="317">
        <f t="shared" si="241"/>
        <v>0</v>
      </c>
      <c r="R296" s="317">
        <f t="shared" si="242"/>
        <v>0</v>
      </c>
      <c r="S296" s="317">
        <f t="shared" si="243"/>
        <v>0</v>
      </c>
      <c r="T296" s="317">
        <f t="shared" si="222"/>
        <v>0</v>
      </c>
      <c r="U296" s="317">
        <f t="shared" si="223"/>
        <v>0</v>
      </c>
      <c r="V296" s="317">
        <f t="shared" si="244"/>
        <v>0</v>
      </c>
      <c r="W296" s="317">
        <f t="shared" si="245"/>
        <v>0</v>
      </c>
      <c r="X296" s="317">
        <f t="shared" si="246"/>
        <v>0</v>
      </c>
      <c r="Y296" s="317">
        <f t="shared" si="247"/>
        <v>0</v>
      </c>
      <c r="Z296" s="317">
        <f t="shared" si="228"/>
        <v>0</v>
      </c>
      <c r="AA296" s="317">
        <f t="shared" si="229"/>
        <v>0</v>
      </c>
      <c r="AB296" s="317">
        <f t="shared" si="248"/>
        <v>0</v>
      </c>
      <c r="AC296" s="317">
        <f t="shared" si="249"/>
        <v>0</v>
      </c>
      <c r="AD296" s="317">
        <f t="shared" si="230"/>
        <v>0</v>
      </c>
      <c r="AE296" s="317">
        <f t="shared" si="231"/>
        <v>0</v>
      </c>
      <c r="AF296" s="317">
        <f t="shared" si="224"/>
        <v>0</v>
      </c>
      <c r="AG296" s="317">
        <f t="shared" si="225"/>
        <v>0</v>
      </c>
      <c r="AH296" s="317">
        <f t="shared" si="250"/>
        <v>0</v>
      </c>
      <c r="AI296" s="317">
        <f t="shared" si="251"/>
        <v>0</v>
      </c>
      <c r="AJ296" s="317">
        <f t="shared" si="252"/>
        <v>0</v>
      </c>
      <c r="AK296" s="317">
        <f t="shared" si="253"/>
        <v>0</v>
      </c>
      <c r="AL296" s="317">
        <f t="shared" si="254"/>
        <v>0</v>
      </c>
      <c r="AM296" s="317">
        <f t="shared" si="255"/>
        <v>0</v>
      </c>
      <c r="AN296" s="317">
        <f t="shared" si="256"/>
        <v>0</v>
      </c>
      <c r="AO296" s="317">
        <f t="shared" si="257"/>
        <v>0</v>
      </c>
      <c r="AP296" s="317">
        <f t="shared" si="258"/>
        <v>0</v>
      </c>
      <c r="AQ296" s="317">
        <f t="shared" si="259"/>
        <v>0</v>
      </c>
      <c r="AR296" s="317">
        <f t="shared" si="232"/>
        <v>0</v>
      </c>
      <c r="AS296" s="317">
        <f t="shared" si="233"/>
        <v>0</v>
      </c>
      <c r="AT296" s="317">
        <f t="shared" si="260"/>
        <v>0</v>
      </c>
      <c r="AU296" s="317">
        <f t="shared" si="261"/>
        <v>0</v>
      </c>
      <c r="AV296" s="317">
        <f t="shared" si="262"/>
        <v>0</v>
      </c>
      <c r="AW296" s="317">
        <f t="shared" si="263"/>
        <v>0</v>
      </c>
      <c r="AX296" s="317">
        <f t="shared" si="234"/>
        <v>0</v>
      </c>
      <c r="AY296" s="317">
        <f t="shared" si="235"/>
        <v>0</v>
      </c>
      <c r="AZ296" s="317">
        <f t="shared" si="236"/>
        <v>0</v>
      </c>
      <c r="BA296" s="317">
        <f t="shared" si="237"/>
        <v>0</v>
      </c>
    </row>
    <row r="297" spans="1:53" s="314" customFormat="1" ht="16.5" customHeight="1">
      <c r="A297" s="63" t="str">
        <f t="array" ref="A297">IF(C297&lt;&gt;0,SUM(($C$11:C297&lt;&gt;0)*1),"")</f>
        <v/>
      </c>
      <c r="B297" s="315"/>
      <c r="C297" s="315"/>
      <c r="D297" s="315"/>
      <c r="E297" s="432"/>
      <c r="F297" s="371"/>
      <c r="G297" s="373"/>
      <c r="H297" s="373"/>
      <c r="I297" s="63" t="str">
        <f t="shared" si="219"/>
        <v/>
      </c>
      <c r="J297" s="317">
        <f t="shared" si="226"/>
        <v>0</v>
      </c>
      <c r="K297" s="317">
        <f t="shared" si="227"/>
        <v>0</v>
      </c>
      <c r="L297" s="317">
        <f t="shared" si="238"/>
        <v>0</v>
      </c>
      <c r="M297" s="317">
        <f t="shared" si="239"/>
        <v>0</v>
      </c>
      <c r="N297" s="317">
        <f t="shared" si="220"/>
        <v>0</v>
      </c>
      <c r="O297" s="317">
        <f t="shared" si="221"/>
        <v>0</v>
      </c>
      <c r="P297" s="317">
        <f t="shared" si="240"/>
        <v>0</v>
      </c>
      <c r="Q297" s="317">
        <f t="shared" si="241"/>
        <v>0</v>
      </c>
      <c r="R297" s="317">
        <f t="shared" si="242"/>
        <v>0</v>
      </c>
      <c r="S297" s="317">
        <f t="shared" si="243"/>
        <v>0</v>
      </c>
      <c r="T297" s="317">
        <f t="shared" si="222"/>
        <v>0</v>
      </c>
      <c r="U297" s="317">
        <f t="shared" si="223"/>
        <v>0</v>
      </c>
      <c r="V297" s="317">
        <f t="shared" si="244"/>
        <v>0</v>
      </c>
      <c r="W297" s="317">
        <f t="shared" si="245"/>
        <v>0</v>
      </c>
      <c r="X297" s="317">
        <f t="shared" si="246"/>
        <v>0</v>
      </c>
      <c r="Y297" s="317">
        <f t="shared" si="247"/>
        <v>0</v>
      </c>
      <c r="Z297" s="317">
        <f t="shared" si="228"/>
        <v>0</v>
      </c>
      <c r="AA297" s="317">
        <f t="shared" si="229"/>
        <v>0</v>
      </c>
      <c r="AB297" s="317">
        <f t="shared" si="248"/>
        <v>0</v>
      </c>
      <c r="AC297" s="317">
        <f t="shared" si="249"/>
        <v>0</v>
      </c>
      <c r="AD297" s="317">
        <f t="shared" si="230"/>
        <v>0</v>
      </c>
      <c r="AE297" s="317">
        <f t="shared" si="231"/>
        <v>0</v>
      </c>
      <c r="AF297" s="317">
        <f t="shared" si="224"/>
        <v>0</v>
      </c>
      <c r="AG297" s="317">
        <f t="shared" si="225"/>
        <v>0</v>
      </c>
      <c r="AH297" s="317">
        <f t="shared" si="250"/>
        <v>0</v>
      </c>
      <c r="AI297" s="317">
        <f t="shared" si="251"/>
        <v>0</v>
      </c>
      <c r="AJ297" s="317">
        <f t="shared" si="252"/>
        <v>0</v>
      </c>
      <c r="AK297" s="317">
        <f t="shared" si="253"/>
        <v>0</v>
      </c>
      <c r="AL297" s="317">
        <f t="shared" si="254"/>
        <v>0</v>
      </c>
      <c r="AM297" s="317">
        <f t="shared" si="255"/>
        <v>0</v>
      </c>
      <c r="AN297" s="317">
        <f t="shared" si="256"/>
        <v>0</v>
      </c>
      <c r="AO297" s="317">
        <f t="shared" si="257"/>
        <v>0</v>
      </c>
      <c r="AP297" s="317">
        <f t="shared" si="258"/>
        <v>0</v>
      </c>
      <c r="AQ297" s="317">
        <f t="shared" si="259"/>
        <v>0</v>
      </c>
      <c r="AR297" s="317">
        <f t="shared" si="232"/>
        <v>0</v>
      </c>
      <c r="AS297" s="317">
        <f t="shared" si="233"/>
        <v>0</v>
      </c>
      <c r="AT297" s="317">
        <f t="shared" si="260"/>
        <v>0</v>
      </c>
      <c r="AU297" s="317">
        <f t="shared" si="261"/>
        <v>0</v>
      </c>
      <c r="AV297" s="317">
        <f t="shared" si="262"/>
        <v>0</v>
      </c>
      <c r="AW297" s="317">
        <f t="shared" si="263"/>
        <v>0</v>
      </c>
      <c r="AX297" s="317">
        <f t="shared" si="234"/>
        <v>0</v>
      </c>
      <c r="AY297" s="317">
        <f t="shared" si="235"/>
        <v>0</v>
      </c>
      <c r="AZ297" s="317">
        <f t="shared" si="236"/>
        <v>0</v>
      </c>
      <c r="BA297" s="317">
        <f t="shared" si="237"/>
        <v>0</v>
      </c>
    </row>
    <row r="298" spans="1:53" s="314" customFormat="1" ht="16.5" customHeight="1">
      <c r="A298" s="63" t="str">
        <f t="array" ref="A298">IF(C298&lt;&gt;0,SUM(($C$11:C298&lt;&gt;0)*1),"")</f>
        <v/>
      </c>
      <c r="B298" s="315"/>
      <c r="C298" s="315"/>
      <c r="D298" s="315"/>
      <c r="E298" s="432"/>
      <c r="F298" s="371"/>
      <c r="G298" s="373"/>
      <c r="H298" s="373"/>
      <c r="I298" s="63" t="str">
        <f t="shared" si="219"/>
        <v/>
      </c>
      <c r="J298" s="317">
        <f t="shared" si="226"/>
        <v>0</v>
      </c>
      <c r="K298" s="317">
        <f t="shared" si="227"/>
        <v>0</v>
      </c>
      <c r="L298" s="317">
        <f t="shared" si="238"/>
        <v>0</v>
      </c>
      <c r="M298" s="317">
        <f t="shared" si="239"/>
        <v>0</v>
      </c>
      <c r="N298" s="317">
        <f t="shared" si="220"/>
        <v>0</v>
      </c>
      <c r="O298" s="317">
        <f t="shared" si="221"/>
        <v>0</v>
      </c>
      <c r="P298" s="317">
        <f t="shared" si="240"/>
        <v>0</v>
      </c>
      <c r="Q298" s="317">
        <f t="shared" si="241"/>
        <v>0</v>
      </c>
      <c r="R298" s="317">
        <f t="shared" si="242"/>
        <v>0</v>
      </c>
      <c r="S298" s="317">
        <f t="shared" si="243"/>
        <v>0</v>
      </c>
      <c r="T298" s="317">
        <f t="shared" si="222"/>
        <v>0</v>
      </c>
      <c r="U298" s="317">
        <f t="shared" si="223"/>
        <v>0</v>
      </c>
      <c r="V298" s="317">
        <f t="shared" si="244"/>
        <v>0</v>
      </c>
      <c r="W298" s="317">
        <f t="shared" si="245"/>
        <v>0</v>
      </c>
      <c r="X298" s="317">
        <f t="shared" si="246"/>
        <v>0</v>
      </c>
      <c r="Y298" s="317">
        <f t="shared" si="247"/>
        <v>0</v>
      </c>
      <c r="Z298" s="317">
        <f t="shared" si="228"/>
        <v>0</v>
      </c>
      <c r="AA298" s="317">
        <f t="shared" si="229"/>
        <v>0</v>
      </c>
      <c r="AB298" s="317">
        <f t="shared" si="248"/>
        <v>0</v>
      </c>
      <c r="AC298" s="317">
        <f t="shared" si="249"/>
        <v>0</v>
      </c>
      <c r="AD298" s="317">
        <f t="shared" si="230"/>
        <v>0</v>
      </c>
      <c r="AE298" s="317">
        <f t="shared" si="231"/>
        <v>0</v>
      </c>
      <c r="AF298" s="317">
        <f t="shared" si="224"/>
        <v>0</v>
      </c>
      <c r="AG298" s="317">
        <f t="shared" si="225"/>
        <v>0</v>
      </c>
      <c r="AH298" s="317">
        <f t="shared" si="250"/>
        <v>0</v>
      </c>
      <c r="AI298" s="317">
        <f t="shared" si="251"/>
        <v>0</v>
      </c>
      <c r="AJ298" s="317">
        <f t="shared" si="252"/>
        <v>0</v>
      </c>
      <c r="AK298" s="317">
        <f t="shared" si="253"/>
        <v>0</v>
      </c>
      <c r="AL298" s="317">
        <f t="shared" si="254"/>
        <v>0</v>
      </c>
      <c r="AM298" s="317">
        <f t="shared" si="255"/>
        <v>0</v>
      </c>
      <c r="AN298" s="317">
        <f t="shared" si="256"/>
        <v>0</v>
      </c>
      <c r="AO298" s="317">
        <f t="shared" si="257"/>
        <v>0</v>
      </c>
      <c r="AP298" s="317">
        <f t="shared" si="258"/>
        <v>0</v>
      </c>
      <c r="AQ298" s="317">
        <f t="shared" si="259"/>
        <v>0</v>
      </c>
      <c r="AR298" s="317">
        <f t="shared" si="232"/>
        <v>0</v>
      </c>
      <c r="AS298" s="317">
        <f t="shared" si="233"/>
        <v>0</v>
      </c>
      <c r="AT298" s="317">
        <f t="shared" si="260"/>
        <v>0</v>
      </c>
      <c r="AU298" s="317">
        <f t="shared" si="261"/>
        <v>0</v>
      </c>
      <c r="AV298" s="317">
        <f t="shared" si="262"/>
        <v>0</v>
      </c>
      <c r="AW298" s="317">
        <f t="shared" si="263"/>
        <v>0</v>
      </c>
      <c r="AX298" s="317">
        <f t="shared" si="234"/>
        <v>0</v>
      </c>
      <c r="AY298" s="317">
        <f t="shared" si="235"/>
        <v>0</v>
      </c>
      <c r="AZ298" s="317">
        <f t="shared" si="236"/>
        <v>0</v>
      </c>
      <c r="BA298" s="317">
        <f t="shared" si="237"/>
        <v>0</v>
      </c>
    </row>
    <row r="299" spans="1:53" s="314" customFormat="1" ht="16.5" customHeight="1">
      <c r="A299" s="63" t="str">
        <f t="array" ref="A299">IF(C299&lt;&gt;0,SUM(($C$11:C299&lt;&gt;0)*1),"")</f>
        <v/>
      </c>
      <c r="B299" s="315"/>
      <c r="C299" s="315"/>
      <c r="D299" s="315"/>
      <c r="E299" s="432"/>
      <c r="F299" s="371"/>
      <c r="G299" s="373"/>
      <c r="H299" s="373"/>
      <c r="I299" s="63" t="str">
        <f t="shared" si="219"/>
        <v/>
      </c>
      <c r="J299" s="317">
        <f t="shared" si="226"/>
        <v>0</v>
      </c>
      <c r="K299" s="317">
        <f t="shared" si="227"/>
        <v>0</v>
      </c>
      <c r="L299" s="317">
        <f t="shared" si="238"/>
        <v>0</v>
      </c>
      <c r="M299" s="317">
        <f t="shared" si="239"/>
        <v>0</v>
      </c>
      <c r="N299" s="317">
        <f t="shared" si="220"/>
        <v>0</v>
      </c>
      <c r="O299" s="317">
        <f t="shared" si="221"/>
        <v>0</v>
      </c>
      <c r="P299" s="317">
        <f t="shared" si="240"/>
        <v>0</v>
      </c>
      <c r="Q299" s="317">
        <f t="shared" si="241"/>
        <v>0</v>
      </c>
      <c r="R299" s="317">
        <f t="shared" si="242"/>
        <v>0</v>
      </c>
      <c r="S299" s="317">
        <f t="shared" si="243"/>
        <v>0</v>
      </c>
      <c r="T299" s="317">
        <f t="shared" si="222"/>
        <v>0</v>
      </c>
      <c r="U299" s="317">
        <f t="shared" si="223"/>
        <v>0</v>
      </c>
      <c r="V299" s="317">
        <f t="shared" si="244"/>
        <v>0</v>
      </c>
      <c r="W299" s="317">
        <f t="shared" si="245"/>
        <v>0</v>
      </c>
      <c r="X299" s="317">
        <f t="shared" si="246"/>
        <v>0</v>
      </c>
      <c r="Y299" s="317">
        <f t="shared" si="247"/>
        <v>0</v>
      </c>
      <c r="Z299" s="317">
        <f t="shared" si="228"/>
        <v>0</v>
      </c>
      <c r="AA299" s="317">
        <f t="shared" si="229"/>
        <v>0</v>
      </c>
      <c r="AB299" s="317">
        <f t="shared" si="248"/>
        <v>0</v>
      </c>
      <c r="AC299" s="317">
        <f t="shared" si="249"/>
        <v>0</v>
      </c>
      <c r="AD299" s="317">
        <f t="shared" si="230"/>
        <v>0</v>
      </c>
      <c r="AE299" s="317">
        <f t="shared" si="231"/>
        <v>0</v>
      </c>
      <c r="AF299" s="317">
        <f t="shared" si="224"/>
        <v>0</v>
      </c>
      <c r="AG299" s="317">
        <f t="shared" si="225"/>
        <v>0</v>
      </c>
      <c r="AH299" s="317">
        <f t="shared" si="250"/>
        <v>0</v>
      </c>
      <c r="AI299" s="317">
        <f t="shared" si="251"/>
        <v>0</v>
      </c>
      <c r="AJ299" s="317">
        <f t="shared" si="252"/>
        <v>0</v>
      </c>
      <c r="AK299" s="317">
        <f t="shared" si="253"/>
        <v>0</v>
      </c>
      <c r="AL299" s="317">
        <f t="shared" si="254"/>
        <v>0</v>
      </c>
      <c r="AM299" s="317">
        <f t="shared" si="255"/>
        <v>0</v>
      </c>
      <c r="AN299" s="317">
        <f t="shared" si="256"/>
        <v>0</v>
      </c>
      <c r="AO299" s="317">
        <f t="shared" si="257"/>
        <v>0</v>
      </c>
      <c r="AP299" s="317">
        <f t="shared" si="258"/>
        <v>0</v>
      </c>
      <c r="AQ299" s="317">
        <f t="shared" si="259"/>
        <v>0</v>
      </c>
      <c r="AR299" s="317">
        <f t="shared" si="232"/>
        <v>0</v>
      </c>
      <c r="AS299" s="317">
        <f t="shared" si="233"/>
        <v>0</v>
      </c>
      <c r="AT299" s="317">
        <f t="shared" si="260"/>
        <v>0</v>
      </c>
      <c r="AU299" s="317">
        <f t="shared" si="261"/>
        <v>0</v>
      </c>
      <c r="AV299" s="317">
        <f t="shared" si="262"/>
        <v>0</v>
      </c>
      <c r="AW299" s="317">
        <f t="shared" si="263"/>
        <v>0</v>
      </c>
      <c r="AX299" s="317">
        <f t="shared" si="234"/>
        <v>0</v>
      </c>
      <c r="AY299" s="317">
        <f t="shared" si="235"/>
        <v>0</v>
      </c>
      <c r="AZ299" s="317">
        <f t="shared" si="236"/>
        <v>0</v>
      </c>
      <c r="BA299" s="317">
        <f t="shared" si="237"/>
        <v>0</v>
      </c>
    </row>
    <row r="300" spans="1:53" s="314" customFormat="1" ht="16.5" customHeight="1">
      <c r="A300" s="63" t="str">
        <f t="array" ref="A300">IF(C300&lt;&gt;0,SUM(($C$11:C300&lt;&gt;0)*1),"")</f>
        <v/>
      </c>
      <c r="B300" s="315"/>
      <c r="C300" s="315"/>
      <c r="D300" s="315"/>
      <c r="E300" s="432"/>
      <c r="F300" s="371"/>
      <c r="G300" s="373"/>
      <c r="H300" s="373"/>
      <c r="I300" s="63" t="str">
        <f t="shared" si="219"/>
        <v/>
      </c>
      <c r="J300" s="317">
        <f t="shared" si="226"/>
        <v>0</v>
      </c>
      <c r="K300" s="317">
        <f t="shared" si="227"/>
        <v>0</v>
      </c>
      <c r="L300" s="317">
        <f t="shared" si="238"/>
        <v>0</v>
      </c>
      <c r="M300" s="317">
        <f t="shared" si="239"/>
        <v>0</v>
      </c>
      <c r="N300" s="317">
        <f t="shared" si="220"/>
        <v>0</v>
      </c>
      <c r="O300" s="317">
        <f t="shared" si="221"/>
        <v>0</v>
      </c>
      <c r="P300" s="317">
        <f t="shared" si="240"/>
        <v>0</v>
      </c>
      <c r="Q300" s="317">
        <f t="shared" si="241"/>
        <v>0</v>
      </c>
      <c r="R300" s="317">
        <f t="shared" si="242"/>
        <v>0</v>
      </c>
      <c r="S300" s="317">
        <f t="shared" si="243"/>
        <v>0</v>
      </c>
      <c r="T300" s="317">
        <f t="shared" si="222"/>
        <v>0</v>
      </c>
      <c r="U300" s="317">
        <f t="shared" si="223"/>
        <v>0</v>
      </c>
      <c r="V300" s="317">
        <f t="shared" si="244"/>
        <v>0</v>
      </c>
      <c r="W300" s="317">
        <f t="shared" si="245"/>
        <v>0</v>
      </c>
      <c r="X300" s="317">
        <f t="shared" si="246"/>
        <v>0</v>
      </c>
      <c r="Y300" s="317">
        <f t="shared" si="247"/>
        <v>0</v>
      </c>
      <c r="Z300" s="317">
        <f t="shared" si="228"/>
        <v>0</v>
      </c>
      <c r="AA300" s="317">
        <f t="shared" si="229"/>
        <v>0</v>
      </c>
      <c r="AB300" s="317">
        <f t="shared" si="248"/>
        <v>0</v>
      </c>
      <c r="AC300" s="317">
        <f t="shared" si="249"/>
        <v>0</v>
      </c>
      <c r="AD300" s="317">
        <f t="shared" si="230"/>
        <v>0</v>
      </c>
      <c r="AE300" s="317">
        <f t="shared" si="231"/>
        <v>0</v>
      </c>
      <c r="AF300" s="317">
        <f t="shared" si="224"/>
        <v>0</v>
      </c>
      <c r="AG300" s="317">
        <f t="shared" si="225"/>
        <v>0</v>
      </c>
      <c r="AH300" s="317">
        <f t="shared" si="250"/>
        <v>0</v>
      </c>
      <c r="AI300" s="317">
        <f t="shared" si="251"/>
        <v>0</v>
      </c>
      <c r="AJ300" s="317">
        <f t="shared" si="252"/>
        <v>0</v>
      </c>
      <c r="AK300" s="317">
        <f t="shared" si="253"/>
        <v>0</v>
      </c>
      <c r="AL300" s="317">
        <f t="shared" si="254"/>
        <v>0</v>
      </c>
      <c r="AM300" s="317">
        <f t="shared" si="255"/>
        <v>0</v>
      </c>
      <c r="AN300" s="317">
        <f t="shared" si="256"/>
        <v>0</v>
      </c>
      <c r="AO300" s="317">
        <f t="shared" si="257"/>
        <v>0</v>
      </c>
      <c r="AP300" s="317">
        <f t="shared" si="258"/>
        <v>0</v>
      </c>
      <c r="AQ300" s="317">
        <f t="shared" si="259"/>
        <v>0</v>
      </c>
      <c r="AR300" s="317">
        <f t="shared" si="232"/>
        <v>0</v>
      </c>
      <c r="AS300" s="317">
        <f t="shared" si="233"/>
        <v>0</v>
      </c>
      <c r="AT300" s="317">
        <f t="shared" si="260"/>
        <v>0</v>
      </c>
      <c r="AU300" s="317">
        <f t="shared" si="261"/>
        <v>0</v>
      </c>
      <c r="AV300" s="317">
        <f t="shared" si="262"/>
        <v>0</v>
      </c>
      <c r="AW300" s="317">
        <f t="shared" si="263"/>
        <v>0</v>
      </c>
      <c r="AX300" s="317">
        <f t="shared" si="234"/>
        <v>0</v>
      </c>
      <c r="AY300" s="317">
        <f t="shared" si="235"/>
        <v>0</v>
      </c>
      <c r="AZ300" s="317">
        <f t="shared" si="236"/>
        <v>0</v>
      </c>
      <c r="BA300" s="317">
        <f t="shared" si="237"/>
        <v>0</v>
      </c>
    </row>
    <row r="301" spans="1:53" s="314" customFormat="1" ht="16.5" customHeight="1">
      <c r="A301" s="63" t="str">
        <f t="array" ref="A301">IF(C301&lt;&gt;0,SUM(($C$11:C301&lt;&gt;0)*1),"")</f>
        <v/>
      </c>
      <c r="B301" s="315"/>
      <c r="C301" s="315"/>
      <c r="D301" s="315"/>
      <c r="E301" s="432"/>
      <c r="F301" s="371"/>
      <c r="G301" s="373"/>
      <c r="H301" s="373"/>
      <c r="I301" s="63" t="str">
        <f t="shared" si="219"/>
        <v/>
      </c>
      <c r="J301" s="317">
        <f t="shared" si="226"/>
        <v>0</v>
      </c>
      <c r="K301" s="317">
        <f t="shared" si="227"/>
        <v>0</v>
      </c>
      <c r="L301" s="317">
        <f t="shared" si="238"/>
        <v>0</v>
      </c>
      <c r="M301" s="317">
        <f t="shared" si="239"/>
        <v>0</v>
      </c>
      <c r="N301" s="317">
        <f t="shared" si="220"/>
        <v>0</v>
      </c>
      <c r="O301" s="317">
        <f t="shared" si="221"/>
        <v>0</v>
      </c>
      <c r="P301" s="317">
        <f t="shared" si="240"/>
        <v>0</v>
      </c>
      <c r="Q301" s="317">
        <f t="shared" si="241"/>
        <v>0</v>
      </c>
      <c r="R301" s="317">
        <f t="shared" si="242"/>
        <v>0</v>
      </c>
      <c r="S301" s="317">
        <f t="shared" si="243"/>
        <v>0</v>
      </c>
      <c r="T301" s="317">
        <f t="shared" si="222"/>
        <v>0</v>
      </c>
      <c r="U301" s="317">
        <f t="shared" si="223"/>
        <v>0</v>
      </c>
      <c r="V301" s="317">
        <f t="shared" si="244"/>
        <v>0</v>
      </c>
      <c r="W301" s="317">
        <f t="shared" si="245"/>
        <v>0</v>
      </c>
      <c r="X301" s="317">
        <f t="shared" si="246"/>
        <v>0</v>
      </c>
      <c r="Y301" s="317">
        <f t="shared" si="247"/>
        <v>0</v>
      </c>
      <c r="Z301" s="317">
        <f t="shared" si="228"/>
        <v>0</v>
      </c>
      <c r="AA301" s="317">
        <f t="shared" si="229"/>
        <v>0</v>
      </c>
      <c r="AB301" s="317">
        <f t="shared" si="248"/>
        <v>0</v>
      </c>
      <c r="AC301" s="317">
        <f t="shared" si="249"/>
        <v>0</v>
      </c>
      <c r="AD301" s="317">
        <f t="shared" si="230"/>
        <v>0</v>
      </c>
      <c r="AE301" s="317">
        <f t="shared" si="231"/>
        <v>0</v>
      </c>
      <c r="AF301" s="317">
        <f t="shared" si="224"/>
        <v>0</v>
      </c>
      <c r="AG301" s="317">
        <f t="shared" si="225"/>
        <v>0</v>
      </c>
      <c r="AH301" s="317">
        <f t="shared" si="250"/>
        <v>0</v>
      </c>
      <c r="AI301" s="317">
        <f t="shared" si="251"/>
        <v>0</v>
      </c>
      <c r="AJ301" s="317">
        <f t="shared" si="252"/>
        <v>0</v>
      </c>
      <c r="AK301" s="317">
        <f t="shared" si="253"/>
        <v>0</v>
      </c>
      <c r="AL301" s="317">
        <f t="shared" si="254"/>
        <v>0</v>
      </c>
      <c r="AM301" s="317">
        <f t="shared" si="255"/>
        <v>0</v>
      </c>
      <c r="AN301" s="317">
        <f t="shared" si="256"/>
        <v>0</v>
      </c>
      <c r="AO301" s="317">
        <f t="shared" si="257"/>
        <v>0</v>
      </c>
      <c r="AP301" s="317">
        <f t="shared" si="258"/>
        <v>0</v>
      </c>
      <c r="AQ301" s="317">
        <f t="shared" si="259"/>
        <v>0</v>
      </c>
      <c r="AR301" s="317">
        <f t="shared" si="232"/>
        <v>0</v>
      </c>
      <c r="AS301" s="317">
        <f t="shared" si="233"/>
        <v>0</v>
      </c>
      <c r="AT301" s="317">
        <f t="shared" si="260"/>
        <v>0</v>
      </c>
      <c r="AU301" s="317">
        <f t="shared" si="261"/>
        <v>0</v>
      </c>
      <c r="AV301" s="317">
        <f t="shared" si="262"/>
        <v>0</v>
      </c>
      <c r="AW301" s="317">
        <f t="shared" si="263"/>
        <v>0</v>
      </c>
      <c r="AX301" s="317">
        <f t="shared" si="234"/>
        <v>0</v>
      </c>
      <c r="AY301" s="317">
        <f t="shared" si="235"/>
        <v>0</v>
      </c>
      <c r="AZ301" s="317">
        <f t="shared" si="236"/>
        <v>0</v>
      </c>
      <c r="BA301" s="317">
        <f t="shared" si="237"/>
        <v>0</v>
      </c>
    </row>
    <row r="302" spans="1:53" s="314" customFormat="1" ht="16.5" customHeight="1">
      <c r="A302" s="63" t="str">
        <f t="array" ref="A302">IF(C302&lt;&gt;0,SUM(($C$11:C302&lt;&gt;0)*1),"")</f>
        <v/>
      </c>
      <c r="B302" s="315"/>
      <c r="C302" s="315"/>
      <c r="D302" s="315"/>
      <c r="E302" s="432"/>
      <c r="F302" s="371"/>
      <c r="G302" s="373"/>
      <c r="H302" s="373"/>
      <c r="I302" s="63" t="str">
        <f t="shared" si="219"/>
        <v/>
      </c>
      <c r="J302" s="317">
        <f t="shared" si="226"/>
        <v>0</v>
      </c>
      <c r="K302" s="317">
        <f t="shared" si="227"/>
        <v>0</v>
      </c>
      <c r="L302" s="317">
        <f t="shared" si="238"/>
        <v>0</v>
      </c>
      <c r="M302" s="317">
        <f t="shared" si="239"/>
        <v>0</v>
      </c>
      <c r="N302" s="317">
        <f t="shared" si="220"/>
        <v>0</v>
      </c>
      <c r="O302" s="317">
        <f t="shared" si="221"/>
        <v>0</v>
      </c>
      <c r="P302" s="317">
        <f t="shared" si="240"/>
        <v>0</v>
      </c>
      <c r="Q302" s="317">
        <f t="shared" si="241"/>
        <v>0</v>
      </c>
      <c r="R302" s="317">
        <f t="shared" si="242"/>
        <v>0</v>
      </c>
      <c r="S302" s="317">
        <f t="shared" si="243"/>
        <v>0</v>
      </c>
      <c r="T302" s="317">
        <f t="shared" si="222"/>
        <v>0</v>
      </c>
      <c r="U302" s="317">
        <f t="shared" si="223"/>
        <v>0</v>
      </c>
      <c r="V302" s="317">
        <f t="shared" si="244"/>
        <v>0</v>
      </c>
      <c r="W302" s="317">
        <f t="shared" si="245"/>
        <v>0</v>
      </c>
      <c r="X302" s="317">
        <f t="shared" si="246"/>
        <v>0</v>
      </c>
      <c r="Y302" s="317">
        <f t="shared" si="247"/>
        <v>0</v>
      </c>
      <c r="Z302" s="317">
        <f t="shared" si="228"/>
        <v>0</v>
      </c>
      <c r="AA302" s="317">
        <f t="shared" si="229"/>
        <v>0</v>
      </c>
      <c r="AB302" s="317">
        <f t="shared" si="248"/>
        <v>0</v>
      </c>
      <c r="AC302" s="317">
        <f t="shared" si="249"/>
        <v>0</v>
      </c>
      <c r="AD302" s="317">
        <f t="shared" si="230"/>
        <v>0</v>
      </c>
      <c r="AE302" s="317">
        <f t="shared" si="231"/>
        <v>0</v>
      </c>
      <c r="AF302" s="317">
        <f t="shared" si="224"/>
        <v>0</v>
      </c>
      <c r="AG302" s="317">
        <f t="shared" si="225"/>
        <v>0</v>
      </c>
      <c r="AH302" s="317">
        <f t="shared" si="250"/>
        <v>0</v>
      </c>
      <c r="AI302" s="317">
        <f t="shared" si="251"/>
        <v>0</v>
      </c>
      <c r="AJ302" s="317">
        <f t="shared" si="252"/>
        <v>0</v>
      </c>
      <c r="AK302" s="317">
        <f t="shared" si="253"/>
        <v>0</v>
      </c>
      <c r="AL302" s="317">
        <f t="shared" si="254"/>
        <v>0</v>
      </c>
      <c r="AM302" s="317">
        <f t="shared" si="255"/>
        <v>0</v>
      </c>
      <c r="AN302" s="317">
        <f t="shared" si="256"/>
        <v>0</v>
      </c>
      <c r="AO302" s="317">
        <f t="shared" si="257"/>
        <v>0</v>
      </c>
      <c r="AP302" s="317">
        <f t="shared" si="258"/>
        <v>0</v>
      </c>
      <c r="AQ302" s="317">
        <f t="shared" si="259"/>
        <v>0</v>
      </c>
      <c r="AR302" s="317">
        <f t="shared" si="232"/>
        <v>0</v>
      </c>
      <c r="AS302" s="317">
        <f t="shared" si="233"/>
        <v>0</v>
      </c>
      <c r="AT302" s="317">
        <f t="shared" si="260"/>
        <v>0</v>
      </c>
      <c r="AU302" s="317">
        <f t="shared" si="261"/>
        <v>0</v>
      </c>
      <c r="AV302" s="317">
        <f t="shared" si="262"/>
        <v>0</v>
      </c>
      <c r="AW302" s="317">
        <f t="shared" si="263"/>
        <v>0</v>
      </c>
      <c r="AX302" s="317">
        <f t="shared" si="234"/>
        <v>0</v>
      </c>
      <c r="AY302" s="317">
        <f t="shared" si="235"/>
        <v>0</v>
      </c>
      <c r="AZ302" s="317">
        <f t="shared" si="236"/>
        <v>0</v>
      </c>
      <c r="BA302" s="317">
        <f t="shared" si="237"/>
        <v>0</v>
      </c>
    </row>
    <row r="303" spans="1:53" s="314" customFormat="1" ht="16.5" customHeight="1">
      <c r="A303" s="63" t="str">
        <f t="array" ref="A303">IF(C303&lt;&gt;0,SUM(($C$11:C303&lt;&gt;0)*1),"")</f>
        <v/>
      </c>
      <c r="B303" s="315"/>
      <c r="C303" s="315"/>
      <c r="D303" s="315"/>
      <c r="E303" s="432"/>
      <c r="F303" s="371"/>
      <c r="G303" s="373"/>
      <c r="H303" s="373"/>
      <c r="I303" s="63" t="str">
        <f t="shared" si="219"/>
        <v/>
      </c>
      <c r="J303" s="317">
        <f t="shared" si="226"/>
        <v>0</v>
      </c>
      <c r="K303" s="317">
        <f t="shared" si="227"/>
        <v>0</v>
      </c>
      <c r="L303" s="317">
        <f t="shared" si="238"/>
        <v>0</v>
      </c>
      <c r="M303" s="317">
        <f t="shared" si="239"/>
        <v>0</v>
      </c>
      <c r="N303" s="317">
        <f t="shared" si="220"/>
        <v>0</v>
      </c>
      <c r="O303" s="317">
        <f t="shared" si="221"/>
        <v>0</v>
      </c>
      <c r="P303" s="317">
        <f t="shared" si="240"/>
        <v>0</v>
      </c>
      <c r="Q303" s="317">
        <f t="shared" si="241"/>
        <v>0</v>
      </c>
      <c r="R303" s="317">
        <f t="shared" si="242"/>
        <v>0</v>
      </c>
      <c r="S303" s="317">
        <f t="shared" si="243"/>
        <v>0</v>
      </c>
      <c r="T303" s="317">
        <f t="shared" si="222"/>
        <v>0</v>
      </c>
      <c r="U303" s="317">
        <f t="shared" si="223"/>
        <v>0</v>
      </c>
      <c r="V303" s="317">
        <f t="shared" si="244"/>
        <v>0</v>
      </c>
      <c r="W303" s="317">
        <f t="shared" si="245"/>
        <v>0</v>
      </c>
      <c r="X303" s="317">
        <f t="shared" si="246"/>
        <v>0</v>
      </c>
      <c r="Y303" s="317">
        <f t="shared" si="247"/>
        <v>0</v>
      </c>
      <c r="Z303" s="317">
        <f t="shared" si="228"/>
        <v>0</v>
      </c>
      <c r="AA303" s="317">
        <f t="shared" si="229"/>
        <v>0</v>
      </c>
      <c r="AB303" s="317">
        <f t="shared" si="248"/>
        <v>0</v>
      </c>
      <c r="AC303" s="317">
        <f t="shared" si="249"/>
        <v>0</v>
      </c>
      <c r="AD303" s="317">
        <f t="shared" si="230"/>
        <v>0</v>
      </c>
      <c r="AE303" s="317">
        <f t="shared" si="231"/>
        <v>0</v>
      </c>
      <c r="AF303" s="317">
        <f t="shared" si="224"/>
        <v>0</v>
      </c>
      <c r="AG303" s="317">
        <f t="shared" si="225"/>
        <v>0</v>
      </c>
      <c r="AH303" s="317">
        <f t="shared" si="250"/>
        <v>0</v>
      </c>
      <c r="AI303" s="317">
        <f t="shared" si="251"/>
        <v>0</v>
      </c>
      <c r="AJ303" s="317">
        <f t="shared" si="252"/>
        <v>0</v>
      </c>
      <c r="AK303" s="317">
        <f t="shared" si="253"/>
        <v>0</v>
      </c>
      <c r="AL303" s="317">
        <f t="shared" si="254"/>
        <v>0</v>
      </c>
      <c r="AM303" s="317">
        <f t="shared" si="255"/>
        <v>0</v>
      </c>
      <c r="AN303" s="317">
        <f t="shared" si="256"/>
        <v>0</v>
      </c>
      <c r="AO303" s="317">
        <f t="shared" si="257"/>
        <v>0</v>
      </c>
      <c r="AP303" s="317">
        <f t="shared" si="258"/>
        <v>0</v>
      </c>
      <c r="AQ303" s="317">
        <f t="shared" si="259"/>
        <v>0</v>
      </c>
      <c r="AR303" s="317">
        <f t="shared" si="232"/>
        <v>0</v>
      </c>
      <c r="AS303" s="317">
        <f t="shared" si="233"/>
        <v>0</v>
      </c>
      <c r="AT303" s="317">
        <f t="shared" si="260"/>
        <v>0</v>
      </c>
      <c r="AU303" s="317">
        <f t="shared" si="261"/>
        <v>0</v>
      </c>
      <c r="AV303" s="317">
        <f t="shared" si="262"/>
        <v>0</v>
      </c>
      <c r="AW303" s="317">
        <f t="shared" si="263"/>
        <v>0</v>
      </c>
      <c r="AX303" s="317">
        <f t="shared" si="234"/>
        <v>0</v>
      </c>
      <c r="AY303" s="317">
        <f t="shared" si="235"/>
        <v>0</v>
      </c>
      <c r="AZ303" s="317">
        <f t="shared" si="236"/>
        <v>0</v>
      </c>
      <c r="BA303" s="317">
        <f t="shared" si="237"/>
        <v>0</v>
      </c>
    </row>
    <row r="304" spans="1:53" s="314" customFormat="1" ht="16.5" customHeight="1">
      <c r="A304" s="63" t="str">
        <f t="array" ref="A304">IF(C304&lt;&gt;0,SUM(($C$11:C304&lt;&gt;0)*1),"")</f>
        <v/>
      </c>
      <c r="B304" s="315"/>
      <c r="C304" s="315"/>
      <c r="D304" s="315"/>
      <c r="E304" s="432"/>
      <c r="F304" s="371"/>
      <c r="G304" s="373"/>
      <c r="H304" s="373"/>
      <c r="I304" s="63" t="str">
        <f t="shared" si="219"/>
        <v/>
      </c>
      <c r="J304" s="317">
        <f t="shared" si="226"/>
        <v>0</v>
      </c>
      <c r="K304" s="317">
        <f t="shared" si="227"/>
        <v>0</v>
      </c>
      <c r="L304" s="317">
        <f t="shared" si="238"/>
        <v>0</v>
      </c>
      <c r="M304" s="317">
        <f t="shared" si="239"/>
        <v>0</v>
      </c>
      <c r="N304" s="317">
        <f t="shared" si="220"/>
        <v>0</v>
      </c>
      <c r="O304" s="317">
        <f t="shared" si="221"/>
        <v>0</v>
      </c>
      <c r="P304" s="317">
        <f t="shared" si="240"/>
        <v>0</v>
      </c>
      <c r="Q304" s="317">
        <f t="shared" si="241"/>
        <v>0</v>
      </c>
      <c r="R304" s="317">
        <f t="shared" si="242"/>
        <v>0</v>
      </c>
      <c r="S304" s="317">
        <f t="shared" si="243"/>
        <v>0</v>
      </c>
      <c r="T304" s="317">
        <f t="shared" si="222"/>
        <v>0</v>
      </c>
      <c r="U304" s="317">
        <f t="shared" si="223"/>
        <v>0</v>
      </c>
      <c r="V304" s="317">
        <f t="shared" si="244"/>
        <v>0</v>
      </c>
      <c r="W304" s="317">
        <f t="shared" si="245"/>
        <v>0</v>
      </c>
      <c r="X304" s="317">
        <f t="shared" si="246"/>
        <v>0</v>
      </c>
      <c r="Y304" s="317">
        <f t="shared" si="247"/>
        <v>0</v>
      </c>
      <c r="Z304" s="317">
        <f t="shared" si="228"/>
        <v>0</v>
      </c>
      <c r="AA304" s="317">
        <f t="shared" si="229"/>
        <v>0</v>
      </c>
      <c r="AB304" s="317">
        <f t="shared" si="248"/>
        <v>0</v>
      </c>
      <c r="AC304" s="317">
        <f t="shared" si="249"/>
        <v>0</v>
      </c>
      <c r="AD304" s="317">
        <f t="shared" si="230"/>
        <v>0</v>
      </c>
      <c r="AE304" s="317">
        <f t="shared" si="231"/>
        <v>0</v>
      </c>
      <c r="AF304" s="317">
        <f t="shared" si="224"/>
        <v>0</v>
      </c>
      <c r="AG304" s="317">
        <f t="shared" si="225"/>
        <v>0</v>
      </c>
      <c r="AH304" s="317">
        <f t="shared" si="250"/>
        <v>0</v>
      </c>
      <c r="AI304" s="317">
        <f t="shared" si="251"/>
        <v>0</v>
      </c>
      <c r="AJ304" s="317">
        <f t="shared" si="252"/>
        <v>0</v>
      </c>
      <c r="AK304" s="317">
        <f t="shared" si="253"/>
        <v>0</v>
      </c>
      <c r="AL304" s="317">
        <f t="shared" si="254"/>
        <v>0</v>
      </c>
      <c r="AM304" s="317">
        <f t="shared" si="255"/>
        <v>0</v>
      </c>
      <c r="AN304" s="317">
        <f t="shared" si="256"/>
        <v>0</v>
      </c>
      <c r="AO304" s="317">
        <f t="shared" si="257"/>
        <v>0</v>
      </c>
      <c r="AP304" s="317">
        <f t="shared" si="258"/>
        <v>0</v>
      </c>
      <c r="AQ304" s="317">
        <f t="shared" si="259"/>
        <v>0</v>
      </c>
      <c r="AR304" s="317">
        <f t="shared" si="232"/>
        <v>0</v>
      </c>
      <c r="AS304" s="317">
        <f t="shared" si="233"/>
        <v>0</v>
      </c>
      <c r="AT304" s="317">
        <f t="shared" si="260"/>
        <v>0</v>
      </c>
      <c r="AU304" s="317">
        <f t="shared" si="261"/>
        <v>0</v>
      </c>
      <c r="AV304" s="317">
        <f t="shared" si="262"/>
        <v>0</v>
      </c>
      <c r="AW304" s="317">
        <f t="shared" si="263"/>
        <v>0</v>
      </c>
      <c r="AX304" s="317">
        <f t="shared" si="234"/>
        <v>0</v>
      </c>
      <c r="AY304" s="317">
        <f t="shared" si="235"/>
        <v>0</v>
      </c>
      <c r="AZ304" s="317">
        <f t="shared" si="236"/>
        <v>0</v>
      </c>
      <c r="BA304" s="317">
        <f t="shared" si="237"/>
        <v>0</v>
      </c>
    </row>
    <row r="305" spans="1:53" s="314" customFormat="1" ht="16.5" customHeight="1">
      <c r="A305" s="63" t="str">
        <f t="array" ref="A305">IF(C305&lt;&gt;0,SUM(($C$11:C305&lt;&gt;0)*1),"")</f>
        <v/>
      </c>
      <c r="B305" s="315"/>
      <c r="C305" s="315"/>
      <c r="D305" s="315"/>
      <c r="E305" s="432"/>
      <c r="F305" s="371"/>
      <c r="G305" s="373"/>
      <c r="H305" s="373"/>
      <c r="I305" s="63" t="str">
        <f t="shared" ref="I305:I347" si="264">A305</f>
        <v/>
      </c>
      <c r="J305" s="317">
        <f t="shared" si="226"/>
        <v>0</v>
      </c>
      <c r="K305" s="317">
        <f t="shared" si="227"/>
        <v>0</v>
      </c>
      <c r="L305" s="317">
        <f t="shared" si="238"/>
        <v>0</v>
      </c>
      <c r="M305" s="317">
        <f t="shared" si="239"/>
        <v>0</v>
      </c>
      <c r="N305" s="317">
        <f t="shared" si="220"/>
        <v>0</v>
      </c>
      <c r="O305" s="317">
        <f t="shared" si="221"/>
        <v>0</v>
      </c>
      <c r="P305" s="317">
        <f t="shared" si="240"/>
        <v>0</v>
      </c>
      <c r="Q305" s="317">
        <f t="shared" si="241"/>
        <v>0</v>
      </c>
      <c r="R305" s="317">
        <f t="shared" si="242"/>
        <v>0</v>
      </c>
      <c r="S305" s="317">
        <f t="shared" si="243"/>
        <v>0</v>
      </c>
      <c r="T305" s="317">
        <f t="shared" si="222"/>
        <v>0</v>
      </c>
      <c r="U305" s="317">
        <f t="shared" si="223"/>
        <v>0</v>
      </c>
      <c r="V305" s="317">
        <f t="shared" si="244"/>
        <v>0</v>
      </c>
      <c r="W305" s="317">
        <f t="shared" si="245"/>
        <v>0</v>
      </c>
      <c r="X305" s="317">
        <f t="shared" si="246"/>
        <v>0</v>
      </c>
      <c r="Y305" s="317">
        <f t="shared" si="247"/>
        <v>0</v>
      </c>
      <c r="Z305" s="317">
        <f t="shared" si="228"/>
        <v>0</v>
      </c>
      <c r="AA305" s="317">
        <f t="shared" si="229"/>
        <v>0</v>
      </c>
      <c r="AB305" s="317">
        <f t="shared" si="248"/>
        <v>0</v>
      </c>
      <c r="AC305" s="317">
        <f t="shared" si="249"/>
        <v>0</v>
      </c>
      <c r="AD305" s="317">
        <f t="shared" si="230"/>
        <v>0</v>
      </c>
      <c r="AE305" s="317">
        <f t="shared" si="231"/>
        <v>0</v>
      </c>
      <c r="AF305" s="317">
        <f t="shared" si="224"/>
        <v>0</v>
      </c>
      <c r="AG305" s="317">
        <f t="shared" si="225"/>
        <v>0</v>
      </c>
      <c r="AH305" s="317">
        <f t="shared" si="250"/>
        <v>0</v>
      </c>
      <c r="AI305" s="317">
        <f t="shared" si="251"/>
        <v>0</v>
      </c>
      <c r="AJ305" s="317">
        <f t="shared" si="252"/>
        <v>0</v>
      </c>
      <c r="AK305" s="317">
        <f t="shared" si="253"/>
        <v>0</v>
      </c>
      <c r="AL305" s="317">
        <f t="shared" si="254"/>
        <v>0</v>
      </c>
      <c r="AM305" s="317">
        <f t="shared" si="255"/>
        <v>0</v>
      </c>
      <c r="AN305" s="317">
        <f t="shared" si="256"/>
        <v>0</v>
      </c>
      <c r="AO305" s="317">
        <f t="shared" si="257"/>
        <v>0</v>
      </c>
      <c r="AP305" s="317">
        <f t="shared" si="258"/>
        <v>0</v>
      </c>
      <c r="AQ305" s="317">
        <f t="shared" si="259"/>
        <v>0</v>
      </c>
      <c r="AR305" s="317">
        <f t="shared" si="232"/>
        <v>0</v>
      </c>
      <c r="AS305" s="317">
        <f t="shared" si="233"/>
        <v>0</v>
      </c>
      <c r="AT305" s="317">
        <f t="shared" si="260"/>
        <v>0</v>
      </c>
      <c r="AU305" s="317">
        <f t="shared" si="261"/>
        <v>0</v>
      </c>
      <c r="AV305" s="317">
        <f t="shared" si="262"/>
        <v>0</v>
      </c>
      <c r="AW305" s="317">
        <f t="shared" si="263"/>
        <v>0</v>
      </c>
      <c r="AX305" s="317">
        <f t="shared" si="234"/>
        <v>0</v>
      </c>
      <c r="AY305" s="317">
        <f t="shared" si="235"/>
        <v>0</v>
      </c>
      <c r="AZ305" s="317">
        <f t="shared" si="236"/>
        <v>0</v>
      </c>
      <c r="BA305" s="317">
        <f t="shared" si="237"/>
        <v>0</v>
      </c>
    </row>
    <row r="306" spans="1:53" s="314" customFormat="1" ht="16.5" customHeight="1">
      <c r="A306" s="63" t="str">
        <f t="array" ref="A306">IF(C306&lt;&gt;0,SUM(($C$11:C306&lt;&gt;0)*1),"")</f>
        <v/>
      </c>
      <c r="B306" s="315"/>
      <c r="C306" s="315"/>
      <c r="D306" s="315"/>
      <c r="E306" s="432"/>
      <c r="F306" s="371"/>
      <c r="G306" s="373"/>
      <c r="H306" s="373"/>
      <c r="I306" s="63" t="str">
        <f t="shared" si="264"/>
        <v/>
      </c>
      <c r="J306" s="317">
        <f t="shared" si="226"/>
        <v>0</v>
      </c>
      <c r="K306" s="317">
        <f t="shared" si="227"/>
        <v>0</v>
      </c>
      <c r="L306" s="317">
        <f t="shared" si="238"/>
        <v>0</v>
      </c>
      <c r="M306" s="317">
        <f t="shared" si="239"/>
        <v>0</v>
      </c>
      <c r="N306" s="317">
        <f t="shared" si="220"/>
        <v>0</v>
      </c>
      <c r="O306" s="317">
        <f t="shared" si="221"/>
        <v>0</v>
      </c>
      <c r="P306" s="317">
        <f t="shared" si="240"/>
        <v>0</v>
      </c>
      <c r="Q306" s="317">
        <f t="shared" si="241"/>
        <v>0</v>
      </c>
      <c r="R306" s="317">
        <f t="shared" si="242"/>
        <v>0</v>
      </c>
      <c r="S306" s="317">
        <f t="shared" si="243"/>
        <v>0</v>
      </c>
      <c r="T306" s="317">
        <f t="shared" si="222"/>
        <v>0</v>
      </c>
      <c r="U306" s="317">
        <f t="shared" si="223"/>
        <v>0</v>
      </c>
      <c r="V306" s="317">
        <f t="shared" si="244"/>
        <v>0</v>
      </c>
      <c r="W306" s="317">
        <f t="shared" si="245"/>
        <v>0</v>
      </c>
      <c r="X306" s="317">
        <f t="shared" si="246"/>
        <v>0</v>
      </c>
      <c r="Y306" s="317">
        <f t="shared" si="247"/>
        <v>0</v>
      </c>
      <c r="Z306" s="317">
        <f t="shared" si="228"/>
        <v>0</v>
      </c>
      <c r="AA306" s="317">
        <f t="shared" si="229"/>
        <v>0</v>
      </c>
      <c r="AB306" s="317">
        <f t="shared" si="248"/>
        <v>0</v>
      </c>
      <c r="AC306" s="317">
        <f t="shared" si="249"/>
        <v>0</v>
      </c>
      <c r="AD306" s="317">
        <f t="shared" si="230"/>
        <v>0</v>
      </c>
      <c r="AE306" s="317">
        <f t="shared" si="231"/>
        <v>0</v>
      </c>
      <c r="AF306" s="317">
        <f t="shared" si="224"/>
        <v>0</v>
      </c>
      <c r="AG306" s="317">
        <f t="shared" si="225"/>
        <v>0</v>
      </c>
      <c r="AH306" s="317">
        <f t="shared" si="250"/>
        <v>0</v>
      </c>
      <c r="AI306" s="317">
        <f t="shared" si="251"/>
        <v>0</v>
      </c>
      <c r="AJ306" s="317">
        <f t="shared" si="252"/>
        <v>0</v>
      </c>
      <c r="AK306" s="317">
        <f t="shared" si="253"/>
        <v>0</v>
      </c>
      <c r="AL306" s="317">
        <f t="shared" si="254"/>
        <v>0</v>
      </c>
      <c r="AM306" s="317">
        <f t="shared" si="255"/>
        <v>0</v>
      </c>
      <c r="AN306" s="317">
        <f t="shared" si="256"/>
        <v>0</v>
      </c>
      <c r="AO306" s="317">
        <f t="shared" si="257"/>
        <v>0</v>
      </c>
      <c r="AP306" s="317">
        <f t="shared" si="258"/>
        <v>0</v>
      </c>
      <c r="AQ306" s="317">
        <f t="shared" si="259"/>
        <v>0</v>
      </c>
      <c r="AR306" s="317">
        <f t="shared" si="232"/>
        <v>0</v>
      </c>
      <c r="AS306" s="317">
        <f t="shared" si="233"/>
        <v>0</v>
      </c>
      <c r="AT306" s="317">
        <f t="shared" si="260"/>
        <v>0</v>
      </c>
      <c r="AU306" s="317">
        <f t="shared" si="261"/>
        <v>0</v>
      </c>
      <c r="AV306" s="317">
        <f t="shared" si="262"/>
        <v>0</v>
      </c>
      <c r="AW306" s="317">
        <f t="shared" si="263"/>
        <v>0</v>
      </c>
      <c r="AX306" s="317">
        <f t="shared" si="234"/>
        <v>0</v>
      </c>
      <c r="AY306" s="317">
        <f t="shared" si="235"/>
        <v>0</v>
      </c>
      <c r="AZ306" s="317">
        <f t="shared" si="236"/>
        <v>0</v>
      </c>
      <c r="BA306" s="317">
        <f t="shared" si="237"/>
        <v>0</v>
      </c>
    </row>
    <row r="307" spans="1:53" s="314" customFormat="1" ht="16.5" customHeight="1">
      <c r="A307" s="63" t="str">
        <f t="array" ref="A307">IF(C307&lt;&gt;0,SUM(($C$11:C307&lt;&gt;0)*1),"")</f>
        <v/>
      </c>
      <c r="B307" s="315"/>
      <c r="C307" s="315"/>
      <c r="D307" s="315"/>
      <c r="E307" s="432"/>
      <c r="F307" s="371"/>
      <c r="G307" s="373"/>
      <c r="H307" s="373"/>
      <c r="I307" s="63" t="str">
        <f t="shared" si="264"/>
        <v/>
      </c>
      <c r="J307" s="317">
        <f t="shared" si="226"/>
        <v>0</v>
      </c>
      <c r="K307" s="317">
        <f t="shared" si="227"/>
        <v>0</v>
      </c>
      <c r="L307" s="317">
        <f t="shared" si="238"/>
        <v>0</v>
      </c>
      <c r="M307" s="317">
        <f t="shared" si="239"/>
        <v>0</v>
      </c>
      <c r="N307" s="317">
        <f t="shared" si="220"/>
        <v>0</v>
      </c>
      <c r="O307" s="317">
        <f t="shared" si="221"/>
        <v>0</v>
      </c>
      <c r="P307" s="317">
        <f t="shared" si="240"/>
        <v>0</v>
      </c>
      <c r="Q307" s="317">
        <f t="shared" si="241"/>
        <v>0</v>
      </c>
      <c r="R307" s="317">
        <f t="shared" si="242"/>
        <v>0</v>
      </c>
      <c r="S307" s="317">
        <f t="shared" si="243"/>
        <v>0</v>
      </c>
      <c r="T307" s="317">
        <f t="shared" si="222"/>
        <v>0</v>
      </c>
      <c r="U307" s="317">
        <f t="shared" si="223"/>
        <v>0</v>
      </c>
      <c r="V307" s="317">
        <f t="shared" si="244"/>
        <v>0</v>
      </c>
      <c r="W307" s="317">
        <f t="shared" si="245"/>
        <v>0</v>
      </c>
      <c r="X307" s="317">
        <f t="shared" si="246"/>
        <v>0</v>
      </c>
      <c r="Y307" s="317">
        <f t="shared" si="247"/>
        <v>0</v>
      </c>
      <c r="Z307" s="317">
        <f t="shared" si="228"/>
        <v>0</v>
      </c>
      <c r="AA307" s="317">
        <f t="shared" si="229"/>
        <v>0</v>
      </c>
      <c r="AB307" s="317">
        <f t="shared" si="248"/>
        <v>0</v>
      </c>
      <c r="AC307" s="317">
        <f t="shared" si="249"/>
        <v>0</v>
      </c>
      <c r="AD307" s="317">
        <f t="shared" si="230"/>
        <v>0</v>
      </c>
      <c r="AE307" s="317">
        <f t="shared" si="231"/>
        <v>0</v>
      </c>
      <c r="AF307" s="317">
        <f t="shared" si="224"/>
        <v>0</v>
      </c>
      <c r="AG307" s="317">
        <f t="shared" si="225"/>
        <v>0</v>
      </c>
      <c r="AH307" s="317">
        <f t="shared" si="250"/>
        <v>0</v>
      </c>
      <c r="AI307" s="317">
        <f t="shared" si="251"/>
        <v>0</v>
      </c>
      <c r="AJ307" s="317">
        <f t="shared" si="252"/>
        <v>0</v>
      </c>
      <c r="AK307" s="317">
        <f t="shared" si="253"/>
        <v>0</v>
      </c>
      <c r="AL307" s="317">
        <f t="shared" si="254"/>
        <v>0</v>
      </c>
      <c r="AM307" s="317">
        <f t="shared" si="255"/>
        <v>0</v>
      </c>
      <c r="AN307" s="317">
        <f t="shared" si="256"/>
        <v>0</v>
      </c>
      <c r="AO307" s="317">
        <f t="shared" si="257"/>
        <v>0</v>
      </c>
      <c r="AP307" s="317">
        <f t="shared" si="258"/>
        <v>0</v>
      </c>
      <c r="AQ307" s="317">
        <f t="shared" si="259"/>
        <v>0</v>
      </c>
      <c r="AR307" s="317">
        <f t="shared" si="232"/>
        <v>0</v>
      </c>
      <c r="AS307" s="317">
        <f t="shared" si="233"/>
        <v>0</v>
      </c>
      <c r="AT307" s="317">
        <f t="shared" si="260"/>
        <v>0</v>
      </c>
      <c r="AU307" s="317">
        <f t="shared" si="261"/>
        <v>0</v>
      </c>
      <c r="AV307" s="317">
        <f t="shared" si="262"/>
        <v>0</v>
      </c>
      <c r="AW307" s="317">
        <f t="shared" si="263"/>
        <v>0</v>
      </c>
      <c r="AX307" s="317">
        <f t="shared" si="234"/>
        <v>0</v>
      </c>
      <c r="AY307" s="317">
        <f t="shared" si="235"/>
        <v>0</v>
      </c>
      <c r="AZ307" s="317">
        <f t="shared" si="236"/>
        <v>0</v>
      </c>
      <c r="BA307" s="317">
        <f t="shared" si="237"/>
        <v>0</v>
      </c>
    </row>
    <row r="308" spans="1:53" s="314" customFormat="1" ht="16.5" customHeight="1">
      <c r="A308" s="63" t="str">
        <f t="array" ref="A308">IF(C308&lt;&gt;0,SUM(($C$11:C308&lt;&gt;0)*1),"")</f>
        <v/>
      </c>
      <c r="B308" s="315"/>
      <c r="C308" s="315"/>
      <c r="D308" s="315"/>
      <c r="E308" s="432"/>
      <c r="F308" s="371"/>
      <c r="G308" s="373"/>
      <c r="H308" s="373"/>
      <c r="I308" s="63" t="str">
        <f t="shared" si="264"/>
        <v/>
      </c>
      <c r="J308" s="317">
        <f t="shared" si="226"/>
        <v>0</v>
      </c>
      <c r="K308" s="317">
        <f t="shared" si="227"/>
        <v>0</v>
      </c>
      <c r="L308" s="317">
        <f t="shared" si="238"/>
        <v>0</v>
      </c>
      <c r="M308" s="317">
        <f t="shared" si="239"/>
        <v>0</v>
      </c>
      <c r="N308" s="317">
        <f t="shared" si="220"/>
        <v>0</v>
      </c>
      <c r="O308" s="317">
        <f t="shared" si="221"/>
        <v>0</v>
      </c>
      <c r="P308" s="317">
        <f t="shared" si="240"/>
        <v>0</v>
      </c>
      <c r="Q308" s="317">
        <f t="shared" si="241"/>
        <v>0</v>
      </c>
      <c r="R308" s="317">
        <f t="shared" si="242"/>
        <v>0</v>
      </c>
      <c r="S308" s="317">
        <f t="shared" si="243"/>
        <v>0</v>
      </c>
      <c r="T308" s="317">
        <f t="shared" si="222"/>
        <v>0</v>
      </c>
      <c r="U308" s="317">
        <f t="shared" si="223"/>
        <v>0</v>
      </c>
      <c r="V308" s="317">
        <f t="shared" si="244"/>
        <v>0</v>
      </c>
      <c r="W308" s="317">
        <f t="shared" si="245"/>
        <v>0</v>
      </c>
      <c r="X308" s="317">
        <f t="shared" si="246"/>
        <v>0</v>
      </c>
      <c r="Y308" s="317">
        <f t="shared" si="247"/>
        <v>0</v>
      </c>
      <c r="Z308" s="317">
        <f t="shared" si="228"/>
        <v>0</v>
      </c>
      <c r="AA308" s="317">
        <f t="shared" si="229"/>
        <v>0</v>
      </c>
      <c r="AB308" s="317">
        <f t="shared" si="248"/>
        <v>0</v>
      </c>
      <c r="AC308" s="317">
        <f t="shared" si="249"/>
        <v>0</v>
      </c>
      <c r="AD308" s="317">
        <f t="shared" si="230"/>
        <v>0</v>
      </c>
      <c r="AE308" s="317">
        <f t="shared" si="231"/>
        <v>0</v>
      </c>
      <c r="AF308" s="317">
        <f t="shared" si="224"/>
        <v>0</v>
      </c>
      <c r="AG308" s="317">
        <f t="shared" si="225"/>
        <v>0</v>
      </c>
      <c r="AH308" s="317">
        <f t="shared" si="250"/>
        <v>0</v>
      </c>
      <c r="AI308" s="317">
        <f t="shared" si="251"/>
        <v>0</v>
      </c>
      <c r="AJ308" s="317">
        <f t="shared" si="252"/>
        <v>0</v>
      </c>
      <c r="AK308" s="317">
        <f t="shared" si="253"/>
        <v>0</v>
      </c>
      <c r="AL308" s="317">
        <f t="shared" si="254"/>
        <v>0</v>
      </c>
      <c r="AM308" s="317">
        <f t="shared" si="255"/>
        <v>0</v>
      </c>
      <c r="AN308" s="317">
        <f t="shared" si="256"/>
        <v>0</v>
      </c>
      <c r="AO308" s="317">
        <f t="shared" si="257"/>
        <v>0</v>
      </c>
      <c r="AP308" s="317">
        <f t="shared" si="258"/>
        <v>0</v>
      </c>
      <c r="AQ308" s="317">
        <f t="shared" si="259"/>
        <v>0</v>
      </c>
      <c r="AR308" s="317">
        <f t="shared" si="232"/>
        <v>0</v>
      </c>
      <c r="AS308" s="317">
        <f t="shared" si="233"/>
        <v>0</v>
      </c>
      <c r="AT308" s="317">
        <f t="shared" si="260"/>
        <v>0</v>
      </c>
      <c r="AU308" s="317">
        <f t="shared" si="261"/>
        <v>0</v>
      </c>
      <c r="AV308" s="317">
        <f t="shared" si="262"/>
        <v>0</v>
      </c>
      <c r="AW308" s="317">
        <f t="shared" si="263"/>
        <v>0</v>
      </c>
      <c r="AX308" s="317">
        <f t="shared" si="234"/>
        <v>0</v>
      </c>
      <c r="AY308" s="317">
        <f t="shared" si="235"/>
        <v>0</v>
      </c>
      <c r="AZ308" s="317">
        <f t="shared" si="236"/>
        <v>0</v>
      </c>
      <c r="BA308" s="317">
        <f t="shared" si="237"/>
        <v>0</v>
      </c>
    </row>
    <row r="309" spans="1:53" s="314" customFormat="1" ht="16.5" customHeight="1">
      <c r="A309" s="63" t="str">
        <f t="array" ref="A309">IF(C309&lt;&gt;0,SUM(($C$11:C309&lt;&gt;0)*1),"")</f>
        <v/>
      </c>
      <c r="B309" s="315"/>
      <c r="C309" s="315"/>
      <c r="D309" s="315"/>
      <c r="E309" s="432"/>
      <c r="F309" s="371"/>
      <c r="G309" s="373"/>
      <c r="H309" s="373"/>
      <c r="I309" s="63" t="str">
        <f t="shared" si="264"/>
        <v/>
      </c>
      <c r="J309" s="317">
        <f t="shared" si="226"/>
        <v>0</v>
      </c>
      <c r="K309" s="317">
        <f t="shared" si="227"/>
        <v>0</v>
      </c>
      <c r="L309" s="317">
        <f t="shared" si="238"/>
        <v>0</v>
      </c>
      <c r="M309" s="317">
        <f t="shared" si="239"/>
        <v>0</v>
      </c>
      <c r="N309" s="317">
        <f t="shared" si="220"/>
        <v>0</v>
      </c>
      <c r="O309" s="317">
        <f t="shared" si="221"/>
        <v>0</v>
      </c>
      <c r="P309" s="317">
        <f t="shared" si="240"/>
        <v>0</v>
      </c>
      <c r="Q309" s="317">
        <f t="shared" si="241"/>
        <v>0</v>
      </c>
      <c r="R309" s="317">
        <f t="shared" si="242"/>
        <v>0</v>
      </c>
      <c r="S309" s="317">
        <f t="shared" si="243"/>
        <v>0</v>
      </c>
      <c r="T309" s="317">
        <f t="shared" si="222"/>
        <v>0</v>
      </c>
      <c r="U309" s="317">
        <f t="shared" si="223"/>
        <v>0</v>
      </c>
      <c r="V309" s="317">
        <f t="shared" si="244"/>
        <v>0</v>
      </c>
      <c r="W309" s="317">
        <f t="shared" si="245"/>
        <v>0</v>
      </c>
      <c r="X309" s="317">
        <f t="shared" si="246"/>
        <v>0</v>
      </c>
      <c r="Y309" s="317">
        <f t="shared" si="247"/>
        <v>0</v>
      </c>
      <c r="Z309" s="317">
        <f t="shared" si="228"/>
        <v>0</v>
      </c>
      <c r="AA309" s="317">
        <f t="shared" si="229"/>
        <v>0</v>
      </c>
      <c r="AB309" s="317">
        <f t="shared" si="248"/>
        <v>0</v>
      </c>
      <c r="AC309" s="317">
        <f t="shared" si="249"/>
        <v>0</v>
      </c>
      <c r="AD309" s="317">
        <f t="shared" si="230"/>
        <v>0</v>
      </c>
      <c r="AE309" s="317">
        <f t="shared" si="231"/>
        <v>0</v>
      </c>
      <c r="AF309" s="317">
        <f t="shared" si="224"/>
        <v>0</v>
      </c>
      <c r="AG309" s="317">
        <f t="shared" si="225"/>
        <v>0</v>
      </c>
      <c r="AH309" s="317">
        <f t="shared" si="250"/>
        <v>0</v>
      </c>
      <c r="AI309" s="317">
        <f t="shared" si="251"/>
        <v>0</v>
      </c>
      <c r="AJ309" s="317">
        <f t="shared" si="252"/>
        <v>0</v>
      </c>
      <c r="AK309" s="317">
        <f t="shared" si="253"/>
        <v>0</v>
      </c>
      <c r="AL309" s="317">
        <f t="shared" si="254"/>
        <v>0</v>
      </c>
      <c r="AM309" s="317">
        <f t="shared" si="255"/>
        <v>0</v>
      </c>
      <c r="AN309" s="317">
        <f t="shared" si="256"/>
        <v>0</v>
      </c>
      <c r="AO309" s="317">
        <f t="shared" si="257"/>
        <v>0</v>
      </c>
      <c r="AP309" s="317">
        <f t="shared" si="258"/>
        <v>0</v>
      </c>
      <c r="AQ309" s="317">
        <f t="shared" si="259"/>
        <v>0</v>
      </c>
      <c r="AR309" s="317">
        <f t="shared" si="232"/>
        <v>0</v>
      </c>
      <c r="AS309" s="317">
        <f t="shared" si="233"/>
        <v>0</v>
      </c>
      <c r="AT309" s="317">
        <f t="shared" si="260"/>
        <v>0</v>
      </c>
      <c r="AU309" s="317">
        <f t="shared" si="261"/>
        <v>0</v>
      </c>
      <c r="AV309" s="317">
        <f t="shared" si="262"/>
        <v>0</v>
      </c>
      <c r="AW309" s="317">
        <f t="shared" si="263"/>
        <v>0</v>
      </c>
      <c r="AX309" s="317">
        <f t="shared" si="234"/>
        <v>0</v>
      </c>
      <c r="AY309" s="317">
        <f t="shared" si="235"/>
        <v>0</v>
      </c>
      <c r="AZ309" s="317">
        <f t="shared" si="236"/>
        <v>0</v>
      </c>
      <c r="BA309" s="317">
        <f t="shared" si="237"/>
        <v>0</v>
      </c>
    </row>
    <row r="310" spans="1:53" s="314" customFormat="1" ht="16.5" customHeight="1">
      <c r="A310" s="63" t="str">
        <f t="array" ref="A310">IF(C310&lt;&gt;0,SUM(($C$11:C310&lt;&gt;0)*1),"")</f>
        <v/>
      </c>
      <c r="B310" s="315"/>
      <c r="C310" s="315"/>
      <c r="D310" s="315"/>
      <c r="E310" s="432"/>
      <c r="F310" s="371"/>
      <c r="G310" s="373"/>
      <c r="H310" s="373"/>
      <c r="I310" s="63" t="str">
        <f t="shared" si="264"/>
        <v/>
      </c>
      <c r="J310" s="317">
        <f t="shared" si="226"/>
        <v>0</v>
      </c>
      <c r="K310" s="317">
        <f t="shared" si="227"/>
        <v>0</v>
      </c>
      <c r="L310" s="317">
        <f t="shared" si="238"/>
        <v>0</v>
      </c>
      <c r="M310" s="317">
        <f t="shared" si="239"/>
        <v>0</v>
      </c>
      <c r="N310" s="317">
        <f t="shared" si="220"/>
        <v>0</v>
      </c>
      <c r="O310" s="317">
        <f t="shared" si="221"/>
        <v>0</v>
      </c>
      <c r="P310" s="317">
        <f t="shared" si="240"/>
        <v>0</v>
      </c>
      <c r="Q310" s="317">
        <f t="shared" si="241"/>
        <v>0</v>
      </c>
      <c r="R310" s="317">
        <f t="shared" si="242"/>
        <v>0</v>
      </c>
      <c r="S310" s="317">
        <f t="shared" si="243"/>
        <v>0</v>
      </c>
      <c r="T310" s="317">
        <f t="shared" si="222"/>
        <v>0</v>
      </c>
      <c r="U310" s="317">
        <f t="shared" si="223"/>
        <v>0</v>
      </c>
      <c r="V310" s="317">
        <f t="shared" si="244"/>
        <v>0</v>
      </c>
      <c r="W310" s="317">
        <f t="shared" si="245"/>
        <v>0</v>
      </c>
      <c r="X310" s="317">
        <f t="shared" si="246"/>
        <v>0</v>
      </c>
      <c r="Y310" s="317">
        <f t="shared" si="247"/>
        <v>0</v>
      </c>
      <c r="Z310" s="317">
        <f t="shared" si="228"/>
        <v>0</v>
      </c>
      <c r="AA310" s="317">
        <f t="shared" si="229"/>
        <v>0</v>
      </c>
      <c r="AB310" s="317">
        <f t="shared" si="248"/>
        <v>0</v>
      </c>
      <c r="AC310" s="317">
        <f t="shared" si="249"/>
        <v>0</v>
      </c>
      <c r="AD310" s="317">
        <f t="shared" si="230"/>
        <v>0</v>
      </c>
      <c r="AE310" s="317">
        <f t="shared" si="231"/>
        <v>0</v>
      </c>
      <c r="AF310" s="317">
        <f t="shared" si="224"/>
        <v>0</v>
      </c>
      <c r="AG310" s="317">
        <f t="shared" si="225"/>
        <v>0</v>
      </c>
      <c r="AH310" s="317">
        <f t="shared" si="250"/>
        <v>0</v>
      </c>
      <c r="AI310" s="317">
        <f t="shared" si="251"/>
        <v>0</v>
      </c>
      <c r="AJ310" s="317">
        <f t="shared" si="252"/>
        <v>0</v>
      </c>
      <c r="AK310" s="317">
        <f t="shared" si="253"/>
        <v>0</v>
      </c>
      <c r="AL310" s="317">
        <f t="shared" si="254"/>
        <v>0</v>
      </c>
      <c r="AM310" s="317">
        <f t="shared" si="255"/>
        <v>0</v>
      </c>
      <c r="AN310" s="317">
        <f t="shared" si="256"/>
        <v>0</v>
      </c>
      <c r="AO310" s="317">
        <f t="shared" si="257"/>
        <v>0</v>
      </c>
      <c r="AP310" s="317">
        <f t="shared" si="258"/>
        <v>0</v>
      </c>
      <c r="AQ310" s="317">
        <f t="shared" si="259"/>
        <v>0</v>
      </c>
      <c r="AR310" s="317">
        <f t="shared" si="232"/>
        <v>0</v>
      </c>
      <c r="AS310" s="317">
        <f t="shared" si="233"/>
        <v>0</v>
      </c>
      <c r="AT310" s="317">
        <f t="shared" si="260"/>
        <v>0</v>
      </c>
      <c r="AU310" s="317">
        <f t="shared" si="261"/>
        <v>0</v>
      </c>
      <c r="AV310" s="317">
        <f t="shared" si="262"/>
        <v>0</v>
      </c>
      <c r="AW310" s="317">
        <f t="shared" si="263"/>
        <v>0</v>
      </c>
      <c r="AX310" s="317">
        <f t="shared" si="234"/>
        <v>0</v>
      </c>
      <c r="AY310" s="317">
        <f t="shared" si="235"/>
        <v>0</v>
      </c>
      <c r="AZ310" s="317">
        <f t="shared" si="236"/>
        <v>0</v>
      </c>
      <c r="BA310" s="317">
        <f t="shared" si="237"/>
        <v>0</v>
      </c>
    </row>
    <row r="311" spans="1:53" s="314" customFormat="1" ht="16.5" customHeight="1">
      <c r="A311" s="63" t="str">
        <f t="array" ref="A311">IF(C311&lt;&gt;0,SUM(($C$11:C311&lt;&gt;0)*1),"")</f>
        <v/>
      </c>
      <c r="B311" s="315"/>
      <c r="C311" s="315"/>
      <c r="D311" s="315"/>
      <c r="E311" s="432"/>
      <c r="F311" s="371"/>
      <c r="G311" s="373"/>
      <c r="H311" s="373"/>
      <c r="I311" s="63" t="str">
        <f t="shared" si="264"/>
        <v/>
      </c>
      <c r="J311" s="317">
        <f t="shared" si="226"/>
        <v>0</v>
      </c>
      <c r="K311" s="317">
        <f t="shared" si="227"/>
        <v>0</v>
      </c>
      <c r="L311" s="317">
        <f t="shared" si="238"/>
        <v>0</v>
      </c>
      <c r="M311" s="317">
        <f t="shared" si="239"/>
        <v>0</v>
      </c>
      <c r="N311" s="317">
        <f t="shared" si="220"/>
        <v>0</v>
      </c>
      <c r="O311" s="317">
        <f t="shared" si="221"/>
        <v>0</v>
      </c>
      <c r="P311" s="317">
        <f t="shared" si="240"/>
        <v>0</v>
      </c>
      <c r="Q311" s="317">
        <f t="shared" si="241"/>
        <v>0</v>
      </c>
      <c r="R311" s="317">
        <f t="shared" si="242"/>
        <v>0</v>
      </c>
      <c r="S311" s="317">
        <f t="shared" si="243"/>
        <v>0</v>
      </c>
      <c r="T311" s="317">
        <f t="shared" si="222"/>
        <v>0</v>
      </c>
      <c r="U311" s="317">
        <f t="shared" si="223"/>
        <v>0</v>
      </c>
      <c r="V311" s="317">
        <f t="shared" si="244"/>
        <v>0</v>
      </c>
      <c r="W311" s="317">
        <f t="shared" si="245"/>
        <v>0</v>
      </c>
      <c r="X311" s="317">
        <f t="shared" si="246"/>
        <v>0</v>
      </c>
      <c r="Y311" s="317">
        <f t="shared" si="247"/>
        <v>0</v>
      </c>
      <c r="Z311" s="317">
        <f t="shared" si="228"/>
        <v>0</v>
      </c>
      <c r="AA311" s="317">
        <f t="shared" si="229"/>
        <v>0</v>
      </c>
      <c r="AB311" s="317">
        <f t="shared" si="248"/>
        <v>0</v>
      </c>
      <c r="AC311" s="317">
        <f t="shared" si="249"/>
        <v>0</v>
      </c>
      <c r="AD311" s="317">
        <f t="shared" si="230"/>
        <v>0</v>
      </c>
      <c r="AE311" s="317">
        <f t="shared" si="231"/>
        <v>0</v>
      </c>
      <c r="AF311" s="317">
        <f t="shared" si="224"/>
        <v>0</v>
      </c>
      <c r="AG311" s="317">
        <f t="shared" si="225"/>
        <v>0</v>
      </c>
      <c r="AH311" s="317">
        <f t="shared" si="250"/>
        <v>0</v>
      </c>
      <c r="AI311" s="317">
        <f t="shared" si="251"/>
        <v>0</v>
      </c>
      <c r="AJ311" s="317">
        <f t="shared" si="252"/>
        <v>0</v>
      </c>
      <c r="AK311" s="317">
        <f t="shared" si="253"/>
        <v>0</v>
      </c>
      <c r="AL311" s="317">
        <f t="shared" si="254"/>
        <v>0</v>
      </c>
      <c r="AM311" s="317">
        <f t="shared" si="255"/>
        <v>0</v>
      </c>
      <c r="AN311" s="317">
        <f t="shared" si="256"/>
        <v>0</v>
      </c>
      <c r="AO311" s="317">
        <f t="shared" si="257"/>
        <v>0</v>
      </c>
      <c r="AP311" s="317">
        <f t="shared" si="258"/>
        <v>0</v>
      </c>
      <c r="AQ311" s="317">
        <f t="shared" si="259"/>
        <v>0</v>
      </c>
      <c r="AR311" s="317">
        <f t="shared" si="232"/>
        <v>0</v>
      </c>
      <c r="AS311" s="317">
        <f t="shared" si="233"/>
        <v>0</v>
      </c>
      <c r="AT311" s="317">
        <f t="shared" si="260"/>
        <v>0</v>
      </c>
      <c r="AU311" s="317">
        <f t="shared" si="261"/>
        <v>0</v>
      </c>
      <c r="AV311" s="317">
        <f t="shared" si="262"/>
        <v>0</v>
      </c>
      <c r="AW311" s="317">
        <f t="shared" si="263"/>
        <v>0</v>
      </c>
      <c r="AX311" s="317">
        <f t="shared" si="234"/>
        <v>0</v>
      </c>
      <c r="AY311" s="317">
        <f t="shared" si="235"/>
        <v>0</v>
      </c>
      <c r="AZ311" s="317">
        <f t="shared" si="236"/>
        <v>0</v>
      </c>
      <c r="BA311" s="317">
        <f t="shared" si="237"/>
        <v>0</v>
      </c>
    </row>
    <row r="312" spans="1:53" s="314" customFormat="1" ht="16.5" customHeight="1">
      <c r="A312" s="63" t="str">
        <f t="array" ref="A312">IF(C312&lt;&gt;0,SUM(($C$11:C312&lt;&gt;0)*1),"")</f>
        <v/>
      </c>
      <c r="B312" s="315"/>
      <c r="C312" s="315"/>
      <c r="D312" s="315"/>
      <c r="E312" s="432"/>
      <c r="F312" s="371"/>
      <c r="G312" s="373"/>
      <c r="H312" s="373"/>
      <c r="I312" s="63" t="str">
        <f t="shared" si="264"/>
        <v/>
      </c>
      <c r="J312" s="317">
        <f t="shared" si="226"/>
        <v>0</v>
      </c>
      <c r="K312" s="317">
        <f t="shared" si="227"/>
        <v>0</v>
      </c>
      <c r="L312" s="317">
        <f t="shared" si="238"/>
        <v>0</v>
      </c>
      <c r="M312" s="317">
        <f t="shared" si="239"/>
        <v>0</v>
      </c>
      <c r="N312" s="317">
        <f t="shared" si="220"/>
        <v>0</v>
      </c>
      <c r="O312" s="317">
        <f t="shared" si="221"/>
        <v>0</v>
      </c>
      <c r="P312" s="317">
        <f t="shared" si="240"/>
        <v>0</v>
      </c>
      <c r="Q312" s="317">
        <f t="shared" si="241"/>
        <v>0</v>
      </c>
      <c r="R312" s="317">
        <f t="shared" si="242"/>
        <v>0</v>
      </c>
      <c r="S312" s="317">
        <f t="shared" si="243"/>
        <v>0</v>
      </c>
      <c r="T312" s="317">
        <f t="shared" si="222"/>
        <v>0</v>
      </c>
      <c r="U312" s="317">
        <f t="shared" si="223"/>
        <v>0</v>
      </c>
      <c r="V312" s="317">
        <f t="shared" si="244"/>
        <v>0</v>
      </c>
      <c r="W312" s="317">
        <f t="shared" si="245"/>
        <v>0</v>
      </c>
      <c r="X312" s="317">
        <f t="shared" si="246"/>
        <v>0</v>
      </c>
      <c r="Y312" s="317">
        <f t="shared" si="247"/>
        <v>0</v>
      </c>
      <c r="Z312" s="317">
        <f t="shared" si="228"/>
        <v>0</v>
      </c>
      <c r="AA312" s="317">
        <f t="shared" si="229"/>
        <v>0</v>
      </c>
      <c r="AB312" s="317">
        <f t="shared" si="248"/>
        <v>0</v>
      </c>
      <c r="AC312" s="317">
        <f t="shared" si="249"/>
        <v>0</v>
      </c>
      <c r="AD312" s="317">
        <f t="shared" si="230"/>
        <v>0</v>
      </c>
      <c r="AE312" s="317">
        <f t="shared" si="231"/>
        <v>0</v>
      </c>
      <c r="AF312" s="317">
        <f t="shared" si="224"/>
        <v>0</v>
      </c>
      <c r="AG312" s="317">
        <f t="shared" si="225"/>
        <v>0</v>
      </c>
      <c r="AH312" s="317">
        <f t="shared" si="250"/>
        <v>0</v>
      </c>
      <c r="AI312" s="317">
        <f t="shared" si="251"/>
        <v>0</v>
      </c>
      <c r="AJ312" s="317">
        <f t="shared" si="252"/>
        <v>0</v>
      </c>
      <c r="AK312" s="317">
        <f t="shared" si="253"/>
        <v>0</v>
      </c>
      <c r="AL312" s="317">
        <f t="shared" si="254"/>
        <v>0</v>
      </c>
      <c r="AM312" s="317">
        <f t="shared" si="255"/>
        <v>0</v>
      </c>
      <c r="AN312" s="317">
        <f t="shared" si="256"/>
        <v>0</v>
      </c>
      <c r="AO312" s="317">
        <f t="shared" si="257"/>
        <v>0</v>
      </c>
      <c r="AP312" s="317">
        <f t="shared" si="258"/>
        <v>0</v>
      </c>
      <c r="AQ312" s="317">
        <f t="shared" si="259"/>
        <v>0</v>
      </c>
      <c r="AR312" s="317">
        <f t="shared" si="232"/>
        <v>0</v>
      </c>
      <c r="AS312" s="317">
        <f t="shared" si="233"/>
        <v>0</v>
      </c>
      <c r="AT312" s="317">
        <f t="shared" si="260"/>
        <v>0</v>
      </c>
      <c r="AU312" s="317">
        <f t="shared" si="261"/>
        <v>0</v>
      </c>
      <c r="AV312" s="317">
        <f t="shared" si="262"/>
        <v>0</v>
      </c>
      <c r="AW312" s="317">
        <f t="shared" si="263"/>
        <v>0</v>
      </c>
      <c r="AX312" s="317">
        <f t="shared" si="234"/>
        <v>0</v>
      </c>
      <c r="AY312" s="317">
        <f t="shared" si="235"/>
        <v>0</v>
      </c>
      <c r="AZ312" s="317">
        <f t="shared" si="236"/>
        <v>0</v>
      </c>
      <c r="BA312" s="317">
        <f t="shared" si="237"/>
        <v>0</v>
      </c>
    </row>
    <row r="313" spans="1:53" s="314" customFormat="1" ht="16.5" customHeight="1">
      <c r="A313" s="63" t="str">
        <f t="array" ref="A313">IF(C313&lt;&gt;0,SUM(($C$11:C313&lt;&gt;0)*1),"")</f>
        <v/>
      </c>
      <c r="B313" s="315"/>
      <c r="C313" s="315"/>
      <c r="D313" s="315"/>
      <c r="E313" s="432"/>
      <c r="F313" s="371"/>
      <c r="G313" s="373"/>
      <c r="H313" s="373"/>
      <c r="I313" s="63" t="str">
        <f t="shared" si="264"/>
        <v/>
      </c>
      <c r="J313" s="317">
        <f t="shared" si="226"/>
        <v>0</v>
      </c>
      <c r="K313" s="317">
        <f t="shared" si="227"/>
        <v>0</v>
      </c>
      <c r="L313" s="317">
        <f t="shared" si="238"/>
        <v>0</v>
      </c>
      <c r="M313" s="317">
        <f t="shared" si="239"/>
        <v>0</v>
      </c>
      <c r="N313" s="317">
        <f t="shared" si="220"/>
        <v>0</v>
      </c>
      <c r="O313" s="317">
        <f t="shared" si="221"/>
        <v>0</v>
      </c>
      <c r="P313" s="317">
        <f t="shared" si="240"/>
        <v>0</v>
      </c>
      <c r="Q313" s="317">
        <f t="shared" si="241"/>
        <v>0</v>
      </c>
      <c r="R313" s="317">
        <f t="shared" si="242"/>
        <v>0</v>
      </c>
      <c r="S313" s="317">
        <f t="shared" si="243"/>
        <v>0</v>
      </c>
      <c r="T313" s="317">
        <f t="shared" si="222"/>
        <v>0</v>
      </c>
      <c r="U313" s="317">
        <f t="shared" si="223"/>
        <v>0</v>
      </c>
      <c r="V313" s="317">
        <f t="shared" si="244"/>
        <v>0</v>
      </c>
      <c r="W313" s="317">
        <f t="shared" si="245"/>
        <v>0</v>
      </c>
      <c r="X313" s="317">
        <f t="shared" si="246"/>
        <v>0</v>
      </c>
      <c r="Y313" s="317">
        <f t="shared" si="247"/>
        <v>0</v>
      </c>
      <c r="Z313" s="317">
        <f t="shared" si="228"/>
        <v>0</v>
      </c>
      <c r="AA313" s="317">
        <f t="shared" si="229"/>
        <v>0</v>
      </c>
      <c r="AB313" s="317">
        <f t="shared" si="248"/>
        <v>0</v>
      </c>
      <c r="AC313" s="317">
        <f t="shared" si="249"/>
        <v>0</v>
      </c>
      <c r="AD313" s="317">
        <f t="shared" si="230"/>
        <v>0</v>
      </c>
      <c r="AE313" s="317">
        <f t="shared" si="231"/>
        <v>0</v>
      </c>
      <c r="AF313" s="317">
        <f t="shared" si="224"/>
        <v>0</v>
      </c>
      <c r="AG313" s="317">
        <f t="shared" si="225"/>
        <v>0</v>
      </c>
      <c r="AH313" s="317">
        <f t="shared" si="250"/>
        <v>0</v>
      </c>
      <c r="AI313" s="317">
        <f t="shared" si="251"/>
        <v>0</v>
      </c>
      <c r="AJ313" s="317">
        <f t="shared" si="252"/>
        <v>0</v>
      </c>
      <c r="AK313" s="317">
        <f t="shared" si="253"/>
        <v>0</v>
      </c>
      <c r="AL313" s="317">
        <f t="shared" si="254"/>
        <v>0</v>
      </c>
      <c r="AM313" s="317">
        <f t="shared" si="255"/>
        <v>0</v>
      </c>
      <c r="AN313" s="317">
        <f t="shared" si="256"/>
        <v>0</v>
      </c>
      <c r="AO313" s="317">
        <f t="shared" si="257"/>
        <v>0</v>
      </c>
      <c r="AP313" s="317">
        <f t="shared" si="258"/>
        <v>0</v>
      </c>
      <c r="AQ313" s="317">
        <f t="shared" si="259"/>
        <v>0</v>
      </c>
      <c r="AR313" s="317">
        <f t="shared" si="232"/>
        <v>0</v>
      </c>
      <c r="AS313" s="317">
        <f t="shared" si="233"/>
        <v>0</v>
      </c>
      <c r="AT313" s="317">
        <f t="shared" si="260"/>
        <v>0</v>
      </c>
      <c r="AU313" s="317">
        <f t="shared" si="261"/>
        <v>0</v>
      </c>
      <c r="AV313" s="317">
        <f t="shared" si="262"/>
        <v>0</v>
      </c>
      <c r="AW313" s="317">
        <f t="shared" si="263"/>
        <v>0</v>
      </c>
      <c r="AX313" s="317">
        <f t="shared" si="234"/>
        <v>0</v>
      </c>
      <c r="AY313" s="317">
        <f t="shared" si="235"/>
        <v>0</v>
      </c>
      <c r="AZ313" s="317">
        <f t="shared" si="236"/>
        <v>0</v>
      </c>
      <c r="BA313" s="317">
        <f t="shared" si="237"/>
        <v>0</v>
      </c>
    </row>
    <row r="314" spans="1:53" s="314" customFormat="1" ht="16.5" customHeight="1">
      <c r="A314" s="63" t="str">
        <f t="array" ref="A314">IF(C314&lt;&gt;0,SUM(($C$11:C314&lt;&gt;0)*1),"")</f>
        <v/>
      </c>
      <c r="B314" s="315"/>
      <c r="C314" s="315"/>
      <c r="D314" s="315"/>
      <c r="E314" s="432"/>
      <c r="F314" s="371"/>
      <c r="G314" s="373"/>
      <c r="H314" s="373"/>
      <c r="I314" s="63" t="str">
        <f t="shared" si="264"/>
        <v/>
      </c>
      <c r="J314" s="317">
        <f t="shared" si="226"/>
        <v>0</v>
      </c>
      <c r="K314" s="317">
        <f t="shared" si="227"/>
        <v>0</v>
      </c>
      <c r="L314" s="317">
        <f t="shared" si="238"/>
        <v>0</v>
      </c>
      <c r="M314" s="317">
        <f t="shared" si="239"/>
        <v>0</v>
      </c>
      <c r="N314" s="317">
        <f t="shared" si="220"/>
        <v>0</v>
      </c>
      <c r="O314" s="317">
        <f t="shared" si="221"/>
        <v>0</v>
      </c>
      <c r="P314" s="317">
        <f t="shared" si="240"/>
        <v>0</v>
      </c>
      <c r="Q314" s="317">
        <f t="shared" si="241"/>
        <v>0</v>
      </c>
      <c r="R314" s="317">
        <f t="shared" si="242"/>
        <v>0</v>
      </c>
      <c r="S314" s="317">
        <f t="shared" si="243"/>
        <v>0</v>
      </c>
      <c r="T314" s="317">
        <f t="shared" si="222"/>
        <v>0</v>
      </c>
      <c r="U314" s="317">
        <f t="shared" si="223"/>
        <v>0</v>
      </c>
      <c r="V314" s="317">
        <f t="shared" si="244"/>
        <v>0</v>
      </c>
      <c r="W314" s="317">
        <f t="shared" si="245"/>
        <v>0</v>
      </c>
      <c r="X314" s="317">
        <f t="shared" si="246"/>
        <v>0</v>
      </c>
      <c r="Y314" s="317">
        <f t="shared" si="247"/>
        <v>0</v>
      </c>
      <c r="Z314" s="317">
        <f t="shared" si="228"/>
        <v>0</v>
      </c>
      <c r="AA314" s="317">
        <f t="shared" si="229"/>
        <v>0</v>
      </c>
      <c r="AB314" s="317">
        <f t="shared" si="248"/>
        <v>0</v>
      </c>
      <c r="AC314" s="317">
        <f t="shared" si="249"/>
        <v>0</v>
      </c>
      <c r="AD314" s="317">
        <f t="shared" si="230"/>
        <v>0</v>
      </c>
      <c r="AE314" s="317">
        <f t="shared" si="231"/>
        <v>0</v>
      </c>
      <c r="AF314" s="317">
        <f t="shared" si="224"/>
        <v>0</v>
      </c>
      <c r="AG314" s="317">
        <f t="shared" si="225"/>
        <v>0</v>
      </c>
      <c r="AH314" s="317">
        <f t="shared" si="250"/>
        <v>0</v>
      </c>
      <c r="AI314" s="317">
        <f t="shared" si="251"/>
        <v>0</v>
      </c>
      <c r="AJ314" s="317">
        <f t="shared" si="252"/>
        <v>0</v>
      </c>
      <c r="AK314" s="317">
        <f t="shared" si="253"/>
        <v>0</v>
      </c>
      <c r="AL314" s="317">
        <f t="shared" si="254"/>
        <v>0</v>
      </c>
      <c r="AM314" s="317">
        <f t="shared" si="255"/>
        <v>0</v>
      </c>
      <c r="AN314" s="317">
        <f t="shared" si="256"/>
        <v>0</v>
      </c>
      <c r="AO314" s="317">
        <f t="shared" si="257"/>
        <v>0</v>
      </c>
      <c r="AP314" s="317">
        <f t="shared" si="258"/>
        <v>0</v>
      </c>
      <c r="AQ314" s="317">
        <f t="shared" si="259"/>
        <v>0</v>
      </c>
      <c r="AR314" s="317">
        <f t="shared" si="232"/>
        <v>0</v>
      </c>
      <c r="AS314" s="317">
        <f t="shared" si="233"/>
        <v>0</v>
      </c>
      <c r="AT314" s="317">
        <f t="shared" si="260"/>
        <v>0</v>
      </c>
      <c r="AU314" s="317">
        <f t="shared" si="261"/>
        <v>0</v>
      </c>
      <c r="AV314" s="317">
        <f t="shared" si="262"/>
        <v>0</v>
      </c>
      <c r="AW314" s="317">
        <f t="shared" si="263"/>
        <v>0</v>
      </c>
      <c r="AX314" s="317">
        <f t="shared" si="234"/>
        <v>0</v>
      </c>
      <c r="AY314" s="317">
        <f t="shared" si="235"/>
        <v>0</v>
      </c>
      <c r="AZ314" s="317">
        <f t="shared" si="236"/>
        <v>0</v>
      </c>
      <c r="BA314" s="317">
        <f t="shared" si="237"/>
        <v>0</v>
      </c>
    </row>
    <row r="315" spans="1:53" s="314" customFormat="1" ht="16.5" customHeight="1">
      <c r="A315" s="63" t="str">
        <f t="array" ref="A315">IF(C315&lt;&gt;0,SUM(($C$11:C315&lt;&gt;0)*1),"")</f>
        <v/>
      </c>
      <c r="B315" s="315"/>
      <c r="C315" s="315"/>
      <c r="D315" s="315"/>
      <c r="E315" s="432"/>
      <c r="F315" s="371"/>
      <c r="G315" s="373"/>
      <c r="H315" s="373"/>
      <c r="I315" s="63" t="str">
        <f t="shared" si="264"/>
        <v/>
      </c>
      <c r="J315" s="317">
        <f t="shared" si="226"/>
        <v>0</v>
      </c>
      <c r="K315" s="317">
        <f t="shared" si="227"/>
        <v>0</v>
      </c>
      <c r="L315" s="317">
        <f t="shared" si="238"/>
        <v>0</v>
      </c>
      <c r="M315" s="317">
        <f t="shared" si="239"/>
        <v>0</v>
      </c>
      <c r="N315" s="317">
        <f t="shared" si="220"/>
        <v>0</v>
      </c>
      <c r="O315" s="317">
        <f t="shared" si="221"/>
        <v>0</v>
      </c>
      <c r="P315" s="317">
        <f t="shared" si="240"/>
        <v>0</v>
      </c>
      <c r="Q315" s="317">
        <f t="shared" si="241"/>
        <v>0</v>
      </c>
      <c r="R315" s="317">
        <f t="shared" si="242"/>
        <v>0</v>
      </c>
      <c r="S315" s="317">
        <f t="shared" si="243"/>
        <v>0</v>
      </c>
      <c r="T315" s="317">
        <f t="shared" si="222"/>
        <v>0</v>
      </c>
      <c r="U315" s="317">
        <f t="shared" si="223"/>
        <v>0</v>
      </c>
      <c r="V315" s="317">
        <f t="shared" si="244"/>
        <v>0</v>
      </c>
      <c r="W315" s="317">
        <f t="shared" si="245"/>
        <v>0</v>
      </c>
      <c r="X315" s="317">
        <f t="shared" si="246"/>
        <v>0</v>
      </c>
      <c r="Y315" s="317">
        <f t="shared" si="247"/>
        <v>0</v>
      </c>
      <c r="Z315" s="317">
        <f t="shared" si="228"/>
        <v>0</v>
      </c>
      <c r="AA315" s="317">
        <f t="shared" si="229"/>
        <v>0</v>
      </c>
      <c r="AB315" s="317">
        <f t="shared" si="248"/>
        <v>0</v>
      </c>
      <c r="AC315" s="317">
        <f t="shared" si="249"/>
        <v>0</v>
      </c>
      <c r="AD315" s="317">
        <f t="shared" si="230"/>
        <v>0</v>
      </c>
      <c r="AE315" s="317">
        <f t="shared" si="231"/>
        <v>0</v>
      </c>
      <c r="AF315" s="317">
        <f t="shared" si="224"/>
        <v>0</v>
      </c>
      <c r="AG315" s="317">
        <f t="shared" si="225"/>
        <v>0</v>
      </c>
      <c r="AH315" s="317">
        <f t="shared" si="250"/>
        <v>0</v>
      </c>
      <c r="AI315" s="317">
        <f t="shared" si="251"/>
        <v>0</v>
      </c>
      <c r="AJ315" s="317">
        <f t="shared" si="252"/>
        <v>0</v>
      </c>
      <c r="AK315" s="317">
        <f t="shared" si="253"/>
        <v>0</v>
      </c>
      <c r="AL315" s="317">
        <f t="shared" si="254"/>
        <v>0</v>
      </c>
      <c r="AM315" s="317">
        <f t="shared" si="255"/>
        <v>0</v>
      </c>
      <c r="AN315" s="317">
        <f t="shared" si="256"/>
        <v>0</v>
      </c>
      <c r="AO315" s="317">
        <f t="shared" si="257"/>
        <v>0</v>
      </c>
      <c r="AP315" s="317">
        <f t="shared" si="258"/>
        <v>0</v>
      </c>
      <c r="AQ315" s="317">
        <f t="shared" si="259"/>
        <v>0</v>
      </c>
      <c r="AR315" s="317">
        <f t="shared" si="232"/>
        <v>0</v>
      </c>
      <c r="AS315" s="317">
        <f t="shared" si="233"/>
        <v>0</v>
      </c>
      <c r="AT315" s="317">
        <f t="shared" si="260"/>
        <v>0</v>
      </c>
      <c r="AU315" s="317">
        <f t="shared" si="261"/>
        <v>0</v>
      </c>
      <c r="AV315" s="317">
        <f t="shared" si="262"/>
        <v>0</v>
      </c>
      <c r="AW315" s="317">
        <f t="shared" si="263"/>
        <v>0</v>
      </c>
      <c r="AX315" s="317">
        <f t="shared" si="234"/>
        <v>0</v>
      </c>
      <c r="AY315" s="317">
        <f t="shared" si="235"/>
        <v>0</v>
      </c>
      <c r="AZ315" s="317">
        <f t="shared" si="236"/>
        <v>0</v>
      </c>
      <c r="BA315" s="317">
        <f t="shared" si="237"/>
        <v>0</v>
      </c>
    </row>
    <row r="316" spans="1:53" s="314" customFormat="1" ht="16.5" customHeight="1">
      <c r="A316" s="63" t="str">
        <f t="array" ref="A316">IF(C316&lt;&gt;0,SUM(($C$11:C316&lt;&gt;0)*1),"")</f>
        <v/>
      </c>
      <c r="B316" s="315"/>
      <c r="C316" s="315"/>
      <c r="D316" s="315"/>
      <c r="E316" s="432"/>
      <c r="F316" s="371"/>
      <c r="G316" s="373"/>
      <c r="H316" s="373"/>
      <c r="I316" s="63" t="str">
        <f t="shared" si="264"/>
        <v/>
      </c>
      <c r="J316" s="317">
        <f t="shared" si="226"/>
        <v>0</v>
      </c>
      <c r="K316" s="317">
        <f t="shared" si="227"/>
        <v>0</v>
      </c>
      <c r="L316" s="317">
        <f t="shared" si="238"/>
        <v>0</v>
      </c>
      <c r="M316" s="317">
        <f t="shared" si="239"/>
        <v>0</v>
      </c>
      <c r="N316" s="317">
        <f t="shared" si="220"/>
        <v>0</v>
      </c>
      <c r="O316" s="317">
        <f t="shared" si="221"/>
        <v>0</v>
      </c>
      <c r="P316" s="317">
        <f t="shared" si="240"/>
        <v>0</v>
      </c>
      <c r="Q316" s="317">
        <f t="shared" si="241"/>
        <v>0</v>
      </c>
      <c r="R316" s="317">
        <f t="shared" si="242"/>
        <v>0</v>
      </c>
      <c r="S316" s="317">
        <f t="shared" si="243"/>
        <v>0</v>
      </c>
      <c r="T316" s="317">
        <f t="shared" si="222"/>
        <v>0</v>
      </c>
      <c r="U316" s="317">
        <f t="shared" si="223"/>
        <v>0</v>
      </c>
      <c r="V316" s="317">
        <f t="shared" si="244"/>
        <v>0</v>
      </c>
      <c r="W316" s="317">
        <f t="shared" si="245"/>
        <v>0</v>
      </c>
      <c r="X316" s="317">
        <f t="shared" si="246"/>
        <v>0</v>
      </c>
      <c r="Y316" s="317">
        <f t="shared" si="247"/>
        <v>0</v>
      </c>
      <c r="Z316" s="317">
        <f t="shared" si="228"/>
        <v>0</v>
      </c>
      <c r="AA316" s="317">
        <f t="shared" si="229"/>
        <v>0</v>
      </c>
      <c r="AB316" s="317">
        <f t="shared" si="248"/>
        <v>0</v>
      </c>
      <c r="AC316" s="317">
        <f t="shared" si="249"/>
        <v>0</v>
      </c>
      <c r="AD316" s="317">
        <f t="shared" si="230"/>
        <v>0</v>
      </c>
      <c r="AE316" s="317">
        <f t="shared" si="231"/>
        <v>0</v>
      </c>
      <c r="AF316" s="317">
        <f t="shared" si="224"/>
        <v>0</v>
      </c>
      <c r="AG316" s="317">
        <f t="shared" si="225"/>
        <v>0</v>
      </c>
      <c r="AH316" s="317">
        <f t="shared" si="250"/>
        <v>0</v>
      </c>
      <c r="AI316" s="317">
        <f t="shared" si="251"/>
        <v>0</v>
      </c>
      <c r="AJ316" s="317">
        <f t="shared" si="252"/>
        <v>0</v>
      </c>
      <c r="AK316" s="317">
        <f t="shared" si="253"/>
        <v>0</v>
      </c>
      <c r="AL316" s="317">
        <f t="shared" si="254"/>
        <v>0</v>
      </c>
      <c r="AM316" s="317">
        <f t="shared" si="255"/>
        <v>0</v>
      </c>
      <c r="AN316" s="317">
        <f t="shared" si="256"/>
        <v>0</v>
      </c>
      <c r="AO316" s="317">
        <f t="shared" si="257"/>
        <v>0</v>
      </c>
      <c r="AP316" s="317">
        <f t="shared" si="258"/>
        <v>0</v>
      </c>
      <c r="AQ316" s="317">
        <f t="shared" si="259"/>
        <v>0</v>
      </c>
      <c r="AR316" s="317">
        <f t="shared" si="232"/>
        <v>0</v>
      </c>
      <c r="AS316" s="317">
        <f t="shared" si="233"/>
        <v>0</v>
      </c>
      <c r="AT316" s="317">
        <f t="shared" si="260"/>
        <v>0</v>
      </c>
      <c r="AU316" s="317">
        <f t="shared" si="261"/>
        <v>0</v>
      </c>
      <c r="AV316" s="317">
        <f t="shared" si="262"/>
        <v>0</v>
      </c>
      <c r="AW316" s="317">
        <f t="shared" si="263"/>
        <v>0</v>
      </c>
      <c r="AX316" s="317">
        <f t="shared" si="234"/>
        <v>0</v>
      </c>
      <c r="AY316" s="317">
        <f t="shared" si="235"/>
        <v>0</v>
      </c>
      <c r="AZ316" s="317">
        <f t="shared" si="236"/>
        <v>0</v>
      </c>
      <c r="BA316" s="317">
        <f t="shared" si="237"/>
        <v>0</v>
      </c>
    </row>
    <row r="317" spans="1:53" s="314" customFormat="1" ht="16.5" customHeight="1">
      <c r="A317" s="63" t="str">
        <f t="array" ref="A317">IF(C317&lt;&gt;0,SUM(($C$11:C317&lt;&gt;0)*1),"")</f>
        <v/>
      </c>
      <c r="B317" s="315"/>
      <c r="C317" s="315"/>
      <c r="D317" s="315"/>
      <c r="E317" s="432"/>
      <c r="F317" s="371"/>
      <c r="G317" s="373"/>
      <c r="H317" s="373"/>
      <c r="I317" s="63" t="str">
        <f t="shared" si="264"/>
        <v/>
      </c>
      <c r="J317" s="317">
        <f t="shared" si="226"/>
        <v>0</v>
      </c>
      <c r="K317" s="317">
        <f t="shared" si="227"/>
        <v>0</v>
      </c>
      <c r="L317" s="317">
        <f t="shared" si="238"/>
        <v>0</v>
      </c>
      <c r="M317" s="317">
        <f t="shared" si="239"/>
        <v>0</v>
      </c>
      <c r="N317" s="317">
        <f t="shared" si="220"/>
        <v>0</v>
      </c>
      <c r="O317" s="317">
        <f t="shared" si="221"/>
        <v>0</v>
      </c>
      <c r="P317" s="317">
        <f t="shared" si="240"/>
        <v>0</v>
      </c>
      <c r="Q317" s="317">
        <f t="shared" si="241"/>
        <v>0</v>
      </c>
      <c r="R317" s="317">
        <f t="shared" si="242"/>
        <v>0</v>
      </c>
      <c r="S317" s="317">
        <f t="shared" si="243"/>
        <v>0</v>
      </c>
      <c r="T317" s="317">
        <f t="shared" si="222"/>
        <v>0</v>
      </c>
      <c r="U317" s="317">
        <f t="shared" si="223"/>
        <v>0</v>
      </c>
      <c r="V317" s="317">
        <f t="shared" si="244"/>
        <v>0</v>
      </c>
      <c r="W317" s="317">
        <f t="shared" si="245"/>
        <v>0</v>
      </c>
      <c r="X317" s="317">
        <f t="shared" si="246"/>
        <v>0</v>
      </c>
      <c r="Y317" s="317">
        <f t="shared" si="247"/>
        <v>0</v>
      </c>
      <c r="Z317" s="317">
        <f t="shared" si="228"/>
        <v>0</v>
      </c>
      <c r="AA317" s="317">
        <f t="shared" si="229"/>
        <v>0</v>
      </c>
      <c r="AB317" s="317">
        <f t="shared" si="248"/>
        <v>0</v>
      </c>
      <c r="AC317" s="317">
        <f t="shared" si="249"/>
        <v>0</v>
      </c>
      <c r="AD317" s="317">
        <f t="shared" si="230"/>
        <v>0</v>
      </c>
      <c r="AE317" s="317">
        <f t="shared" si="231"/>
        <v>0</v>
      </c>
      <c r="AF317" s="317">
        <f t="shared" si="224"/>
        <v>0</v>
      </c>
      <c r="AG317" s="317">
        <f t="shared" si="225"/>
        <v>0</v>
      </c>
      <c r="AH317" s="317">
        <f t="shared" si="250"/>
        <v>0</v>
      </c>
      <c r="AI317" s="317">
        <f t="shared" si="251"/>
        <v>0</v>
      </c>
      <c r="AJ317" s="317">
        <f t="shared" si="252"/>
        <v>0</v>
      </c>
      <c r="AK317" s="317">
        <f t="shared" si="253"/>
        <v>0</v>
      </c>
      <c r="AL317" s="317">
        <f t="shared" si="254"/>
        <v>0</v>
      </c>
      <c r="AM317" s="317">
        <f t="shared" si="255"/>
        <v>0</v>
      </c>
      <c r="AN317" s="317">
        <f t="shared" si="256"/>
        <v>0</v>
      </c>
      <c r="AO317" s="317">
        <f t="shared" si="257"/>
        <v>0</v>
      </c>
      <c r="AP317" s="317">
        <f t="shared" si="258"/>
        <v>0</v>
      </c>
      <c r="AQ317" s="317">
        <f t="shared" si="259"/>
        <v>0</v>
      </c>
      <c r="AR317" s="317">
        <f t="shared" si="232"/>
        <v>0</v>
      </c>
      <c r="AS317" s="317">
        <f t="shared" si="233"/>
        <v>0</v>
      </c>
      <c r="AT317" s="317">
        <f t="shared" si="260"/>
        <v>0</v>
      </c>
      <c r="AU317" s="317">
        <f t="shared" si="261"/>
        <v>0</v>
      </c>
      <c r="AV317" s="317">
        <f t="shared" si="262"/>
        <v>0</v>
      </c>
      <c r="AW317" s="317">
        <f t="shared" si="263"/>
        <v>0</v>
      </c>
      <c r="AX317" s="317">
        <f t="shared" si="234"/>
        <v>0</v>
      </c>
      <c r="AY317" s="317">
        <f t="shared" si="235"/>
        <v>0</v>
      </c>
      <c r="AZ317" s="317">
        <f t="shared" si="236"/>
        <v>0</v>
      </c>
      <c r="BA317" s="317">
        <f t="shared" si="237"/>
        <v>0</v>
      </c>
    </row>
    <row r="318" spans="1:53" s="314" customFormat="1" ht="16.5" customHeight="1">
      <c r="A318" s="63" t="str">
        <f t="array" ref="A318">IF(C318&lt;&gt;0,SUM(($C$11:C318&lt;&gt;0)*1),"")</f>
        <v/>
      </c>
      <c r="B318" s="315"/>
      <c r="C318" s="315"/>
      <c r="D318" s="315"/>
      <c r="E318" s="432"/>
      <c r="F318" s="371"/>
      <c r="G318" s="373"/>
      <c r="H318" s="373"/>
      <c r="I318" s="63" t="str">
        <f t="shared" si="264"/>
        <v/>
      </c>
      <c r="J318" s="317">
        <f t="shared" si="226"/>
        <v>0</v>
      </c>
      <c r="K318" s="317">
        <f t="shared" si="227"/>
        <v>0</v>
      </c>
      <c r="L318" s="317">
        <f t="shared" si="238"/>
        <v>0</v>
      </c>
      <c r="M318" s="317">
        <f t="shared" si="239"/>
        <v>0</v>
      </c>
      <c r="N318" s="317">
        <f t="shared" si="220"/>
        <v>0</v>
      </c>
      <c r="O318" s="317">
        <f t="shared" si="221"/>
        <v>0</v>
      </c>
      <c r="P318" s="317">
        <f t="shared" si="240"/>
        <v>0</v>
      </c>
      <c r="Q318" s="317">
        <f t="shared" si="241"/>
        <v>0</v>
      </c>
      <c r="R318" s="317">
        <f t="shared" si="242"/>
        <v>0</v>
      </c>
      <c r="S318" s="317">
        <f t="shared" si="243"/>
        <v>0</v>
      </c>
      <c r="T318" s="317">
        <f t="shared" si="222"/>
        <v>0</v>
      </c>
      <c r="U318" s="317">
        <f t="shared" si="223"/>
        <v>0</v>
      </c>
      <c r="V318" s="317">
        <f t="shared" si="244"/>
        <v>0</v>
      </c>
      <c r="W318" s="317">
        <f t="shared" si="245"/>
        <v>0</v>
      </c>
      <c r="X318" s="317">
        <f t="shared" si="246"/>
        <v>0</v>
      </c>
      <c r="Y318" s="317">
        <f t="shared" si="247"/>
        <v>0</v>
      </c>
      <c r="Z318" s="317">
        <f t="shared" si="228"/>
        <v>0</v>
      </c>
      <c r="AA318" s="317">
        <f t="shared" si="229"/>
        <v>0</v>
      </c>
      <c r="AB318" s="317">
        <f t="shared" si="248"/>
        <v>0</v>
      </c>
      <c r="AC318" s="317">
        <f t="shared" si="249"/>
        <v>0</v>
      </c>
      <c r="AD318" s="317">
        <f t="shared" si="230"/>
        <v>0</v>
      </c>
      <c r="AE318" s="317">
        <f t="shared" si="231"/>
        <v>0</v>
      </c>
      <c r="AF318" s="317">
        <f t="shared" si="224"/>
        <v>0</v>
      </c>
      <c r="AG318" s="317">
        <f t="shared" si="225"/>
        <v>0</v>
      </c>
      <c r="AH318" s="317">
        <f t="shared" si="250"/>
        <v>0</v>
      </c>
      <c r="AI318" s="317">
        <f t="shared" si="251"/>
        <v>0</v>
      </c>
      <c r="AJ318" s="317">
        <f t="shared" si="252"/>
        <v>0</v>
      </c>
      <c r="AK318" s="317">
        <f t="shared" si="253"/>
        <v>0</v>
      </c>
      <c r="AL318" s="317">
        <f t="shared" si="254"/>
        <v>0</v>
      </c>
      <c r="AM318" s="317">
        <f t="shared" si="255"/>
        <v>0</v>
      </c>
      <c r="AN318" s="317">
        <f t="shared" si="256"/>
        <v>0</v>
      </c>
      <c r="AO318" s="317">
        <f t="shared" si="257"/>
        <v>0</v>
      </c>
      <c r="AP318" s="317">
        <f t="shared" si="258"/>
        <v>0</v>
      </c>
      <c r="AQ318" s="317">
        <f t="shared" si="259"/>
        <v>0</v>
      </c>
      <c r="AR318" s="317">
        <f t="shared" si="232"/>
        <v>0</v>
      </c>
      <c r="AS318" s="317">
        <f t="shared" si="233"/>
        <v>0</v>
      </c>
      <c r="AT318" s="317">
        <f t="shared" si="260"/>
        <v>0</v>
      </c>
      <c r="AU318" s="317">
        <f t="shared" si="261"/>
        <v>0</v>
      </c>
      <c r="AV318" s="317">
        <f t="shared" si="262"/>
        <v>0</v>
      </c>
      <c r="AW318" s="317">
        <f t="shared" si="263"/>
        <v>0</v>
      </c>
      <c r="AX318" s="317">
        <f t="shared" si="234"/>
        <v>0</v>
      </c>
      <c r="AY318" s="317">
        <f t="shared" si="235"/>
        <v>0</v>
      </c>
      <c r="AZ318" s="317">
        <f t="shared" si="236"/>
        <v>0</v>
      </c>
      <c r="BA318" s="317">
        <f t="shared" si="237"/>
        <v>0</v>
      </c>
    </row>
    <row r="319" spans="1:53" s="314" customFormat="1" ht="16.5" customHeight="1">
      <c r="A319" s="63" t="str">
        <f t="array" ref="A319">IF(C319&lt;&gt;0,SUM(($C$11:C319&lt;&gt;0)*1),"")</f>
        <v/>
      </c>
      <c r="B319" s="315"/>
      <c r="C319" s="315"/>
      <c r="D319" s="315"/>
      <c r="E319" s="432"/>
      <c r="F319" s="371"/>
      <c r="G319" s="373"/>
      <c r="H319" s="373"/>
      <c r="I319" s="63" t="str">
        <f t="shared" si="264"/>
        <v/>
      </c>
      <c r="J319" s="317">
        <f t="shared" si="226"/>
        <v>0</v>
      </c>
      <c r="K319" s="317">
        <f t="shared" si="227"/>
        <v>0</v>
      </c>
      <c r="L319" s="317">
        <f t="shared" si="238"/>
        <v>0</v>
      </c>
      <c r="M319" s="317">
        <f t="shared" si="239"/>
        <v>0</v>
      </c>
      <c r="N319" s="317">
        <f t="shared" si="220"/>
        <v>0</v>
      </c>
      <c r="O319" s="317">
        <f t="shared" si="221"/>
        <v>0</v>
      </c>
      <c r="P319" s="317">
        <f t="shared" si="240"/>
        <v>0</v>
      </c>
      <c r="Q319" s="317">
        <f t="shared" si="241"/>
        <v>0</v>
      </c>
      <c r="R319" s="317">
        <f t="shared" si="242"/>
        <v>0</v>
      </c>
      <c r="S319" s="317">
        <f t="shared" si="243"/>
        <v>0</v>
      </c>
      <c r="T319" s="317">
        <f t="shared" si="222"/>
        <v>0</v>
      </c>
      <c r="U319" s="317">
        <f t="shared" si="223"/>
        <v>0</v>
      </c>
      <c r="V319" s="317">
        <f t="shared" si="244"/>
        <v>0</v>
      </c>
      <c r="W319" s="317">
        <f t="shared" si="245"/>
        <v>0</v>
      </c>
      <c r="X319" s="317">
        <f t="shared" si="246"/>
        <v>0</v>
      </c>
      <c r="Y319" s="317">
        <f t="shared" si="247"/>
        <v>0</v>
      </c>
      <c r="Z319" s="317">
        <f t="shared" si="228"/>
        <v>0</v>
      </c>
      <c r="AA319" s="317">
        <f t="shared" si="229"/>
        <v>0</v>
      </c>
      <c r="AB319" s="317">
        <f t="shared" si="248"/>
        <v>0</v>
      </c>
      <c r="AC319" s="317">
        <f t="shared" si="249"/>
        <v>0</v>
      </c>
      <c r="AD319" s="317">
        <f t="shared" si="230"/>
        <v>0</v>
      </c>
      <c r="AE319" s="317">
        <f t="shared" si="231"/>
        <v>0</v>
      </c>
      <c r="AF319" s="317">
        <f t="shared" si="224"/>
        <v>0</v>
      </c>
      <c r="AG319" s="317">
        <f t="shared" si="225"/>
        <v>0</v>
      </c>
      <c r="AH319" s="317">
        <f t="shared" si="250"/>
        <v>0</v>
      </c>
      <c r="AI319" s="317">
        <f t="shared" si="251"/>
        <v>0</v>
      </c>
      <c r="AJ319" s="317">
        <f t="shared" si="252"/>
        <v>0</v>
      </c>
      <c r="AK319" s="317">
        <f t="shared" si="253"/>
        <v>0</v>
      </c>
      <c r="AL319" s="317">
        <f t="shared" si="254"/>
        <v>0</v>
      </c>
      <c r="AM319" s="317">
        <f t="shared" si="255"/>
        <v>0</v>
      </c>
      <c r="AN319" s="317">
        <f t="shared" si="256"/>
        <v>0</v>
      </c>
      <c r="AO319" s="317">
        <f t="shared" si="257"/>
        <v>0</v>
      </c>
      <c r="AP319" s="317">
        <f t="shared" si="258"/>
        <v>0</v>
      </c>
      <c r="AQ319" s="317">
        <f t="shared" si="259"/>
        <v>0</v>
      </c>
      <c r="AR319" s="317">
        <f t="shared" si="232"/>
        <v>0</v>
      </c>
      <c r="AS319" s="317">
        <f t="shared" si="233"/>
        <v>0</v>
      </c>
      <c r="AT319" s="317">
        <f t="shared" si="260"/>
        <v>0</v>
      </c>
      <c r="AU319" s="317">
        <f t="shared" si="261"/>
        <v>0</v>
      </c>
      <c r="AV319" s="317">
        <f t="shared" si="262"/>
        <v>0</v>
      </c>
      <c r="AW319" s="317">
        <f t="shared" si="263"/>
        <v>0</v>
      </c>
      <c r="AX319" s="317">
        <f t="shared" si="234"/>
        <v>0</v>
      </c>
      <c r="AY319" s="317">
        <f t="shared" si="235"/>
        <v>0</v>
      </c>
      <c r="AZ319" s="317">
        <f t="shared" si="236"/>
        <v>0</v>
      </c>
      <c r="BA319" s="317">
        <f t="shared" si="237"/>
        <v>0</v>
      </c>
    </row>
    <row r="320" spans="1:53" s="314" customFormat="1" ht="16.5" customHeight="1">
      <c r="A320" s="63" t="str">
        <f t="array" ref="A320">IF(C320&lt;&gt;0,SUM(($C$11:C320&lt;&gt;0)*1),"")</f>
        <v/>
      </c>
      <c r="B320" s="315"/>
      <c r="C320" s="315"/>
      <c r="D320" s="315"/>
      <c r="E320" s="432"/>
      <c r="F320" s="371"/>
      <c r="G320" s="373"/>
      <c r="H320" s="373"/>
      <c r="I320" s="63" t="str">
        <f t="shared" si="264"/>
        <v/>
      </c>
      <c r="J320" s="317">
        <f t="shared" si="226"/>
        <v>0</v>
      </c>
      <c r="K320" s="317">
        <f t="shared" si="227"/>
        <v>0</v>
      </c>
      <c r="L320" s="317">
        <f t="shared" si="238"/>
        <v>0</v>
      </c>
      <c r="M320" s="317">
        <f t="shared" si="239"/>
        <v>0</v>
      </c>
      <c r="N320" s="317">
        <f t="shared" si="220"/>
        <v>0</v>
      </c>
      <c r="O320" s="317">
        <f t="shared" si="221"/>
        <v>0</v>
      </c>
      <c r="P320" s="317">
        <f t="shared" si="240"/>
        <v>0</v>
      </c>
      <c r="Q320" s="317">
        <f t="shared" si="241"/>
        <v>0</v>
      </c>
      <c r="R320" s="317">
        <f t="shared" si="242"/>
        <v>0</v>
      </c>
      <c r="S320" s="317">
        <f t="shared" si="243"/>
        <v>0</v>
      </c>
      <c r="T320" s="317">
        <f t="shared" si="222"/>
        <v>0</v>
      </c>
      <c r="U320" s="317">
        <f t="shared" si="223"/>
        <v>0</v>
      </c>
      <c r="V320" s="317">
        <f t="shared" si="244"/>
        <v>0</v>
      </c>
      <c r="W320" s="317">
        <f t="shared" si="245"/>
        <v>0</v>
      </c>
      <c r="X320" s="317">
        <f t="shared" si="246"/>
        <v>0</v>
      </c>
      <c r="Y320" s="317">
        <f t="shared" si="247"/>
        <v>0</v>
      </c>
      <c r="Z320" s="317">
        <f t="shared" si="228"/>
        <v>0</v>
      </c>
      <c r="AA320" s="317">
        <f t="shared" si="229"/>
        <v>0</v>
      </c>
      <c r="AB320" s="317">
        <f t="shared" si="248"/>
        <v>0</v>
      </c>
      <c r="AC320" s="317">
        <f t="shared" si="249"/>
        <v>0</v>
      </c>
      <c r="AD320" s="317">
        <f t="shared" si="230"/>
        <v>0</v>
      </c>
      <c r="AE320" s="317">
        <f t="shared" si="231"/>
        <v>0</v>
      </c>
      <c r="AF320" s="317">
        <f t="shared" si="224"/>
        <v>0</v>
      </c>
      <c r="AG320" s="317">
        <f t="shared" si="225"/>
        <v>0</v>
      </c>
      <c r="AH320" s="317">
        <f t="shared" si="250"/>
        <v>0</v>
      </c>
      <c r="AI320" s="317">
        <f t="shared" si="251"/>
        <v>0</v>
      </c>
      <c r="AJ320" s="317">
        <f t="shared" si="252"/>
        <v>0</v>
      </c>
      <c r="AK320" s="317">
        <f t="shared" si="253"/>
        <v>0</v>
      </c>
      <c r="AL320" s="317">
        <f t="shared" si="254"/>
        <v>0</v>
      </c>
      <c r="AM320" s="317">
        <f t="shared" si="255"/>
        <v>0</v>
      </c>
      <c r="AN320" s="317">
        <f t="shared" si="256"/>
        <v>0</v>
      </c>
      <c r="AO320" s="317">
        <f t="shared" si="257"/>
        <v>0</v>
      </c>
      <c r="AP320" s="317">
        <f t="shared" si="258"/>
        <v>0</v>
      </c>
      <c r="AQ320" s="317">
        <f t="shared" si="259"/>
        <v>0</v>
      </c>
      <c r="AR320" s="317">
        <f t="shared" si="232"/>
        <v>0</v>
      </c>
      <c r="AS320" s="317">
        <f t="shared" si="233"/>
        <v>0</v>
      </c>
      <c r="AT320" s="317">
        <f t="shared" si="260"/>
        <v>0</v>
      </c>
      <c r="AU320" s="317">
        <f t="shared" si="261"/>
        <v>0</v>
      </c>
      <c r="AV320" s="317">
        <f t="shared" si="262"/>
        <v>0</v>
      </c>
      <c r="AW320" s="317">
        <f t="shared" si="263"/>
        <v>0</v>
      </c>
      <c r="AX320" s="317">
        <f t="shared" si="234"/>
        <v>0</v>
      </c>
      <c r="AY320" s="317">
        <f t="shared" si="235"/>
        <v>0</v>
      </c>
      <c r="AZ320" s="317">
        <f t="shared" si="236"/>
        <v>0</v>
      </c>
      <c r="BA320" s="317">
        <f t="shared" si="237"/>
        <v>0</v>
      </c>
    </row>
    <row r="321" spans="1:53" s="314" customFormat="1" ht="16.5" customHeight="1">
      <c r="A321" s="63" t="str">
        <f t="array" ref="A321">IF(C321&lt;&gt;0,SUM(($C$11:C321&lt;&gt;0)*1),"")</f>
        <v/>
      </c>
      <c r="B321" s="315"/>
      <c r="C321" s="315"/>
      <c r="D321" s="315"/>
      <c r="E321" s="432"/>
      <c r="F321" s="371"/>
      <c r="G321" s="373"/>
      <c r="H321" s="373"/>
      <c r="I321" s="63" t="str">
        <f t="shared" si="264"/>
        <v/>
      </c>
      <c r="J321" s="317">
        <f t="shared" si="226"/>
        <v>0</v>
      </c>
      <c r="K321" s="317">
        <f t="shared" si="227"/>
        <v>0</v>
      </c>
      <c r="L321" s="317">
        <f t="shared" si="238"/>
        <v>0</v>
      </c>
      <c r="M321" s="317">
        <f t="shared" si="239"/>
        <v>0</v>
      </c>
      <c r="N321" s="317">
        <f t="shared" si="220"/>
        <v>0</v>
      </c>
      <c r="O321" s="317">
        <f t="shared" si="221"/>
        <v>0</v>
      </c>
      <c r="P321" s="317">
        <f t="shared" si="240"/>
        <v>0</v>
      </c>
      <c r="Q321" s="317">
        <f t="shared" si="241"/>
        <v>0</v>
      </c>
      <c r="R321" s="317">
        <f t="shared" si="242"/>
        <v>0</v>
      </c>
      <c r="S321" s="317">
        <f t="shared" si="243"/>
        <v>0</v>
      </c>
      <c r="T321" s="317">
        <f t="shared" si="222"/>
        <v>0</v>
      </c>
      <c r="U321" s="317">
        <f t="shared" si="223"/>
        <v>0</v>
      </c>
      <c r="V321" s="317">
        <f t="shared" si="244"/>
        <v>0</v>
      </c>
      <c r="W321" s="317">
        <f t="shared" si="245"/>
        <v>0</v>
      </c>
      <c r="X321" s="317">
        <f t="shared" si="246"/>
        <v>0</v>
      </c>
      <c r="Y321" s="317">
        <f t="shared" si="247"/>
        <v>0</v>
      </c>
      <c r="Z321" s="317">
        <f t="shared" si="228"/>
        <v>0</v>
      </c>
      <c r="AA321" s="317">
        <f t="shared" si="229"/>
        <v>0</v>
      </c>
      <c r="AB321" s="317">
        <f t="shared" si="248"/>
        <v>0</v>
      </c>
      <c r="AC321" s="317">
        <f t="shared" si="249"/>
        <v>0</v>
      </c>
      <c r="AD321" s="317">
        <f t="shared" si="230"/>
        <v>0</v>
      </c>
      <c r="AE321" s="317">
        <f t="shared" si="231"/>
        <v>0</v>
      </c>
      <c r="AF321" s="317">
        <f t="shared" si="224"/>
        <v>0</v>
      </c>
      <c r="AG321" s="317">
        <f t="shared" si="225"/>
        <v>0</v>
      </c>
      <c r="AH321" s="317">
        <f t="shared" si="250"/>
        <v>0</v>
      </c>
      <c r="AI321" s="317">
        <f t="shared" si="251"/>
        <v>0</v>
      </c>
      <c r="AJ321" s="317">
        <f t="shared" si="252"/>
        <v>0</v>
      </c>
      <c r="AK321" s="317">
        <f t="shared" si="253"/>
        <v>0</v>
      </c>
      <c r="AL321" s="317">
        <f t="shared" si="254"/>
        <v>0</v>
      </c>
      <c r="AM321" s="317">
        <f t="shared" si="255"/>
        <v>0</v>
      </c>
      <c r="AN321" s="317">
        <f t="shared" si="256"/>
        <v>0</v>
      </c>
      <c r="AO321" s="317">
        <f t="shared" si="257"/>
        <v>0</v>
      </c>
      <c r="AP321" s="317">
        <f t="shared" si="258"/>
        <v>0</v>
      </c>
      <c r="AQ321" s="317">
        <f t="shared" si="259"/>
        <v>0</v>
      </c>
      <c r="AR321" s="317">
        <f t="shared" si="232"/>
        <v>0</v>
      </c>
      <c r="AS321" s="317">
        <f t="shared" si="233"/>
        <v>0</v>
      </c>
      <c r="AT321" s="317">
        <f t="shared" si="260"/>
        <v>0</v>
      </c>
      <c r="AU321" s="317">
        <f t="shared" si="261"/>
        <v>0</v>
      </c>
      <c r="AV321" s="317">
        <f t="shared" si="262"/>
        <v>0</v>
      </c>
      <c r="AW321" s="317">
        <f t="shared" si="263"/>
        <v>0</v>
      </c>
      <c r="AX321" s="317">
        <f t="shared" si="234"/>
        <v>0</v>
      </c>
      <c r="AY321" s="317">
        <f t="shared" si="235"/>
        <v>0</v>
      </c>
      <c r="AZ321" s="317">
        <f t="shared" si="236"/>
        <v>0</v>
      </c>
      <c r="BA321" s="317">
        <f t="shared" si="237"/>
        <v>0</v>
      </c>
    </row>
    <row r="322" spans="1:53" s="314" customFormat="1" ht="16.5" customHeight="1">
      <c r="A322" s="63" t="str">
        <f t="array" ref="A322">IF(C322&lt;&gt;0,SUM(($C$11:C322&lt;&gt;0)*1),"")</f>
        <v/>
      </c>
      <c r="B322" s="315"/>
      <c r="C322" s="315"/>
      <c r="D322" s="315"/>
      <c r="E322" s="432"/>
      <c r="F322" s="371"/>
      <c r="G322" s="373"/>
      <c r="H322" s="373"/>
      <c r="I322" s="63" t="str">
        <f t="shared" si="264"/>
        <v/>
      </c>
      <c r="J322" s="317">
        <f t="shared" si="226"/>
        <v>0</v>
      </c>
      <c r="K322" s="317">
        <f t="shared" si="227"/>
        <v>0</v>
      </c>
      <c r="L322" s="317">
        <f t="shared" si="238"/>
        <v>0</v>
      </c>
      <c r="M322" s="317">
        <f t="shared" si="239"/>
        <v>0</v>
      </c>
      <c r="N322" s="317">
        <f t="shared" si="220"/>
        <v>0</v>
      </c>
      <c r="O322" s="317">
        <f t="shared" si="221"/>
        <v>0</v>
      </c>
      <c r="P322" s="317">
        <f t="shared" si="240"/>
        <v>0</v>
      </c>
      <c r="Q322" s="317">
        <f t="shared" si="241"/>
        <v>0</v>
      </c>
      <c r="R322" s="317">
        <f t="shared" si="242"/>
        <v>0</v>
      </c>
      <c r="S322" s="317">
        <f t="shared" si="243"/>
        <v>0</v>
      </c>
      <c r="T322" s="317">
        <f t="shared" si="222"/>
        <v>0</v>
      </c>
      <c r="U322" s="317">
        <f t="shared" si="223"/>
        <v>0</v>
      </c>
      <c r="V322" s="317">
        <f t="shared" si="244"/>
        <v>0</v>
      </c>
      <c r="W322" s="317">
        <f t="shared" si="245"/>
        <v>0</v>
      </c>
      <c r="X322" s="317">
        <f t="shared" si="246"/>
        <v>0</v>
      </c>
      <c r="Y322" s="317">
        <f t="shared" si="247"/>
        <v>0</v>
      </c>
      <c r="Z322" s="317">
        <f t="shared" si="228"/>
        <v>0</v>
      </c>
      <c r="AA322" s="317">
        <f t="shared" si="229"/>
        <v>0</v>
      </c>
      <c r="AB322" s="317">
        <f t="shared" si="248"/>
        <v>0</v>
      </c>
      <c r="AC322" s="317">
        <f t="shared" si="249"/>
        <v>0</v>
      </c>
      <c r="AD322" s="317">
        <f t="shared" si="230"/>
        <v>0</v>
      </c>
      <c r="AE322" s="317">
        <f t="shared" si="231"/>
        <v>0</v>
      </c>
      <c r="AF322" s="317">
        <f t="shared" si="224"/>
        <v>0</v>
      </c>
      <c r="AG322" s="317">
        <f t="shared" si="225"/>
        <v>0</v>
      </c>
      <c r="AH322" s="317">
        <f t="shared" si="250"/>
        <v>0</v>
      </c>
      <c r="AI322" s="317">
        <f t="shared" si="251"/>
        <v>0</v>
      </c>
      <c r="AJ322" s="317">
        <f t="shared" si="252"/>
        <v>0</v>
      </c>
      <c r="AK322" s="317">
        <f t="shared" si="253"/>
        <v>0</v>
      </c>
      <c r="AL322" s="317">
        <f t="shared" si="254"/>
        <v>0</v>
      </c>
      <c r="AM322" s="317">
        <f t="shared" si="255"/>
        <v>0</v>
      </c>
      <c r="AN322" s="317">
        <f t="shared" si="256"/>
        <v>0</v>
      </c>
      <c r="AO322" s="317">
        <f t="shared" si="257"/>
        <v>0</v>
      </c>
      <c r="AP322" s="317">
        <f t="shared" si="258"/>
        <v>0</v>
      </c>
      <c r="AQ322" s="317">
        <f t="shared" si="259"/>
        <v>0</v>
      </c>
      <c r="AR322" s="317">
        <f t="shared" si="232"/>
        <v>0</v>
      </c>
      <c r="AS322" s="317">
        <f t="shared" si="233"/>
        <v>0</v>
      </c>
      <c r="AT322" s="317">
        <f t="shared" si="260"/>
        <v>0</v>
      </c>
      <c r="AU322" s="317">
        <f t="shared" si="261"/>
        <v>0</v>
      </c>
      <c r="AV322" s="317">
        <f t="shared" si="262"/>
        <v>0</v>
      </c>
      <c r="AW322" s="317">
        <f t="shared" si="263"/>
        <v>0</v>
      </c>
      <c r="AX322" s="317">
        <f t="shared" si="234"/>
        <v>0</v>
      </c>
      <c r="AY322" s="317">
        <f t="shared" si="235"/>
        <v>0</v>
      </c>
      <c r="AZ322" s="317">
        <f t="shared" si="236"/>
        <v>0</v>
      </c>
      <c r="BA322" s="317">
        <f t="shared" si="237"/>
        <v>0</v>
      </c>
    </row>
    <row r="323" spans="1:53" s="314" customFormat="1" ht="16.5" customHeight="1">
      <c r="A323" s="63" t="str">
        <f t="array" ref="A323">IF(C323&lt;&gt;0,SUM(($C$11:C323&lt;&gt;0)*1),"")</f>
        <v/>
      </c>
      <c r="B323" s="315"/>
      <c r="C323" s="315"/>
      <c r="D323" s="315"/>
      <c r="E323" s="432"/>
      <c r="F323" s="371"/>
      <c r="G323" s="373"/>
      <c r="H323" s="373"/>
      <c r="I323" s="63" t="str">
        <f t="shared" si="264"/>
        <v/>
      </c>
      <c r="J323" s="317">
        <f t="shared" si="226"/>
        <v>0</v>
      </c>
      <c r="K323" s="317">
        <f t="shared" si="227"/>
        <v>0</v>
      </c>
      <c r="L323" s="317">
        <f t="shared" si="238"/>
        <v>0</v>
      </c>
      <c r="M323" s="317">
        <f t="shared" si="239"/>
        <v>0</v>
      </c>
      <c r="N323" s="317">
        <f t="shared" si="220"/>
        <v>0</v>
      </c>
      <c r="O323" s="317">
        <f t="shared" si="221"/>
        <v>0</v>
      </c>
      <c r="P323" s="317">
        <f t="shared" si="240"/>
        <v>0</v>
      </c>
      <c r="Q323" s="317">
        <f t="shared" si="241"/>
        <v>0</v>
      </c>
      <c r="R323" s="317">
        <f t="shared" si="242"/>
        <v>0</v>
      </c>
      <c r="S323" s="317">
        <f t="shared" si="243"/>
        <v>0</v>
      </c>
      <c r="T323" s="317">
        <f t="shared" si="222"/>
        <v>0</v>
      </c>
      <c r="U323" s="317">
        <f t="shared" si="223"/>
        <v>0</v>
      </c>
      <c r="V323" s="317">
        <f t="shared" si="244"/>
        <v>0</v>
      </c>
      <c r="W323" s="317">
        <f t="shared" si="245"/>
        <v>0</v>
      </c>
      <c r="X323" s="317">
        <f t="shared" si="246"/>
        <v>0</v>
      </c>
      <c r="Y323" s="317">
        <f t="shared" si="247"/>
        <v>0</v>
      </c>
      <c r="Z323" s="317">
        <f t="shared" si="228"/>
        <v>0</v>
      </c>
      <c r="AA323" s="317">
        <f t="shared" si="229"/>
        <v>0</v>
      </c>
      <c r="AB323" s="317">
        <f t="shared" si="248"/>
        <v>0</v>
      </c>
      <c r="AC323" s="317">
        <f t="shared" si="249"/>
        <v>0</v>
      </c>
      <c r="AD323" s="317">
        <f t="shared" si="230"/>
        <v>0</v>
      </c>
      <c r="AE323" s="317">
        <f t="shared" si="231"/>
        <v>0</v>
      </c>
      <c r="AF323" s="317">
        <f t="shared" si="224"/>
        <v>0</v>
      </c>
      <c r="AG323" s="317">
        <f t="shared" si="225"/>
        <v>0</v>
      </c>
      <c r="AH323" s="317">
        <f t="shared" si="250"/>
        <v>0</v>
      </c>
      <c r="AI323" s="317">
        <f t="shared" si="251"/>
        <v>0</v>
      </c>
      <c r="AJ323" s="317">
        <f t="shared" si="252"/>
        <v>0</v>
      </c>
      <c r="AK323" s="317">
        <f t="shared" si="253"/>
        <v>0</v>
      </c>
      <c r="AL323" s="317">
        <f t="shared" si="254"/>
        <v>0</v>
      </c>
      <c r="AM323" s="317">
        <f t="shared" si="255"/>
        <v>0</v>
      </c>
      <c r="AN323" s="317">
        <f t="shared" si="256"/>
        <v>0</v>
      </c>
      <c r="AO323" s="317">
        <f t="shared" si="257"/>
        <v>0</v>
      </c>
      <c r="AP323" s="317">
        <f t="shared" si="258"/>
        <v>0</v>
      </c>
      <c r="AQ323" s="317">
        <f t="shared" si="259"/>
        <v>0</v>
      </c>
      <c r="AR323" s="317">
        <f t="shared" si="232"/>
        <v>0</v>
      </c>
      <c r="AS323" s="317">
        <f t="shared" si="233"/>
        <v>0</v>
      </c>
      <c r="AT323" s="317">
        <f t="shared" si="260"/>
        <v>0</v>
      </c>
      <c r="AU323" s="317">
        <f t="shared" si="261"/>
        <v>0</v>
      </c>
      <c r="AV323" s="317">
        <f t="shared" si="262"/>
        <v>0</v>
      </c>
      <c r="AW323" s="317">
        <f t="shared" si="263"/>
        <v>0</v>
      </c>
      <c r="AX323" s="317">
        <f t="shared" si="234"/>
        <v>0</v>
      </c>
      <c r="AY323" s="317">
        <f t="shared" si="235"/>
        <v>0</v>
      </c>
      <c r="AZ323" s="317">
        <f t="shared" si="236"/>
        <v>0</v>
      </c>
      <c r="BA323" s="317">
        <f t="shared" si="237"/>
        <v>0</v>
      </c>
    </row>
    <row r="324" spans="1:53" s="314" customFormat="1" ht="16.5" customHeight="1">
      <c r="A324" s="63" t="str">
        <f t="array" ref="A324">IF(C324&lt;&gt;0,SUM(($C$11:C324&lt;&gt;0)*1),"")</f>
        <v/>
      </c>
      <c r="B324" s="315"/>
      <c r="C324" s="315"/>
      <c r="D324" s="315"/>
      <c r="E324" s="432"/>
      <c r="F324" s="371"/>
      <c r="G324" s="373"/>
      <c r="H324" s="373"/>
      <c r="I324" s="63" t="str">
        <f t="shared" si="264"/>
        <v/>
      </c>
      <c r="J324" s="317">
        <f t="shared" si="226"/>
        <v>0</v>
      </c>
      <c r="K324" s="317">
        <f t="shared" si="227"/>
        <v>0</v>
      </c>
      <c r="L324" s="317">
        <f t="shared" si="238"/>
        <v>0</v>
      </c>
      <c r="M324" s="317">
        <f t="shared" si="239"/>
        <v>0</v>
      </c>
      <c r="N324" s="317">
        <f t="shared" si="220"/>
        <v>0</v>
      </c>
      <c r="O324" s="317">
        <f t="shared" si="221"/>
        <v>0</v>
      </c>
      <c r="P324" s="317">
        <f t="shared" si="240"/>
        <v>0</v>
      </c>
      <c r="Q324" s="317">
        <f t="shared" si="241"/>
        <v>0</v>
      </c>
      <c r="R324" s="317">
        <f t="shared" si="242"/>
        <v>0</v>
      </c>
      <c r="S324" s="317">
        <f t="shared" si="243"/>
        <v>0</v>
      </c>
      <c r="T324" s="317">
        <f t="shared" si="222"/>
        <v>0</v>
      </c>
      <c r="U324" s="317">
        <f t="shared" si="223"/>
        <v>0</v>
      </c>
      <c r="V324" s="317">
        <f t="shared" si="244"/>
        <v>0</v>
      </c>
      <c r="W324" s="317">
        <f t="shared" si="245"/>
        <v>0</v>
      </c>
      <c r="X324" s="317">
        <f t="shared" si="246"/>
        <v>0</v>
      </c>
      <c r="Y324" s="317">
        <f t="shared" si="247"/>
        <v>0</v>
      </c>
      <c r="Z324" s="317">
        <f t="shared" si="228"/>
        <v>0</v>
      </c>
      <c r="AA324" s="317">
        <f t="shared" si="229"/>
        <v>0</v>
      </c>
      <c r="AB324" s="317">
        <f t="shared" si="248"/>
        <v>0</v>
      </c>
      <c r="AC324" s="317">
        <f t="shared" si="249"/>
        <v>0</v>
      </c>
      <c r="AD324" s="317">
        <f t="shared" si="230"/>
        <v>0</v>
      </c>
      <c r="AE324" s="317">
        <f t="shared" si="231"/>
        <v>0</v>
      </c>
      <c r="AF324" s="317">
        <f t="shared" si="224"/>
        <v>0</v>
      </c>
      <c r="AG324" s="317">
        <f t="shared" si="225"/>
        <v>0</v>
      </c>
      <c r="AH324" s="317">
        <f t="shared" si="250"/>
        <v>0</v>
      </c>
      <c r="AI324" s="317">
        <f t="shared" si="251"/>
        <v>0</v>
      </c>
      <c r="AJ324" s="317">
        <f t="shared" si="252"/>
        <v>0</v>
      </c>
      <c r="AK324" s="317">
        <f t="shared" si="253"/>
        <v>0</v>
      </c>
      <c r="AL324" s="317">
        <f t="shared" si="254"/>
        <v>0</v>
      </c>
      <c r="AM324" s="317">
        <f t="shared" si="255"/>
        <v>0</v>
      </c>
      <c r="AN324" s="317">
        <f t="shared" si="256"/>
        <v>0</v>
      </c>
      <c r="AO324" s="317">
        <f t="shared" si="257"/>
        <v>0</v>
      </c>
      <c r="AP324" s="317">
        <f t="shared" si="258"/>
        <v>0</v>
      </c>
      <c r="AQ324" s="317">
        <f t="shared" si="259"/>
        <v>0</v>
      </c>
      <c r="AR324" s="317">
        <f t="shared" si="232"/>
        <v>0</v>
      </c>
      <c r="AS324" s="317">
        <f t="shared" si="233"/>
        <v>0</v>
      </c>
      <c r="AT324" s="317">
        <f t="shared" si="260"/>
        <v>0</v>
      </c>
      <c r="AU324" s="317">
        <f t="shared" si="261"/>
        <v>0</v>
      </c>
      <c r="AV324" s="317">
        <f t="shared" si="262"/>
        <v>0</v>
      </c>
      <c r="AW324" s="317">
        <f t="shared" si="263"/>
        <v>0</v>
      </c>
      <c r="AX324" s="317">
        <f t="shared" si="234"/>
        <v>0</v>
      </c>
      <c r="AY324" s="317">
        <f t="shared" si="235"/>
        <v>0</v>
      </c>
      <c r="AZ324" s="317">
        <f t="shared" si="236"/>
        <v>0</v>
      </c>
      <c r="BA324" s="317">
        <f t="shared" si="237"/>
        <v>0</v>
      </c>
    </row>
    <row r="325" spans="1:53" s="314" customFormat="1" ht="16.5" customHeight="1">
      <c r="A325" s="63" t="str">
        <f t="array" ref="A325">IF(C325&lt;&gt;0,SUM(($C$11:C325&lt;&gt;0)*1),"")</f>
        <v/>
      </c>
      <c r="B325" s="315"/>
      <c r="C325" s="315"/>
      <c r="D325" s="315"/>
      <c r="E325" s="432"/>
      <c r="F325" s="371"/>
      <c r="G325" s="373"/>
      <c r="H325" s="373"/>
      <c r="I325" s="63" t="str">
        <f t="shared" si="264"/>
        <v/>
      </c>
      <c r="J325" s="317">
        <f t="shared" si="226"/>
        <v>0</v>
      </c>
      <c r="K325" s="317">
        <f t="shared" si="227"/>
        <v>0</v>
      </c>
      <c r="L325" s="317">
        <f t="shared" si="238"/>
        <v>0</v>
      </c>
      <c r="M325" s="317">
        <f t="shared" si="239"/>
        <v>0</v>
      </c>
      <c r="N325" s="317">
        <f t="shared" si="220"/>
        <v>0</v>
      </c>
      <c r="O325" s="317">
        <f t="shared" si="221"/>
        <v>0</v>
      </c>
      <c r="P325" s="317">
        <f t="shared" si="240"/>
        <v>0</v>
      </c>
      <c r="Q325" s="317">
        <f t="shared" si="241"/>
        <v>0</v>
      </c>
      <c r="R325" s="317">
        <f t="shared" si="242"/>
        <v>0</v>
      </c>
      <c r="S325" s="317">
        <f t="shared" si="243"/>
        <v>0</v>
      </c>
      <c r="T325" s="317">
        <f t="shared" si="222"/>
        <v>0</v>
      </c>
      <c r="U325" s="317">
        <f t="shared" si="223"/>
        <v>0</v>
      </c>
      <c r="V325" s="317">
        <f t="shared" si="244"/>
        <v>0</v>
      </c>
      <c r="W325" s="317">
        <f t="shared" si="245"/>
        <v>0</v>
      </c>
      <c r="X325" s="317">
        <f t="shared" si="246"/>
        <v>0</v>
      </c>
      <c r="Y325" s="317">
        <f t="shared" si="247"/>
        <v>0</v>
      </c>
      <c r="Z325" s="317">
        <f t="shared" si="228"/>
        <v>0</v>
      </c>
      <c r="AA325" s="317">
        <f t="shared" si="229"/>
        <v>0</v>
      </c>
      <c r="AB325" s="317">
        <f t="shared" si="248"/>
        <v>0</v>
      </c>
      <c r="AC325" s="317">
        <f t="shared" si="249"/>
        <v>0</v>
      </c>
      <c r="AD325" s="317">
        <f t="shared" si="230"/>
        <v>0</v>
      </c>
      <c r="AE325" s="317">
        <f t="shared" si="231"/>
        <v>0</v>
      </c>
      <c r="AF325" s="317">
        <f t="shared" si="224"/>
        <v>0</v>
      </c>
      <c r="AG325" s="317">
        <f t="shared" si="225"/>
        <v>0</v>
      </c>
      <c r="AH325" s="317">
        <f t="shared" si="250"/>
        <v>0</v>
      </c>
      <c r="AI325" s="317">
        <f t="shared" si="251"/>
        <v>0</v>
      </c>
      <c r="AJ325" s="317">
        <f t="shared" si="252"/>
        <v>0</v>
      </c>
      <c r="AK325" s="317">
        <f t="shared" si="253"/>
        <v>0</v>
      </c>
      <c r="AL325" s="317">
        <f t="shared" si="254"/>
        <v>0</v>
      </c>
      <c r="AM325" s="317">
        <f t="shared" si="255"/>
        <v>0</v>
      </c>
      <c r="AN325" s="317">
        <f t="shared" si="256"/>
        <v>0</v>
      </c>
      <c r="AO325" s="317">
        <f t="shared" si="257"/>
        <v>0</v>
      </c>
      <c r="AP325" s="317">
        <f t="shared" si="258"/>
        <v>0</v>
      </c>
      <c r="AQ325" s="317">
        <f t="shared" si="259"/>
        <v>0</v>
      </c>
      <c r="AR325" s="317">
        <f t="shared" si="232"/>
        <v>0</v>
      </c>
      <c r="AS325" s="317">
        <f t="shared" si="233"/>
        <v>0</v>
      </c>
      <c r="AT325" s="317">
        <f t="shared" si="260"/>
        <v>0</v>
      </c>
      <c r="AU325" s="317">
        <f t="shared" si="261"/>
        <v>0</v>
      </c>
      <c r="AV325" s="317">
        <f t="shared" si="262"/>
        <v>0</v>
      </c>
      <c r="AW325" s="317">
        <f t="shared" si="263"/>
        <v>0</v>
      </c>
      <c r="AX325" s="317">
        <f t="shared" si="234"/>
        <v>0</v>
      </c>
      <c r="AY325" s="317">
        <f t="shared" si="235"/>
        <v>0</v>
      </c>
      <c r="AZ325" s="317">
        <f t="shared" si="236"/>
        <v>0</v>
      </c>
      <c r="BA325" s="317">
        <f t="shared" si="237"/>
        <v>0</v>
      </c>
    </row>
    <row r="326" spans="1:53" s="314" customFormat="1" ht="16.5" customHeight="1">
      <c r="A326" s="63" t="str">
        <f t="array" ref="A326">IF(C326&lt;&gt;0,SUM(($C$11:C326&lt;&gt;0)*1),"")</f>
        <v/>
      </c>
      <c r="B326" s="315"/>
      <c r="C326" s="315"/>
      <c r="D326" s="315"/>
      <c r="E326" s="432"/>
      <c r="F326" s="371"/>
      <c r="G326" s="373"/>
      <c r="H326" s="373"/>
      <c r="I326" s="63" t="str">
        <f t="shared" si="264"/>
        <v/>
      </c>
      <c r="J326" s="317">
        <f t="shared" si="226"/>
        <v>0</v>
      </c>
      <c r="K326" s="317">
        <f t="shared" si="227"/>
        <v>0</v>
      </c>
      <c r="L326" s="317">
        <f t="shared" si="238"/>
        <v>0</v>
      </c>
      <c r="M326" s="317">
        <f t="shared" si="239"/>
        <v>0</v>
      </c>
      <c r="N326" s="317">
        <f t="shared" si="220"/>
        <v>0</v>
      </c>
      <c r="O326" s="317">
        <f t="shared" si="221"/>
        <v>0</v>
      </c>
      <c r="P326" s="317">
        <f t="shared" si="240"/>
        <v>0</v>
      </c>
      <c r="Q326" s="317">
        <f t="shared" si="241"/>
        <v>0</v>
      </c>
      <c r="R326" s="317">
        <f t="shared" si="242"/>
        <v>0</v>
      </c>
      <c r="S326" s="317">
        <f t="shared" si="243"/>
        <v>0</v>
      </c>
      <c r="T326" s="317">
        <f t="shared" si="222"/>
        <v>0</v>
      </c>
      <c r="U326" s="317">
        <f t="shared" si="223"/>
        <v>0</v>
      </c>
      <c r="V326" s="317">
        <f t="shared" si="244"/>
        <v>0</v>
      </c>
      <c r="W326" s="317">
        <f t="shared" si="245"/>
        <v>0</v>
      </c>
      <c r="X326" s="317">
        <f t="shared" si="246"/>
        <v>0</v>
      </c>
      <c r="Y326" s="317">
        <f t="shared" si="247"/>
        <v>0</v>
      </c>
      <c r="Z326" s="317">
        <f t="shared" si="228"/>
        <v>0</v>
      </c>
      <c r="AA326" s="317">
        <f t="shared" si="229"/>
        <v>0</v>
      </c>
      <c r="AB326" s="317">
        <f t="shared" si="248"/>
        <v>0</v>
      </c>
      <c r="AC326" s="317">
        <f t="shared" si="249"/>
        <v>0</v>
      </c>
      <c r="AD326" s="317">
        <f t="shared" si="230"/>
        <v>0</v>
      </c>
      <c r="AE326" s="317">
        <f t="shared" si="231"/>
        <v>0</v>
      </c>
      <c r="AF326" s="317">
        <f t="shared" si="224"/>
        <v>0</v>
      </c>
      <c r="AG326" s="317">
        <f t="shared" si="225"/>
        <v>0</v>
      </c>
      <c r="AH326" s="317">
        <f t="shared" si="250"/>
        <v>0</v>
      </c>
      <c r="AI326" s="317">
        <f t="shared" si="251"/>
        <v>0</v>
      </c>
      <c r="AJ326" s="317">
        <f t="shared" si="252"/>
        <v>0</v>
      </c>
      <c r="AK326" s="317">
        <f t="shared" si="253"/>
        <v>0</v>
      </c>
      <c r="AL326" s="317">
        <f t="shared" si="254"/>
        <v>0</v>
      </c>
      <c r="AM326" s="317">
        <f t="shared" si="255"/>
        <v>0</v>
      </c>
      <c r="AN326" s="317">
        <f t="shared" si="256"/>
        <v>0</v>
      </c>
      <c r="AO326" s="317">
        <f t="shared" si="257"/>
        <v>0</v>
      </c>
      <c r="AP326" s="317">
        <f t="shared" si="258"/>
        <v>0</v>
      </c>
      <c r="AQ326" s="317">
        <f t="shared" si="259"/>
        <v>0</v>
      </c>
      <c r="AR326" s="317">
        <f t="shared" si="232"/>
        <v>0</v>
      </c>
      <c r="AS326" s="317">
        <f t="shared" si="233"/>
        <v>0</v>
      </c>
      <c r="AT326" s="317">
        <f t="shared" si="260"/>
        <v>0</v>
      </c>
      <c r="AU326" s="317">
        <f t="shared" si="261"/>
        <v>0</v>
      </c>
      <c r="AV326" s="317">
        <f t="shared" si="262"/>
        <v>0</v>
      </c>
      <c r="AW326" s="317">
        <f t="shared" si="263"/>
        <v>0</v>
      </c>
      <c r="AX326" s="317">
        <f t="shared" si="234"/>
        <v>0</v>
      </c>
      <c r="AY326" s="317">
        <f t="shared" si="235"/>
        <v>0</v>
      </c>
      <c r="AZ326" s="317">
        <f t="shared" si="236"/>
        <v>0</v>
      </c>
      <c r="BA326" s="317">
        <f t="shared" si="237"/>
        <v>0</v>
      </c>
    </row>
    <row r="327" spans="1:53" s="314" customFormat="1" ht="16.5" customHeight="1">
      <c r="A327" s="63" t="str">
        <f t="array" ref="A327">IF(C327&lt;&gt;0,SUM(($C$11:C327&lt;&gt;0)*1),"")</f>
        <v/>
      </c>
      <c r="B327" s="315"/>
      <c r="C327" s="315"/>
      <c r="D327" s="315"/>
      <c r="E327" s="432"/>
      <c r="F327" s="371"/>
      <c r="G327" s="373"/>
      <c r="H327" s="373"/>
      <c r="I327" s="63" t="str">
        <f t="shared" si="264"/>
        <v/>
      </c>
      <c r="J327" s="317">
        <f t="shared" si="226"/>
        <v>0</v>
      </c>
      <c r="K327" s="317">
        <f t="shared" si="227"/>
        <v>0</v>
      </c>
      <c r="L327" s="317">
        <f t="shared" si="238"/>
        <v>0</v>
      </c>
      <c r="M327" s="317">
        <f t="shared" si="239"/>
        <v>0</v>
      </c>
      <c r="N327" s="317">
        <f t="shared" si="220"/>
        <v>0</v>
      </c>
      <c r="O327" s="317">
        <f t="shared" si="221"/>
        <v>0</v>
      </c>
      <c r="P327" s="317">
        <f t="shared" si="240"/>
        <v>0</v>
      </c>
      <c r="Q327" s="317">
        <f t="shared" si="241"/>
        <v>0</v>
      </c>
      <c r="R327" s="317">
        <f t="shared" si="242"/>
        <v>0</v>
      </c>
      <c r="S327" s="317">
        <f t="shared" si="243"/>
        <v>0</v>
      </c>
      <c r="T327" s="317">
        <f t="shared" si="222"/>
        <v>0</v>
      </c>
      <c r="U327" s="317">
        <f t="shared" si="223"/>
        <v>0</v>
      </c>
      <c r="V327" s="317">
        <f t="shared" si="244"/>
        <v>0</v>
      </c>
      <c r="W327" s="317">
        <f t="shared" si="245"/>
        <v>0</v>
      </c>
      <c r="X327" s="317">
        <f t="shared" si="246"/>
        <v>0</v>
      </c>
      <c r="Y327" s="317">
        <f t="shared" si="247"/>
        <v>0</v>
      </c>
      <c r="Z327" s="317">
        <f t="shared" si="228"/>
        <v>0</v>
      </c>
      <c r="AA327" s="317">
        <f t="shared" si="229"/>
        <v>0</v>
      </c>
      <c r="AB327" s="317">
        <f t="shared" si="248"/>
        <v>0</v>
      </c>
      <c r="AC327" s="317">
        <f t="shared" si="249"/>
        <v>0</v>
      </c>
      <c r="AD327" s="317">
        <f t="shared" si="230"/>
        <v>0</v>
      </c>
      <c r="AE327" s="317">
        <f t="shared" si="231"/>
        <v>0</v>
      </c>
      <c r="AF327" s="317">
        <f t="shared" si="224"/>
        <v>0</v>
      </c>
      <c r="AG327" s="317">
        <f t="shared" si="225"/>
        <v>0</v>
      </c>
      <c r="AH327" s="317">
        <f t="shared" si="250"/>
        <v>0</v>
      </c>
      <c r="AI327" s="317">
        <f t="shared" si="251"/>
        <v>0</v>
      </c>
      <c r="AJ327" s="317">
        <f t="shared" si="252"/>
        <v>0</v>
      </c>
      <c r="AK327" s="317">
        <f t="shared" si="253"/>
        <v>0</v>
      </c>
      <c r="AL327" s="317">
        <f t="shared" si="254"/>
        <v>0</v>
      </c>
      <c r="AM327" s="317">
        <f t="shared" si="255"/>
        <v>0</v>
      </c>
      <c r="AN327" s="317">
        <f t="shared" si="256"/>
        <v>0</v>
      </c>
      <c r="AO327" s="317">
        <f t="shared" si="257"/>
        <v>0</v>
      </c>
      <c r="AP327" s="317">
        <f t="shared" si="258"/>
        <v>0</v>
      </c>
      <c r="AQ327" s="317">
        <f t="shared" si="259"/>
        <v>0</v>
      </c>
      <c r="AR327" s="317">
        <f t="shared" si="232"/>
        <v>0</v>
      </c>
      <c r="AS327" s="317">
        <f t="shared" si="233"/>
        <v>0</v>
      </c>
      <c r="AT327" s="317">
        <f t="shared" si="260"/>
        <v>0</v>
      </c>
      <c r="AU327" s="317">
        <f t="shared" si="261"/>
        <v>0</v>
      </c>
      <c r="AV327" s="317">
        <f t="shared" si="262"/>
        <v>0</v>
      </c>
      <c r="AW327" s="317">
        <f t="shared" si="263"/>
        <v>0</v>
      </c>
      <c r="AX327" s="317">
        <f t="shared" si="234"/>
        <v>0</v>
      </c>
      <c r="AY327" s="317">
        <f t="shared" si="235"/>
        <v>0</v>
      </c>
      <c r="AZ327" s="317">
        <f t="shared" si="236"/>
        <v>0</v>
      </c>
      <c r="BA327" s="317">
        <f t="shared" si="237"/>
        <v>0</v>
      </c>
    </row>
    <row r="328" spans="1:53" s="314" customFormat="1" ht="16.5" customHeight="1">
      <c r="A328" s="63" t="str">
        <f t="array" ref="A328">IF(C328&lt;&gt;0,SUM(($C$11:C328&lt;&gt;0)*1),"")</f>
        <v/>
      </c>
      <c r="B328" s="315"/>
      <c r="C328" s="315"/>
      <c r="D328" s="315"/>
      <c r="E328" s="432"/>
      <c r="F328" s="371"/>
      <c r="G328" s="373"/>
      <c r="H328" s="373"/>
      <c r="I328" s="63" t="str">
        <f t="shared" si="264"/>
        <v/>
      </c>
      <c r="J328" s="317">
        <f t="shared" si="226"/>
        <v>0</v>
      </c>
      <c r="K328" s="317">
        <f t="shared" si="227"/>
        <v>0</v>
      </c>
      <c r="L328" s="317">
        <f t="shared" si="238"/>
        <v>0</v>
      </c>
      <c r="M328" s="317">
        <f t="shared" si="239"/>
        <v>0</v>
      </c>
      <c r="N328" s="317">
        <f t="shared" si="220"/>
        <v>0</v>
      </c>
      <c r="O328" s="317">
        <f t="shared" si="221"/>
        <v>0</v>
      </c>
      <c r="P328" s="317">
        <f t="shared" si="240"/>
        <v>0</v>
      </c>
      <c r="Q328" s="317">
        <f t="shared" si="241"/>
        <v>0</v>
      </c>
      <c r="R328" s="317">
        <f t="shared" si="242"/>
        <v>0</v>
      </c>
      <c r="S328" s="317">
        <f t="shared" si="243"/>
        <v>0</v>
      </c>
      <c r="T328" s="317">
        <f t="shared" si="222"/>
        <v>0</v>
      </c>
      <c r="U328" s="317">
        <f t="shared" si="223"/>
        <v>0</v>
      </c>
      <c r="V328" s="317">
        <f t="shared" si="244"/>
        <v>0</v>
      </c>
      <c r="W328" s="317">
        <f t="shared" si="245"/>
        <v>0</v>
      </c>
      <c r="X328" s="317">
        <f t="shared" si="246"/>
        <v>0</v>
      </c>
      <c r="Y328" s="317">
        <f t="shared" si="247"/>
        <v>0</v>
      </c>
      <c r="Z328" s="317">
        <f t="shared" si="228"/>
        <v>0</v>
      </c>
      <c r="AA328" s="317">
        <f t="shared" si="229"/>
        <v>0</v>
      </c>
      <c r="AB328" s="317">
        <f t="shared" si="248"/>
        <v>0</v>
      </c>
      <c r="AC328" s="317">
        <f t="shared" si="249"/>
        <v>0</v>
      </c>
      <c r="AD328" s="317">
        <f t="shared" si="230"/>
        <v>0</v>
      </c>
      <c r="AE328" s="317">
        <f t="shared" si="231"/>
        <v>0</v>
      </c>
      <c r="AF328" s="317">
        <f t="shared" si="224"/>
        <v>0</v>
      </c>
      <c r="AG328" s="317">
        <f t="shared" si="225"/>
        <v>0</v>
      </c>
      <c r="AH328" s="317">
        <f t="shared" si="250"/>
        <v>0</v>
      </c>
      <c r="AI328" s="317">
        <f t="shared" si="251"/>
        <v>0</v>
      </c>
      <c r="AJ328" s="317">
        <f t="shared" si="252"/>
        <v>0</v>
      </c>
      <c r="AK328" s="317">
        <f t="shared" si="253"/>
        <v>0</v>
      </c>
      <c r="AL328" s="317">
        <f t="shared" si="254"/>
        <v>0</v>
      </c>
      <c r="AM328" s="317">
        <f t="shared" si="255"/>
        <v>0</v>
      </c>
      <c r="AN328" s="317">
        <f t="shared" si="256"/>
        <v>0</v>
      </c>
      <c r="AO328" s="317">
        <f t="shared" si="257"/>
        <v>0</v>
      </c>
      <c r="AP328" s="317">
        <f t="shared" si="258"/>
        <v>0</v>
      </c>
      <c r="AQ328" s="317">
        <f t="shared" si="259"/>
        <v>0</v>
      </c>
      <c r="AR328" s="317">
        <f t="shared" si="232"/>
        <v>0</v>
      </c>
      <c r="AS328" s="317">
        <f t="shared" si="233"/>
        <v>0</v>
      </c>
      <c r="AT328" s="317">
        <f t="shared" si="260"/>
        <v>0</v>
      </c>
      <c r="AU328" s="317">
        <f t="shared" si="261"/>
        <v>0</v>
      </c>
      <c r="AV328" s="317">
        <f t="shared" si="262"/>
        <v>0</v>
      </c>
      <c r="AW328" s="317">
        <f t="shared" si="263"/>
        <v>0</v>
      </c>
      <c r="AX328" s="317">
        <f t="shared" si="234"/>
        <v>0</v>
      </c>
      <c r="AY328" s="317">
        <f t="shared" si="235"/>
        <v>0</v>
      </c>
      <c r="AZ328" s="317">
        <f t="shared" si="236"/>
        <v>0</v>
      </c>
      <c r="BA328" s="317">
        <f t="shared" si="237"/>
        <v>0</v>
      </c>
    </row>
    <row r="329" spans="1:53" s="314" customFormat="1" ht="16.5" customHeight="1">
      <c r="A329" s="63" t="str">
        <f t="array" ref="A329">IF(C329&lt;&gt;0,SUM(($C$11:C329&lt;&gt;0)*1),"")</f>
        <v/>
      </c>
      <c r="B329" s="315"/>
      <c r="C329" s="315"/>
      <c r="D329" s="315"/>
      <c r="E329" s="432"/>
      <c r="F329" s="371"/>
      <c r="G329" s="373"/>
      <c r="H329" s="373"/>
      <c r="I329" s="63" t="str">
        <f t="shared" si="264"/>
        <v/>
      </c>
      <c r="J329" s="317">
        <f t="shared" si="226"/>
        <v>0</v>
      </c>
      <c r="K329" s="317">
        <f t="shared" si="227"/>
        <v>0</v>
      </c>
      <c r="L329" s="317">
        <f t="shared" si="238"/>
        <v>0</v>
      </c>
      <c r="M329" s="317">
        <f t="shared" si="239"/>
        <v>0</v>
      </c>
      <c r="N329" s="317">
        <f t="shared" si="220"/>
        <v>0</v>
      </c>
      <c r="O329" s="317">
        <f t="shared" si="221"/>
        <v>0</v>
      </c>
      <c r="P329" s="317">
        <f t="shared" si="240"/>
        <v>0</v>
      </c>
      <c r="Q329" s="317">
        <f t="shared" si="241"/>
        <v>0</v>
      </c>
      <c r="R329" s="317">
        <f t="shared" si="242"/>
        <v>0</v>
      </c>
      <c r="S329" s="317">
        <f t="shared" si="243"/>
        <v>0</v>
      </c>
      <c r="T329" s="317">
        <f t="shared" si="222"/>
        <v>0</v>
      </c>
      <c r="U329" s="317">
        <f t="shared" si="223"/>
        <v>0</v>
      </c>
      <c r="V329" s="317">
        <f t="shared" si="244"/>
        <v>0</v>
      </c>
      <c r="W329" s="317">
        <f t="shared" si="245"/>
        <v>0</v>
      </c>
      <c r="X329" s="317">
        <f t="shared" si="246"/>
        <v>0</v>
      </c>
      <c r="Y329" s="317">
        <f t="shared" si="247"/>
        <v>0</v>
      </c>
      <c r="Z329" s="317">
        <f t="shared" si="228"/>
        <v>0</v>
      </c>
      <c r="AA329" s="317">
        <f t="shared" si="229"/>
        <v>0</v>
      </c>
      <c r="AB329" s="317">
        <f t="shared" si="248"/>
        <v>0</v>
      </c>
      <c r="AC329" s="317">
        <f t="shared" si="249"/>
        <v>0</v>
      </c>
      <c r="AD329" s="317">
        <f t="shared" si="230"/>
        <v>0</v>
      </c>
      <c r="AE329" s="317">
        <f t="shared" si="231"/>
        <v>0</v>
      </c>
      <c r="AF329" s="317">
        <f t="shared" si="224"/>
        <v>0</v>
      </c>
      <c r="AG329" s="317">
        <f t="shared" si="225"/>
        <v>0</v>
      </c>
      <c r="AH329" s="317">
        <f t="shared" si="250"/>
        <v>0</v>
      </c>
      <c r="AI329" s="317">
        <f t="shared" si="251"/>
        <v>0</v>
      </c>
      <c r="AJ329" s="317">
        <f t="shared" si="252"/>
        <v>0</v>
      </c>
      <c r="AK329" s="317">
        <f t="shared" si="253"/>
        <v>0</v>
      </c>
      <c r="AL329" s="317">
        <f t="shared" si="254"/>
        <v>0</v>
      </c>
      <c r="AM329" s="317">
        <f t="shared" si="255"/>
        <v>0</v>
      </c>
      <c r="AN329" s="317">
        <f t="shared" si="256"/>
        <v>0</v>
      </c>
      <c r="AO329" s="317">
        <f t="shared" si="257"/>
        <v>0</v>
      </c>
      <c r="AP329" s="317">
        <f t="shared" si="258"/>
        <v>0</v>
      </c>
      <c r="AQ329" s="317">
        <f t="shared" si="259"/>
        <v>0</v>
      </c>
      <c r="AR329" s="317">
        <f t="shared" si="232"/>
        <v>0</v>
      </c>
      <c r="AS329" s="317">
        <f t="shared" si="233"/>
        <v>0</v>
      </c>
      <c r="AT329" s="317">
        <f t="shared" si="260"/>
        <v>0</v>
      </c>
      <c r="AU329" s="317">
        <f t="shared" si="261"/>
        <v>0</v>
      </c>
      <c r="AV329" s="317">
        <f t="shared" si="262"/>
        <v>0</v>
      </c>
      <c r="AW329" s="317">
        <f t="shared" si="263"/>
        <v>0</v>
      </c>
      <c r="AX329" s="317">
        <f t="shared" si="234"/>
        <v>0</v>
      </c>
      <c r="AY329" s="317">
        <f t="shared" si="235"/>
        <v>0</v>
      </c>
      <c r="AZ329" s="317">
        <f t="shared" si="236"/>
        <v>0</v>
      </c>
      <c r="BA329" s="317">
        <f t="shared" si="237"/>
        <v>0</v>
      </c>
    </row>
    <row r="330" spans="1:53" s="314" customFormat="1" ht="16.5" customHeight="1">
      <c r="A330" s="63" t="str">
        <f t="array" ref="A330">IF(C330&lt;&gt;0,SUM(($C$11:C330&lt;&gt;0)*1),"")</f>
        <v/>
      </c>
      <c r="B330" s="315"/>
      <c r="C330" s="315"/>
      <c r="D330" s="315"/>
      <c r="E330" s="432"/>
      <c r="F330" s="371"/>
      <c r="G330" s="373"/>
      <c r="H330" s="373"/>
      <c r="I330" s="63" t="str">
        <f t="shared" si="264"/>
        <v/>
      </c>
      <c r="J330" s="317">
        <f t="shared" si="226"/>
        <v>0</v>
      </c>
      <c r="K330" s="317">
        <f t="shared" si="227"/>
        <v>0</v>
      </c>
      <c r="L330" s="317">
        <f t="shared" si="238"/>
        <v>0</v>
      </c>
      <c r="M330" s="317">
        <f t="shared" si="239"/>
        <v>0</v>
      </c>
      <c r="N330" s="317">
        <f t="shared" si="220"/>
        <v>0</v>
      </c>
      <c r="O330" s="317">
        <f t="shared" si="221"/>
        <v>0</v>
      </c>
      <c r="P330" s="317">
        <f t="shared" si="240"/>
        <v>0</v>
      </c>
      <c r="Q330" s="317">
        <f t="shared" si="241"/>
        <v>0</v>
      </c>
      <c r="R330" s="317">
        <f t="shared" si="242"/>
        <v>0</v>
      </c>
      <c r="S330" s="317">
        <f t="shared" si="243"/>
        <v>0</v>
      </c>
      <c r="T330" s="317">
        <f t="shared" si="222"/>
        <v>0</v>
      </c>
      <c r="U330" s="317">
        <f t="shared" si="223"/>
        <v>0</v>
      </c>
      <c r="V330" s="317">
        <f t="shared" si="244"/>
        <v>0</v>
      </c>
      <c r="W330" s="317">
        <f t="shared" si="245"/>
        <v>0</v>
      </c>
      <c r="X330" s="317">
        <f t="shared" si="246"/>
        <v>0</v>
      </c>
      <c r="Y330" s="317">
        <f t="shared" si="247"/>
        <v>0</v>
      </c>
      <c r="Z330" s="317">
        <f t="shared" si="228"/>
        <v>0</v>
      </c>
      <c r="AA330" s="317">
        <f t="shared" si="229"/>
        <v>0</v>
      </c>
      <c r="AB330" s="317">
        <f t="shared" si="248"/>
        <v>0</v>
      </c>
      <c r="AC330" s="317">
        <f t="shared" si="249"/>
        <v>0</v>
      </c>
      <c r="AD330" s="317">
        <f t="shared" si="230"/>
        <v>0</v>
      </c>
      <c r="AE330" s="317">
        <f t="shared" si="231"/>
        <v>0</v>
      </c>
      <c r="AF330" s="317">
        <f t="shared" si="224"/>
        <v>0</v>
      </c>
      <c r="AG330" s="317">
        <f t="shared" si="225"/>
        <v>0</v>
      </c>
      <c r="AH330" s="317">
        <f t="shared" si="250"/>
        <v>0</v>
      </c>
      <c r="AI330" s="317">
        <f t="shared" si="251"/>
        <v>0</v>
      </c>
      <c r="AJ330" s="317">
        <f t="shared" si="252"/>
        <v>0</v>
      </c>
      <c r="AK330" s="317">
        <f t="shared" si="253"/>
        <v>0</v>
      </c>
      <c r="AL330" s="317">
        <f t="shared" si="254"/>
        <v>0</v>
      </c>
      <c r="AM330" s="317">
        <f t="shared" si="255"/>
        <v>0</v>
      </c>
      <c r="AN330" s="317">
        <f t="shared" si="256"/>
        <v>0</v>
      </c>
      <c r="AO330" s="317">
        <f t="shared" si="257"/>
        <v>0</v>
      </c>
      <c r="AP330" s="317">
        <f t="shared" si="258"/>
        <v>0</v>
      </c>
      <c r="AQ330" s="317">
        <f t="shared" si="259"/>
        <v>0</v>
      </c>
      <c r="AR330" s="317">
        <f t="shared" si="232"/>
        <v>0</v>
      </c>
      <c r="AS330" s="317">
        <f t="shared" si="233"/>
        <v>0</v>
      </c>
      <c r="AT330" s="317">
        <f t="shared" si="260"/>
        <v>0</v>
      </c>
      <c r="AU330" s="317">
        <f t="shared" si="261"/>
        <v>0</v>
      </c>
      <c r="AV330" s="317">
        <f t="shared" si="262"/>
        <v>0</v>
      </c>
      <c r="AW330" s="317">
        <f t="shared" si="263"/>
        <v>0</v>
      </c>
      <c r="AX330" s="317">
        <f t="shared" si="234"/>
        <v>0</v>
      </c>
      <c r="AY330" s="317">
        <f t="shared" si="235"/>
        <v>0</v>
      </c>
      <c r="AZ330" s="317">
        <f t="shared" si="236"/>
        <v>0</v>
      </c>
      <c r="BA330" s="317">
        <f t="shared" si="237"/>
        <v>0</v>
      </c>
    </row>
    <row r="331" spans="1:53" s="314" customFormat="1" ht="16.5" customHeight="1">
      <c r="A331" s="63" t="str">
        <f t="array" ref="A331">IF(C331&lt;&gt;0,SUM(($C$11:C331&lt;&gt;0)*1),"")</f>
        <v/>
      </c>
      <c r="B331" s="315"/>
      <c r="C331" s="315"/>
      <c r="D331" s="315"/>
      <c r="E331" s="432"/>
      <c r="F331" s="371"/>
      <c r="G331" s="373"/>
      <c r="H331" s="373"/>
      <c r="I331" s="63" t="str">
        <f t="shared" si="264"/>
        <v/>
      </c>
      <c r="J331" s="317">
        <f t="shared" si="226"/>
        <v>0</v>
      </c>
      <c r="K331" s="317">
        <f t="shared" si="227"/>
        <v>0</v>
      </c>
      <c r="L331" s="317">
        <f t="shared" si="238"/>
        <v>0</v>
      </c>
      <c r="M331" s="317">
        <f t="shared" si="239"/>
        <v>0</v>
      </c>
      <c r="N331" s="317">
        <f t="shared" si="220"/>
        <v>0</v>
      </c>
      <c r="O331" s="317">
        <f t="shared" si="221"/>
        <v>0</v>
      </c>
      <c r="P331" s="317">
        <f t="shared" si="240"/>
        <v>0</v>
      </c>
      <c r="Q331" s="317">
        <f t="shared" si="241"/>
        <v>0</v>
      </c>
      <c r="R331" s="317">
        <f t="shared" si="242"/>
        <v>0</v>
      </c>
      <c r="S331" s="317">
        <f t="shared" si="243"/>
        <v>0</v>
      </c>
      <c r="T331" s="317">
        <f t="shared" si="222"/>
        <v>0</v>
      </c>
      <c r="U331" s="317">
        <f t="shared" si="223"/>
        <v>0</v>
      </c>
      <c r="V331" s="317">
        <f t="shared" si="244"/>
        <v>0</v>
      </c>
      <c r="W331" s="317">
        <f t="shared" si="245"/>
        <v>0</v>
      </c>
      <c r="X331" s="317">
        <f t="shared" si="246"/>
        <v>0</v>
      </c>
      <c r="Y331" s="317">
        <f t="shared" si="247"/>
        <v>0</v>
      </c>
      <c r="Z331" s="317">
        <f t="shared" si="228"/>
        <v>0</v>
      </c>
      <c r="AA331" s="317">
        <f t="shared" si="229"/>
        <v>0</v>
      </c>
      <c r="AB331" s="317">
        <f t="shared" si="248"/>
        <v>0</v>
      </c>
      <c r="AC331" s="317">
        <f t="shared" si="249"/>
        <v>0</v>
      </c>
      <c r="AD331" s="317">
        <f t="shared" si="230"/>
        <v>0</v>
      </c>
      <c r="AE331" s="317">
        <f t="shared" si="231"/>
        <v>0</v>
      </c>
      <c r="AF331" s="317">
        <f t="shared" si="224"/>
        <v>0</v>
      </c>
      <c r="AG331" s="317">
        <f t="shared" si="225"/>
        <v>0</v>
      </c>
      <c r="AH331" s="317">
        <f t="shared" si="250"/>
        <v>0</v>
      </c>
      <c r="AI331" s="317">
        <f t="shared" si="251"/>
        <v>0</v>
      </c>
      <c r="AJ331" s="317">
        <f t="shared" si="252"/>
        <v>0</v>
      </c>
      <c r="AK331" s="317">
        <f t="shared" si="253"/>
        <v>0</v>
      </c>
      <c r="AL331" s="317">
        <f t="shared" si="254"/>
        <v>0</v>
      </c>
      <c r="AM331" s="317">
        <f t="shared" si="255"/>
        <v>0</v>
      </c>
      <c r="AN331" s="317">
        <f t="shared" si="256"/>
        <v>0</v>
      </c>
      <c r="AO331" s="317">
        <f t="shared" si="257"/>
        <v>0</v>
      </c>
      <c r="AP331" s="317">
        <f t="shared" si="258"/>
        <v>0</v>
      </c>
      <c r="AQ331" s="317">
        <f t="shared" si="259"/>
        <v>0</v>
      </c>
      <c r="AR331" s="317">
        <f t="shared" si="232"/>
        <v>0</v>
      </c>
      <c r="AS331" s="317">
        <f t="shared" si="233"/>
        <v>0</v>
      </c>
      <c r="AT331" s="317">
        <f t="shared" si="260"/>
        <v>0</v>
      </c>
      <c r="AU331" s="317">
        <f t="shared" si="261"/>
        <v>0</v>
      </c>
      <c r="AV331" s="317">
        <f t="shared" si="262"/>
        <v>0</v>
      </c>
      <c r="AW331" s="317">
        <f t="shared" si="263"/>
        <v>0</v>
      </c>
      <c r="AX331" s="317">
        <f t="shared" si="234"/>
        <v>0</v>
      </c>
      <c r="AY331" s="317">
        <f t="shared" si="235"/>
        <v>0</v>
      </c>
      <c r="AZ331" s="317">
        <f t="shared" si="236"/>
        <v>0</v>
      </c>
      <c r="BA331" s="317">
        <f t="shared" si="237"/>
        <v>0</v>
      </c>
    </row>
    <row r="332" spans="1:53" s="314" customFormat="1" ht="16.5" customHeight="1">
      <c r="A332" s="63" t="str">
        <f t="array" ref="A332">IF(C332&lt;&gt;0,SUM(($C$11:C332&lt;&gt;0)*1),"")</f>
        <v/>
      </c>
      <c r="B332" s="315"/>
      <c r="C332" s="315"/>
      <c r="D332" s="315"/>
      <c r="E332" s="432"/>
      <c r="F332" s="371"/>
      <c r="G332" s="373"/>
      <c r="H332" s="373"/>
      <c r="I332" s="63" t="str">
        <f t="shared" si="264"/>
        <v/>
      </c>
      <c r="J332" s="317">
        <f t="shared" si="226"/>
        <v>0</v>
      </c>
      <c r="K332" s="317">
        <f t="shared" si="227"/>
        <v>0</v>
      </c>
      <c r="L332" s="317">
        <f t="shared" si="238"/>
        <v>0</v>
      </c>
      <c r="M332" s="317">
        <f t="shared" si="239"/>
        <v>0</v>
      </c>
      <c r="N332" s="317">
        <f t="shared" ref="N332:N355" si="265">IF($G332="1122",$F332,0)</f>
        <v>0</v>
      </c>
      <c r="O332" s="317">
        <f t="shared" ref="O332:O355" si="266">IF($H332="1122",$F332,0)</f>
        <v>0</v>
      </c>
      <c r="P332" s="317">
        <f t="shared" si="240"/>
        <v>0</v>
      </c>
      <c r="Q332" s="317">
        <f t="shared" si="241"/>
        <v>0</v>
      </c>
      <c r="R332" s="317">
        <f t="shared" si="242"/>
        <v>0</v>
      </c>
      <c r="S332" s="317">
        <f t="shared" si="243"/>
        <v>0</v>
      </c>
      <c r="T332" s="317">
        <f t="shared" si="222"/>
        <v>0</v>
      </c>
      <c r="U332" s="317">
        <f t="shared" si="223"/>
        <v>0</v>
      </c>
      <c r="V332" s="317">
        <f t="shared" si="244"/>
        <v>0</v>
      </c>
      <c r="W332" s="317">
        <f t="shared" si="245"/>
        <v>0</v>
      </c>
      <c r="X332" s="317">
        <f t="shared" si="246"/>
        <v>0</v>
      </c>
      <c r="Y332" s="317">
        <f t="shared" si="247"/>
        <v>0</v>
      </c>
      <c r="Z332" s="317">
        <f t="shared" si="228"/>
        <v>0</v>
      </c>
      <c r="AA332" s="317">
        <f t="shared" si="229"/>
        <v>0</v>
      </c>
      <c r="AB332" s="317">
        <f t="shared" si="248"/>
        <v>0</v>
      </c>
      <c r="AC332" s="317">
        <f t="shared" si="249"/>
        <v>0</v>
      </c>
      <c r="AD332" s="317">
        <f t="shared" si="230"/>
        <v>0</v>
      </c>
      <c r="AE332" s="317">
        <f t="shared" si="231"/>
        <v>0</v>
      </c>
      <c r="AF332" s="317">
        <f t="shared" ref="AF332:AF355" si="267">IF($G332="3412",$F332,0)</f>
        <v>0</v>
      </c>
      <c r="AG332" s="317">
        <f t="shared" ref="AG332:AG355" si="268">IF($H332="3412",$F332,0)</f>
        <v>0</v>
      </c>
      <c r="AH332" s="317">
        <f t="shared" si="250"/>
        <v>0</v>
      </c>
      <c r="AI332" s="317">
        <f t="shared" si="251"/>
        <v>0</v>
      </c>
      <c r="AJ332" s="317">
        <f t="shared" si="252"/>
        <v>0</v>
      </c>
      <c r="AK332" s="317">
        <f t="shared" si="253"/>
        <v>0</v>
      </c>
      <c r="AL332" s="317">
        <f t="shared" si="254"/>
        <v>0</v>
      </c>
      <c r="AM332" s="317">
        <f t="shared" si="255"/>
        <v>0</v>
      </c>
      <c r="AN332" s="317">
        <f t="shared" si="256"/>
        <v>0</v>
      </c>
      <c r="AO332" s="317">
        <f t="shared" si="257"/>
        <v>0</v>
      </c>
      <c r="AP332" s="317">
        <f t="shared" si="258"/>
        <v>0</v>
      </c>
      <c r="AQ332" s="317">
        <f t="shared" si="259"/>
        <v>0</v>
      </c>
      <c r="AR332" s="317">
        <f t="shared" si="232"/>
        <v>0</v>
      </c>
      <c r="AS332" s="317">
        <f t="shared" si="233"/>
        <v>0</v>
      </c>
      <c r="AT332" s="317">
        <f t="shared" si="260"/>
        <v>0</v>
      </c>
      <c r="AU332" s="317">
        <f t="shared" si="261"/>
        <v>0</v>
      </c>
      <c r="AV332" s="317">
        <f t="shared" si="262"/>
        <v>0</v>
      </c>
      <c r="AW332" s="317">
        <f t="shared" si="263"/>
        <v>0</v>
      </c>
      <c r="AX332" s="317">
        <f t="shared" si="234"/>
        <v>0</v>
      </c>
      <c r="AY332" s="317">
        <f t="shared" si="235"/>
        <v>0</v>
      </c>
      <c r="AZ332" s="317">
        <f t="shared" si="236"/>
        <v>0</v>
      </c>
      <c r="BA332" s="317">
        <f t="shared" si="237"/>
        <v>0</v>
      </c>
    </row>
    <row r="333" spans="1:53" s="314" customFormat="1" ht="16.5" customHeight="1">
      <c r="A333" s="63" t="str">
        <f t="array" ref="A333">IF(C333&lt;&gt;0,SUM(($C$11:C333&lt;&gt;0)*1),"")</f>
        <v/>
      </c>
      <c r="B333" s="315"/>
      <c r="C333" s="315"/>
      <c r="D333" s="315"/>
      <c r="E333" s="432"/>
      <c r="F333" s="371"/>
      <c r="G333" s="373"/>
      <c r="H333" s="373"/>
      <c r="I333" s="63" t="str">
        <f t="shared" si="264"/>
        <v/>
      </c>
      <c r="J333" s="317">
        <f t="shared" si="226"/>
        <v>0</v>
      </c>
      <c r="K333" s="317">
        <f t="shared" si="227"/>
        <v>0</v>
      </c>
      <c r="L333" s="317">
        <f t="shared" si="238"/>
        <v>0</v>
      </c>
      <c r="M333" s="317">
        <f t="shared" si="239"/>
        <v>0</v>
      </c>
      <c r="N333" s="317">
        <f t="shared" si="265"/>
        <v>0</v>
      </c>
      <c r="O333" s="317">
        <f t="shared" si="266"/>
        <v>0</v>
      </c>
      <c r="P333" s="317">
        <f t="shared" si="240"/>
        <v>0</v>
      </c>
      <c r="Q333" s="317">
        <f t="shared" si="241"/>
        <v>0</v>
      </c>
      <c r="R333" s="317">
        <f t="shared" si="242"/>
        <v>0</v>
      </c>
      <c r="S333" s="317">
        <f t="shared" si="243"/>
        <v>0</v>
      </c>
      <c r="T333" s="317">
        <f t="shared" si="222"/>
        <v>0</v>
      </c>
      <c r="U333" s="317">
        <f t="shared" si="223"/>
        <v>0</v>
      </c>
      <c r="V333" s="317">
        <f t="shared" si="244"/>
        <v>0</v>
      </c>
      <c r="W333" s="317">
        <f t="shared" si="245"/>
        <v>0</v>
      </c>
      <c r="X333" s="317">
        <f t="shared" si="246"/>
        <v>0</v>
      </c>
      <c r="Y333" s="317">
        <f t="shared" si="247"/>
        <v>0</v>
      </c>
      <c r="Z333" s="317">
        <f t="shared" si="228"/>
        <v>0</v>
      </c>
      <c r="AA333" s="317">
        <f t="shared" si="229"/>
        <v>0</v>
      </c>
      <c r="AB333" s="317">
        <f t="shared" si="248"/>
        <v>0</v>
      </c>
      <c r="AC333" s="317">
        <f t="shared" si="249"/>
        <v>0</v>
      </c>
      <c r="AD333" s="317">
        <f t="shared" si="230"/>
        <v>0</v>
      </c>
      <c r="AE333" s="317">
        <f t="shared" si="231"/>
        <v>0</v>
      </c>
      <c r="AF333" s="317">
        <f t="shared" si="267"/>
        <v>0</v>
      </c>
      <c r="AG333" s="317">
        <f t="shared" si="268"/>
        <v>0</v>
      </c>
      <c r="AH333" s="317">
        <f t="shared" si="250"/>
        <v>0</v>
      </c>
      <c r="AI333" s="317">
        <f t="shared" si="251"/>
        <v>0</v>
      </c>
      <c r="AJ333" s="317">
        <f t="shared" si="252"/>
        <v>0</v>
      </c>
      <c r="AK333" s="317">
        <f t="shared" si="253"/>
        <v>0</v>
      </c>
      <c r="AL333" s="317">
        <f t="shared" si="254"/>
        <v>0</v>
      </c>
      <c r="AM333" s="317">
        <f t="shared" si="255"/>
        <v>0</v>
      </c>
      <c r="AN333" s="317">
        <f t="shared" si="256"/>
        <v>0</v>
      </c>
      <c r="AO333" s="317">
        <f t="shared" si="257"/>
        <v>0</v>
      </c>
      <c r="AP333" s="317">
        <f t="shared" si="258"/>
        <v>0</v>
      </c>
      <c r="AQ333" s="317">
        <f t="shared" si="259"/>
        <v>0</v>
      </c>
      <c r="AR333" s="317">
        <f t="shared" si="232"/>
        <v>0</v>
      </c>
      <c r="AS333" s="317">
        <f t="shared" si="233"/>
        <v>0</v>
      </c>
      <c r="AT333" s="317">
        <f t="shared" si="260"/>
        <v>0</v>
      </c>
      <c r="AU333" s="317">
        <f t="shared" si="261"/>
        <v>0</v>
      </c>
      <c r="AV333" s="317">
        <f t="shared" si="262"/>
        <v>0</v>
      </c>
      <c r="AW333" s="317">
        <f t="shared" si="263"/>
        <v>0</v>
      </c>
      <c r="AX333" s="317">
        <f t="shared" si="234"/>
        <v>0</v>
      </c>
      <c r="AY333" s="317">
        <f t="shared" si="235"/>
        <v>0</v>
      </c>
      <c r="AZ333" s="317">
        <f t="shared" si="236"/>
        <v>0</v>
      </c>
      <c r="BA333" s="317">
        <f t="shared" si="237"/>
        <v>0</v>
      </c>
    </row>
    <row r="334" spans="1:53" s="314" customFormat="1" ht="16.5" customHeight="1">
      <c r="A334" s="63" t="str">
        <f t="array" ref="A334">IF(C334&lt;&gt;0,SUM(($C$11:C334&lt;&gt;0)*1),"")</f>
        <v/>
      </c>
      <c r="B334" s="315"/>
      <c r="C334" s="315"/>
      <c r="D334" s="315"/>
      <c r="E334" s="432"/>
      <c r="F334" s="371"/>
      <c r="G334" s="373"/>
      <c r="H334" s="373"/>
      <c r="I334" s="63" t="str">
        <f t="shared" si="264"/>
        <v/>
      </c>
      <c r="J334" s="317">
        <f t="shared" si="226"/>
        <v>0</v>
      </c>
      <c r="K334" s="317">
        <f t="shared" si="227"/>
        <v>0</v>
      </c>
      <c r="L334" s="317">
        <f t="shared" si="238"/>
        <v>0</v>
      </c>
      <c r="M334" s="317">
        <f t="shared" si="239"/>
        <v>0</v>
      </c>
      <c r="N334" s="317">
        <f t="shared" si="265"/>
        <v>0</v>
      </c>
      <c r="O334" s="317">
        <f t="shared" si="266"/>
        <v>0</v>
      </c>
      <c r="P334" s="317">
        <f t="shared" si="240"/>
        <v>0</v>
      </c>
      <c r="Q334" s="317">
        <f t="shared" si="241"/>
        <v>0</v>
      </c>
      <c r="R334" s="317">
        <f t="shared" si="242"/>
        <v>0</v>
      </c>
      <c r="S334" s="317">
        <f t="shared" si="243"/>
        <v>0</v>
      </c>
      <c r="T334" s="317">
        <f t="shared" si="222"/>
        <v>0</v>
      </c>
      <c r="U334" s="317">
        <f t="shared" si="223"/>
        <v>0</v>
      </c>
      <c r="V334" s="317">
        <f t="shared" si="244"/>
        <v>0</v>
      </c>
      <c r="W334" s="317">
        <f t="shared" si="245"/>
        <v>0</v>
      </c>
      <c r="X334" s="317">
        <f t="shared" si="246"/>
        <v>0</v>
      </c>
      <c r="Y334" s="317">
        <f t="shared" si="247"/>
        <v>0</v>
      </c>
      <c r="Z334" s="317">
        <f t="shared" si="228"/>
        <v>0</v>
      </c>
      <c r="AA334" s="317">
        <f t="shared" si="229"/>
        <v>0</v>
      </c>
      <c r="AB334" s="317">
        <f t="shared" si="248"/>
        <v>0</v>
      </c>
      <c r="AC334" s="317">
        <f t="shared" si="249"/>
        <v>0</v>
      </c>
      <c r="AD334" s="317">
        <f t="shared" si="230"/>
        <v>0</v>
      </c>
      <c r="AE334" s="317">
        <f t="shared" si="231"/>
        <v>0</v>
      </c>
      <c r="AF334" s="317">
        <f t="shared" si="267"/>
        <v>0</v>
      </c>
      <c r="AG334" s="317">
        <f t="shared" si="268"/>
        <v>0</v>
      </c>
      <c r="AH334" s="317">
        <f t="shared" si="250"/>
        <v>0</v>
      </c>
      <c r="AI334" s="317">
        <f t="shared" si="251"/>
        <v>0</v>
      </c>
      <c r="AJ334" s="317">
        <f t="shared" si="252"/>
        <v>0</v>
      </c>
      <c r="AK334" s="317">
        <f t="shared" si="253"/>
        <v>0</v>
      </c>
      <c r="AL334" s="317">
        <f t="shared" si="254"/>
        <v>0</v>
      </c>
      <c r="AM334" s="317">
        <f t="shared" si="255"/>
        <v>0</v>
      </c>
      <c r="AN334" s="317">
        <f t="shared" si="256"/>
        <v>0</v>
      </c>
      <c r="AO334" s="317">
        <f t="shared" si="257"/>
        <v>0</v>
      </c>
      <c r="AP334" s="317">
        <f t="shared" si="258"/>
        <v>0</v>
      </c>
      <c r="AQ334" s="317">
        <f t="shared" si="259"/>
        <v>0</v>
      </c>
      <c r="AR334" s="317">
        <f t="shared" si="232"/>
        <v>0</v>
      </c>
      <c r="AS334" s="317">
        <f t="shared" si="233"/>
        <v>0</v>
      </c>
      <c r="AT334" s="317">
        <f t="shared" si="260"/>
        <v>0</v>
      </c>
      <c r="AU334" s="317">
        <f t="shared" si="261"/>
        <v>0</v>
      </c>
      <c r="AV334" s="317">
        <f t="shared" si="262"/>
        <v>0</v>
      </c>
      <c r="AW334" s="317">
        <f t="shared" si="263"/>
        <v>0</v>
      </c>
      <c r="AX334" s="317">
        <f t="shared" si="234"/>
        <v>0</v>
      </c>
      <c r="AY334" s="317">
        <f t="shared" si="235"/>
        <v>0</v>
      </c>
      <c r="AZ334" s="317">
        <f t="shared" si="236"/>
        <v>0</v>
      </c>
      <c r="BA334" s="317">
        <f t="shared" si="237"/>
        <v>0</v>
      </c>
    </row>
    <row r="335" spans="1:53" s="314" customFormat="1" ht="16.5" customHeight="1">
      <c r="A335" s="63" t="str">
        <f t="array" ref="A335">IF(C335&lt;&gt;0,SUM(($C$11:C335&lt;&gt;0)*1),"")</f>
        <v/>
      </c>
      <c r="B335" s="315"/>
      <c r="C335" s="315"/>
      <c r="D335" s="315"/>
      <c r="E335" s="432"/>
      <c r="F335" s="371"/>
      <c r="G335" s="373"/>
      <c r="H335" s="373"/>
      <c r="I335" s="63" t="str">
        <f t="shared" si="264"/>
        <v/>
      </c>
      <c r="J335" s="317">
        <f t="shared" si="226"/>
        <v>0</v>
      </c>
      <c r="K335" s="317">
        <f t="shared" si="227"/>
        <v>0</v>
      </c>
      <c r="L335" s="317">
        <f t="shared" si="238"/>
        <v>0</v>
      </c>
      <c r="M335" s="317">
        <f t="shared" si="239"/>
        <v>0</v>
      </c>
      <c r="N335" s="317">
        <f t="shared" si="265"/>
        <v>0</v>
      </c>
      <c r="O335" s="317">
        <f t="shared" si="266"/>
        <v>0</v>
      </c>
      <c r="P335" s="317">
        <f t="shared" si="240"/>
        <v>0</v>
      </c>
      <c r="Q335" s="317">
        <f t="shared" si="241"/>
        <v>0</v>
      </c>
      <c r="R335" s="317">
        <f t="shared" si="242"/>
        <v>0</v>
      </c>
      <c r="S335" s="317">
        <f t="shared" si="243"/>
        <v>0</v>
      </c>
      <c r="T335" s="317">
        <f t="shared" si="222"/>
        <v>0</v>
      </c>
      <c r="U335" s="317">
        <f t="shared" si="223"/>
        <v>0</v>
      </c>
      <c r="V335" s="317">
        <f t="shared" si="244"/>
        <v>0</v>
      </c>
      <c r="W335" s="317">
        <f t="shared" si="245"/>
        <v>0</v>
      </c>
      <c r="X335" s="317">
        <f t="shared" si="246"/>
        <v>0</v>
      </c>
      <c r="Y335" s="317">
        <f t="shared" si="247"/>
        <v>0</v>
      </c>
      <c r="Z335" s="317">
        <f t="shared" si="228"/>
        <v>0</v>
      </c>
      <c r="AA335" s="317">
        <f t="shared" si="229"/>
        <v>0</v>
      </c>
      <c r="AB335" s="317">
        <f t="shared" si="248"/>
        <v>0</v>
      </c>
      <c r="AC335" s="317">
        <f t="shared" si="249"/>
        <v>0</v>
      </c>
      <c r="AD335" s="317">
        <f t="shared" si="230"/>
        <v>0</v>
      </c>
      <c r="AE335" s="317">
        <f t="shared" si="231"/>
        <v>0</v>
      </c>
      <c r="AF335" s="317">
        <f t="shared" si="267"/>
        <v>0</v>
      </c>
      <c r="AG335" s="317">
        <f t="shared" si="268"/>
        <v>0</v>
      </c>
      <c r="AH335" s="317">
        <f t="shared" si="250"/>
        <v>0</v>
      </c>
      <c r="AI335" s="317">
        <f t="shared" si="251"/>
        <v>0</v>
      </c>
      <c r="AJ335" s="317">
        <f t="shared" si="252"/>
        <v>0</v>
      </c>
      <c r="AK335" s="317">
        <f t="shared" si="253"/>
        <v>0</v>
      </c>
      <c r="AL335" s="317">
        <f t="shared" si="254"/>
        <v>0</v>
      </c>
      <c r="AM335" s="317">
        <f t="shared" si="255"/>
        <v>0</v>
      </c>
      <c r="AN335" s="317">
        <f t="shared" si="256"/>
        <v>0</v>
      </c>
      <c r="AO335" s="317">
        <f t="shared" si="257"/>
        <v>0</v>
      </c>
      <c r="AP335" s="317">
        <f t="shared" si="258"/>
        <v>0</v>
      </c>
      <c r="AQ335" s="317">
        <f t="shared" si="259"/>
        <v>0</v>
      </c>
      <c r="AR335" s="317">
        <f t="shared" si="232"/>
        <v>0</v>
      </c>
      <c r="AS335" s="317">
        <f t="shared" si="233"/>
        <v>0</v>
      </c>
      <c r="AT335" s="317">
        <f t="shared" si="260"/>
        <v>0</v>
      </c>
      <c r="AU335" s="317">
        <f t="shared" si="261"/>
        <v>0</v>
      </c>
      <c r="AV335" s="317">
        <f t="shared" si="262"/>
        <v>0</v>
      </c>
      <c r="AW335" s="317">
        <f t="shared" si="263"/>
        <v>0</v>
      </c>
      <c r="AX335" s="317">
        <f t="shared" si="234"/>
        <v>0</v>
      </c>
      <c r="AY335" s="317">
        <f t="shared" si="235"/>
        <v>0</v>
      </c>
      <c r="AZ335" s="317">
        <f t="shared" si="236"/>
        <v>0</v>
      </c>
      <c r="BA335" s="317">
        <f t="shared" si="237"/>
        <v>0</v>
      </c>
    </row>
    <row r="336" spans="1:53" s="314" customFormat="1" ht="16.5" customHeight="1">
      <c r="A336" s="63" t="str">
        <f t="array" ref="A336">IF(C336&lt;&gt;0,SUM(($C$11:C336&lt;&gt;0)*1),"")</f>
        <v/>
      </c>
      <c r="B336" s="315"/>
      <c r="C336" s="315"/>
      <c r="D336" s="315"/>
      <c r="E336" s="432"/>
      <c r="F336" s="371"/>
      <c r="G336" s="373"/>
      <c r="H336" s="373"/>
      <c r="I336" s="63" t="str">
        <f t="shared" si="264"/>
        <v/>
      </c>
      <c r="J336" s="317">
        <f t="shared" si="226"/>
        <v>0</v>
      </c>
      <c r="K336" s="317">
        <f t="shared" si="227"/>
        <v>0</v>
      </c>
      <c r="L336" s="317">
        <f t="shared" si="238"/>
        <v>0</v>
      </c>
      <c r="M336" s="317">
        <f t="shared" si="239"/>
        <v>0</v>
      </c>
      <c r="N336" s="317">
        <f t="shared" si="265"/>
        <v>0</v>
      </c>
      <c r="O336" s="317">
        <f t="shared" si="266"/>
        <v>0</v>
      </c>
      <c r="P336" s="317">
        <f t="shared" si="240"/>
        <v>0</v>
      </c>
      <c r="Q336" s="317">
        <f t="shared" si="241"/>
        <v>0</v>
      </c>
      <c r="R336" s="317">
        <f t="shared" si="242"/>
        <v>0</v>
      </c>
      <c r="S336" s="317">
        <f t="shared" si="243"/>
        <v>0</v>
      </c>
      <c r="T336" s="317">
        <f t="shared" si="222"/>
        <v>0</v>
      </c>
      <c r="U336" s="317">
        <f t="shared" si="223"/>
        <v>0</v>
      </c>
      <c r="V336" s="317">
        <f t="shared" si="244"/>
        <v>0</v>
      </c>
      <c r="W336" s="317">
        <f t="shared" si="245"/>
        <v>0</v>
      </c>
      <c r="X336" s="317">
        <f t="shared" si="246"/>
        <v>0</v>
      </c>
      <c r="Y336" s="317">
        <f t="shared" si="247"/>
        <v>0</v>
      </c>
      <c r="Z336" s="317">
        <f t="shared" si="228"/>
        <v>0</v>
      </c>
      <c r="AA336" s="317">
        <f t="shared" si="229"/>
        <v>0</v>
      </c>
      <c r="AB336" s="317">
        <f t="shared" si="248"/>
        <v>0</v>
      </c>
      <c r="AC336" s="317">
        <f t="shared" si="249"/>
        <v>0</v>
      </c>
      <c r="AD336" s="317">
        <f t="shared" si="230"/>
        <v>0</v>
      </c>
      <c r="AE336" s="317">
        <f t="shared" si="231"/>
        <v>0</v>
      </c>
      <c r="AF336" s="317">
        <f t="shared" si="267"/>
        <v>0</v>
      </c>
      <c r="AG336" s="317">
        <f t="shared" si="268"/>
        <v>0</v>
      </c>
      <c r="AH336" s="317">
        <f t="shared" si="250"/>
        <v>0</v>
      </c>
      <c r="AI336" s="317">
        <f t="shared" si="251"/>
        <v>0</v>
      </c>
      <c r="AJ336" s="317">
        <f t="shared" si="252"/>
        <v>0</v>
      </c>
      <c r="AK336" s="317">
        <f t="shared" si="253"/>
        <v>0</v>
      </c>
      <c r="AL336" s="317">
        <f t="shared" si="254"/>
        <v>0</v>
      </c>
      <c r="AM336" s="317">
        <f t="shared" si="255"/>
        <v>0</v>
      </c>
      <c r="AN336" s="317">
        <f t="shared" si="256"/>
        <v>0</v>
      </c>
      <c r="AO336" s="317">
        <f t="shared" si="257"/>
        <v>0</v>
      </c>
      <c r="AP336" s="317">
        <f t="shared" si="258"/>
        <v>0</v>
      </c>
      <c r="AQ336" s="317">
        <f t="shared" si="259"/>
        <v>0</v>
      </c>
      <c r="AR336" s="317">
        <f t="shared" si="232"/>
        <v>0</v>
      </c>
      <c r="AS336" s="317">
        <f t="shared" si="233"/>
        <v>0</v>
      </c>
      <c r="AT336" s="317">
        <f t="shared" si="260"/>
        <v>0</v>
      </c>
      <c r="AU336" s="317">
        <f t="shared" si="261"/>
        <v>0</v>
      </c>
      <c r="AV336" s="317">
        <f t="shared" si="262"/>
        <v>0</v>
      </c>
      <c r="AW336" s="317">
        <f t="shared" si="263"/>
        <v>0</v>
      </c>
      <c r="AX336" s="317">
        <f t="shared" si="234"/>
        <v>0</v>
      </c>
      <c r="AY336" s="317">
        <f t="shared" si="235"/>
        <v>0</v>
      </c>
      <c r="AZ336" s="317">
        <f t="shared" si="236"/>
        <v>0</v>
      </c>
      <c r="BA336" s="317">
        <f t="shared" si="237"/>
        <v>0</v>
      </c>
    </row>
    <row r="337" spans="1:53" s="314" customFormat="1" ht="16.5" customHeight="1">
      <c r="A337" s="63" t="str">
        <f t="array" ref="A337">IF(C337&lt;&gt;0,SUM(($C$11:C337&lt;&gt;0)*1),"")</f>
        <v/>
      </c>
      <c r="B337" s="315"/>
      <c r="C337" s="315"/>
      <c r="D337" s="315"/>
      <c r="E337" s="432"/>
      <c r="F337" s="371"/>
      <c r="G337" s="373"/>
      <c r="H337" s="373"/>
      <c r="I337" s="63" t="str">
        <f t="shared" si="264"/>
        <v/>
      </c>
      <c r="J337" s="317">
        <f t="shared" si="226"/>
        <v>0</v>
      </c>
      <c r="K337" s="317">
        <f t="shared" si="227"/>
        <v>0</v>
      </c>
      <c r="L337" s="317">
        <f t="shared" si="238"/>
        <v>0</v>
      </c>
      <c r="M337" s="317">
        <f t="shared" si="239"/>
        <v>0</v>
      </c>
      <c r="N337" s="317">
        <f t="shared" si="265"/>
        <v>0</v>
      </c>
      <c r="O337" s="317">
        <f t="shared" si="266"/>
        <v>0</v>
      </c>
      <c r="P337" s="317">
        <f t="shared" si="240"/>
        <v>0</v>
      </c>
      <c r="Q337" s="317">
        <f t="shared" si="241"/>
        <v>0</v>
      </c>
      <c r="R337" s="317">
        <f t="shared" si="242"/>
        <v>0</v>
      </c>
      <c r="S337" s="317">
        <f t="shared" si="243"/>
        <v>0</v>
      </c>
      <c r="T337" s="317">
        <f t="shared" si="222"/>
        <v>0</v>
      </c>
      <c r="U337" s="317">
        <f t="shared" si="223"/>
        <v>0</v>
      </c>
      <c r="V337" s="317">
        <f t="shared" si="244"/>
        <v>0</v>
      </c>
      <c r="W337" s="317">
        <f t="shared" si="245"/>
        <v>0</v>
      </c>
      <c r="X337" s="317">
        <f t="shared" si="246"/>
        <v>0</v>
      </c>
      <c r="Y337" s="317">
        <f t="shared" si="247"/>
        <v>0</v>
      </c>
      <c r="Z337" s="317">
        <f t="shared" si="228"/>
        <v>0</v>
      </c>
      <c r="AA337" s="317">
        <f t="shared" si="229"/>
        <v>0</v>
      </c>
      <c r="AB337" s="317">
        <f t="shared" si="248"/>
        <v>0</v>
      </c>
      <c r="AC337" s="317">
        <f t="shared" si="249"/>
        <v>0</v>
      </c>
      <c r="AD337" s="317">
        <f t="shared" si="230"/>
        <v>0</v>
      </c>
      <c r="AE337" s="317">
        <f t="shared" si="231"/>
        <v>0</v>
      </c>
      <c r="AF337" s="317">
        <f t="shared" si="267"/>
        <v>0</v>
      </c>
      <c r="AG337" s="317">
        <f t="shared" si="268"/>
        <v>0</v>
      </c>
      <c r="AH337" s="317">
        <f t="shared" si="250"/>
        <v>0</v>
      </c>
      <c r="AI337" s="317">
        <f t="shared" si="251"/>
        <v>0</v>
      </c>
      <c r="AJ337" s="317">
        <f t="shared" si="252"/>
        <v>0</v>
      </c>
      <c r="AK337" s="317">
        <f t="shared" si="253"/>
        <v>0</v>
      </c>
      <c r="AL337" s="317">
        <f t="shared" si="254"/>
        <v>0</v>
      </c>
      <c r="AM337" s="317">
        <f t="shared" si="255"/>
        <v>0</v>
      </c>
      <c r="AN337" s="317">
        <f t="shared" si="256"/>
        <v>0</v>
      </c>
      <c r="AO337" s="317">
        <f t="shared" si="257"/>
        <v>0</v>
      </c>
      <c r="AP337" s="317">
        <f t="shared" si="258"/>
        <v>0</v>
      </c>
      <c r="AQ337" s="317">
        <f t="shared" si="259"/>
        <v>0</v>
      </c>
      <c r="AR337" s="317">
        <f t="shared" si="232"/>
        <v>0</v>
      </c>
      <c r="AS337" s="317">
        <f t="shared" si="233"/>
        <v>0</v>
      </c>
      <c r="AT337" s="317">
        <f t="shared" si="260"/>
        <v>0</v>
      </c>
      <c r="AU337" s="317">
        <f t="shared" si="261"/>
        <v>0</v>
      </c>
      <c r="AV337" s="317">
        <f t="shared" si="262"/>
        <v>0</v>
      </c>
      <c r="AW337" s="317">
        <f t="shared" si="263"/>
        <v>0</v>
      </c>
      <c r="AX337" s="317">
        <f t="shared" si="234"/>
        <v>0</v>
      </c>
      <c r="AY337" s="317">
        <f t="shared" si="235"/>
        <v>0</v>
      </c>
      <c r="AZ337" s="317">
        <f t="shared" si="236"/>
        <v>0</v>
      </c>
      <c r="BA337" s="317">
        <f t="shared" si="237"/>
        <v>0</v>
      </c>
    </row>
    <row r="338" spans="1:53" s="314" customFormat="1" ht="16.5" customHeight="1">
      <c r="A338" s="63" t="str">
        <f t="array" ref="A338">IF(C338&lt;&gt;0,SUM(($C$11:C338&lt;&gt;0)*1),"")</f>
        <v/>
      </c>
      <c r="B338" s="315"/>
      <c r="C338" s="315"/>
      <c r="D338" s="315"/>
      <c r="E338" s="432"/>
      <c r="F338" s="371"/>
      <c r="G338" s="373"/>
      <c r="H338" s="373"/>
      <c r="I338" s="63" t="str">
        <f t="shared" si="264"/>
        <v/>
      </c>
      <c r="J338" s="317">
        <f t="shared" si="226"/>
        <v>0</v>
      </c>
      <c r="K338" s="317">
        <f t="shared" si="227"/>
        <v>0</v>
      </c>
      <c r="L338" s="317">
        <f t="shared" si="238"/>
        <v>0</v>
      </c>
      <c r="M338" s="317">
        <f t="shared" si="239"/>
        <v>0</v>
      </c>
      <c r="N338" s="317">
        <f t="shared" si="265"/>
        <v>0</v>
      </c>
      <c r="O338" s="317">
        <f t="shared" si="266"/>
        <v>0</v>
      </c>
      <c r="P338" s="317">
        <f t="shared" si="240"/>
        <v>0</v>
      </c>
      <c r="Q338" s="317">
        <f t="shared" si="241"/>
        <v>0</v>
      </c>
      <c r="R338" s="317">
        <f t="shared" si="242"/>
        <v>0</v>
      </c>
      <c r="S338" s="317">
        <f t="shared" si="243"/>
        <v>0</v>
      </c>
      <c r="T338" s="317">
        <f t="shared" si="222"/>
        <v>0</v>
      </c>
      <c r="U338" s="317">
        <f t="shared" si="223"/>
        <v>0</v>
      </c>
      <c r="V338" s="317">
        <f t="shared" si="244"/>
        <v>0</v>
      </c>
      <c r="W338" s="317">
        <f t="shared" si="245"/>
        <v>0</v>
      </c>
      <c r="X338" s="317">
        <f t="shared" si="246"/>
        <v>0</v>
      </c>
      <c r="Y338" s="317">
        <f t="shared" si="247"/>
        <v>0</v>
      </c>
      <c r="Z338" s="317">
        <f t="shared" si="228"/>
        <v>0</v>
      </c>
      <c r="AA338" s="317">
        <f t="shared" si="229"/>
        <v>0</v>
      </c>
      <c r="AB338" s="317">
        <f t="shared" si="248"/>
        <v>0</v>
      </c>
      <c r="AC338" s="317">
        <f t="shared" si="249"/>
        <v>0</v>
      </c>
      <c r="AD338" s="317">
        <f t="shared" si="230"/>
        <v>0</v>
      </c>
      <c r="AE338" s="317">
        <f t="shared" si="231"/>
        <v>0</v>
      </c>
      <c r="AF338" s="317">
        <f t="shared" si="267"/>
        <v>0</v>
      </c>
      <c r="AG338" s="317">
        <f t="shared" si="268"/>
        <v>0</v>
      </c>
      <c r="AH338" s="317">
        <f t="shared" si="250"/>
        <v>0</v>
      </c>
      <c r="AI338" s="317">
        <f t="shared" si="251"/>
        <v>0</v>
      </c>
      <c r="AJ338" s="317">
        <f t="shared" si="252"/>
        <v>0</v>
      </c>
      <c r="AK338" s="317">
        <f t="shared" si="253"/>
        <v>0</v>
      </c>
      <c r="AL338" s="317">
        <f t="shared" si="254"/>
        <v>0</v>
      </c>
      <c r="AM338" s="317">
        <f t="shared" si="255"/>
        <v>0</v>
      </c>
      <c r="AN338" s="317">
        <f t="shared" si="256"/>
        <v>0</v>
      </c>
      <c r="AO338" s="317">
        <f t="shared" si="257"/>
        <v>0</v>
      </c>
      <c r="AP338" s="317">
        <f t="shared" si="258"/>
        <v>0</v>
      </c>
      <c r="AQ338" s="317">
        <f t="shared" si="259"/>
        <v>0</v>
      </c>
      <c r="AR338" s="317">
        <f t="shared" si="232"/>
        <v>0</v>
      </c>
      <c r="AS338" s="317">
        <f t="shared" si="233"/>
        <v>0</v>
      </c>
      <c r="AT338" s="317">
        <f t="shared" si="260"/>
        <v>0</v>
      </c>
      <c r="AU338" s="317">
        <f t="shared" si="261"/>
        <v>0</v>
      </c>
      <c r="AV338" s="317">
        <f t="shared" si="262"/>
        <v>0</v>
      </c>
      <c r="AW338" s="317">
        <f t="shared" si="263"/>
        <v>0</v>
      </c>
      <c r="AX338" s="317">
        <f t="shared" si="234"/>
        <v>0</v>
      </c>
      <c r="AY338" s="317">
        <f t="shared" si="235"/>
        <v>0</v>
      </c>
      <c r="AZ338" s="317">
        <f t="shared" si="236"/>
        <v>0</v>
      </c>
      <c r="BA338" s="317">
        <f t="shared" si="237"/>
        <v>0</v>
      </c>
    </row>
    <row r="339" spans="1:53" s="314" customFormat="1" ht="16.5" customHeight="1">
      <c r="A339" s="63" t="str">
        <f t="array" ref="A339">IF(C339&lt;&gt;0,SUM(($C$11:C339&lt;&gt;0)*1),"")</f>
        <v/>
      </c>
      <c r="B339" s="315"/>
      <c r="C339" s="315"/>
      <c r="D339" s="315"/>
      <c r="E339" s="432"/>
      <c r="F339" s="371"/>
      <c r="G339" s="373"/>
      <c r="H339" s="373"/>
      <c r="I339" s="63" t="str">
        <f t="shared" si="264"/>
        <v/>
      </c>
      <c r="J339" s="317">
        <f t="shared" si="226"/>
        <v>0</v>
      </c>
      <c r="K339" s="317">
        <f t="shared" si="227"/>
        <v>0</v>
      </c>
      <c r="L339" s="317">
        <f t="shared" si="238"/>
        <v>0</v>
      </c>
      <c r="M339" s="317">
        <f t="shared" si="239"/>
        <v>0</v>
      </c>
      <c r="N339" s="317">
        <f t="shared" si="265"/>
        <v>0</v>
      </c>
      <c r="O339" s="317">
        <f t="shared" si="266"/>
        <v>0</v>
      </c>
      <c r="P339" s="317">
        <f t="shared" si="240"/>
        <v>0</v>
      </c>
      <c r="Q339" s="317">
        <f t="shared" si="241"/>
        <v>0</v>
      </c>
      <c r="R339" s="317">
        <f t="shared" si="242"/>
        <v>0</v>
      </c>
      <c r="S339" s="317">
        <f t="shared" si="243"/>
        <v>0</v>
      </c>
      <c r="T339" s="317">
        <f t="shared" si="222"/>
        <v>0</v>
      </c>
      <c r="U339" s="317">
        <f t="shared" si="223"/>
        <v>0</v>
      </c>
      <c r="V339" s="317">
        <f t="shared" si="244"/>
        <v>0</v>
      </c>
      <c r="W339" s="317">
        <f t="shared" si="245"/>
        <v>0</v>
      </c>
      <c r="X339" s="317">
        <f t="shared" si="246"/>
        <v>0</v>
      </c>
      <c r="Y339" s="317">
        <f t="shared" si="247"/>
        <v>0</v>
      </c>
      <c r="Z339" s="317">
        <f t="shared" si="228"/>
        <v>0</v>
      </c>
      <c r="AA339" s="317">
        <f t="shared" si="229"/>
        <v>0</v>
      </c>
      <c r="AB339" s="317">
        <f t="shared" si="248"/>
        <v>0</v>
      </c>
      <c r="AC339" s="317">
        <f t="shared" si="249"/>
        <v>0</v>
      </c>
      <c r="AD339" s="317">
        <f t="shared" si="230"/>
        <v>0</v>
      </c>
      <c r="AE339" s="317">
        <f t="shared" si="231"/>
        <v>0</v>
      </c>
      <c r="AF339" s="317">
        <f t="shared" si="267"/>
        <v>0</v>
      </c>
      <c r="AG339" s="317">
        <f t="shared" si="268"/>
        <v>0</v>
      </c>
      <c r="AH339" s="317">
        <f t="shared" si="250"/>
        <v>0</v>
      </c>
      <c r="AI339" s="317">
        <f t="shared" si="251"/>
        <v>0</v>
      </c>
      <c r="AJ339" s="317">
        <f t="shared" si="252"/>
        <v>0</v>
      </c>
      <c r="AK339" s="317">
        <f t="shared" si="253"/>
        <v>0</v>
      </c>
      <c r="AL339" s="317">
        <f t="shared" si="254"/>
        <v>0</v>
      </c>
      <c r="AM339" s="317">
        <f t="shared" si="255"/>
        <v>0</v>
      </c>
      <c r="AN339" s="317">
        <f t="shared" si="256"/>
        <v>0</v>
      </c>
      <c r="AO339" s="317">
        <f t="shared" si="257"/>
        <v>0</v>
      </c>
      <c r="AP339" s="317">
        <f t="shared" si="258"/>
        <v>0</v>
      </c>
      <c r="AQ339" s="317">
        <f t="shared" si="259"/>
        <v>0</v>
      </c>
      <c r="AR339" s="317">
        <f t="shared" si="232"/>
        <v>0</v>
      </c>
      <c r="AS339" s="317">
        <f t="shared" si="233"/>
        <v>0</v>
      </c>
      <c r="AT339" s="317">
        <f t="shared" si="260"/>
        <v>0</v>
      </c>
      <c r="AU339" s="317">
        <f t="shared" si="261"/>
        <v>0</v>
      </c>
      <c r="AV339" s="317">
        <f t="shared" si="262"/>
        <v>0</v>
      </c>
      <c r="AW339" s="317">
        <f t="shared" si="263"/>
        <v>0</v>
      </c>
      <c r="AX339" s="317">
        <f t="shared" si="234"/>
        <v>0</v>
      </c>
      <c r="AY339" s="317">
        <f t="shared" si="235"/>
        <v>0</v>
      </c>
      <c r="AZ339" s="317">
        <f t="shared" si="236"/>
        <v>0</v>
      </c>
      <c r="BA339" s="317">
        <f t="shared" si="237"/>
        <v>0</v>
      </c>
    </row>
    <row r="340" spans="1:53" s="314" customFormat="1" ht="16.5" customHeight="1">
      <c r="A340" s="63" t="str">
        <f t="array" ref="A340">IF(C340&lt;&gt;0,SUM(($C$11:C340&lt;&gt;0)*1),"")</f>
        <v/>
      </c>
      <c r="B340" s="315"/>
      <c r="C340" s="315"/>
      <c r="D340" s="315"/>
      <c r="E340" s="432"/>
      <c r="F340" s="371"/>
      <c r="G340" s="373"/>
      <c r="H340" s="373"/>
      <c r="I340" s="63" t="str">
        <f t="shared" si="264"/>
        <v/>
      </c>
      <c r="J340" s="317">
        <f t="shared" si="226"/>
        <v>0</v>
      </c>
      <c r="K340" s="317">
        <f t="shared" si="227"/>
        <v>0</v>
      </c>
      <c r="L340" s="317">
        <f t="shared" si="238"/>
        <v>0</v>
      </c>
      <c r="M340" s="317">
        <f t="shared" si="239"/>
        <v>0</v>
      </c>
      <c r="N340" s="317">
        <f t="shared" si="265"/>
        <v>0</v>
      </c>
      <c r="O340" s="317">
        <f t="shared" si="266"/>
        <v>0</v>
      </c>
      <c r="P340" s="317">
        <f t="shared" si="240"/>
        <v>0</v>
      </c>
      <c r="Q340" s="317">
        <f t="shared" si="241"/>
        <v>0</v>
      </c>
      <c r="R340" s="317">
        <f t="shared" si="242"/>
        <v>0</v>
      </c>
      <c r="S340" s="317">
        <f t="shared" si="243"/>
        <v>0</v>
      </c>
      <c r="T340" s="317">
        <f t="shared" si="222"/>
        <v>0</v>
      </c>
      <c r="U340" s="317">
        <f t="shared" si="223"/>
        <v>0</v>
      </c>
      <c r="V340" s="317">
        <f t="shared" si="244"/>
        <v>0</v>
      </c>
      <c r="W340" s="317">
        <f t="shared" si="245"/>
        <v>0</v>
      </c>
      <c r="X340" s="317">
        <f t="shared" si="246"/>
        <v>0</v>
      </c>
      <c r="Y340" s="317">
        <f t="shared" si="247"/>
        <v>0</v>
      </c>
      <c r="Z340" s="317">
        <f t="shared" si="228"/>
        <v>0</v>
      </c>
      <c r="AA340" s="317">
        <f t="shared" si="229"/>
        <v>0</v>
      </c>
      <c r="AB340" s="317">
        <f t="shared" si="248"/>
        <v>0</v>
      </c>
      <c r="AC340" s="317">
        <f t="shared" si="249"/>
        <v>0</v>
      </c>
      <c r="AD340" s="317">
        <f t="shared" si="230"/>
        <v>0</v>
      </c>
      <c r="AE340" s="317">
        <f t="shared" si="231"/>
        <v>0</v>
      </c>
      <c r="AF340" s="317">
        <f t="shared" si="267"/>
        <v>0</v>
      </c>
      <c r="AG340" s="317">
        <f t="shared" si="268"/>
        <v>0</v>
      </c>
      <c r="AH340" s="317">
        <f t="shared" si="250"/>
        <v>0</v>
      </c>
      <c r="AI340" s="317">
        <f t="shared" si="251"/>
        <v>0</v>
      </c>
      <c r="AJ340" s="317">
        <f t="shared" si="252"/>
        <v>0</v>
      </c>
      <c r="AK340" s="317">
        <f t="shared" si="253"/>
        <v>0</v>
      </c>
      <c r="AL340" s="317">
        <f t="shared" si="254"/>
        <v>0</v>
      </c>
      <c r="AM340" s="317">
        <f t="shared" si="255"/>
        <v>0</v>
      </c>
      <c r="AN340" s="317">
        <f t="shared" si="256"/>
        <v>0</v>
      </c>
      <c r="AO340" s="317">
        <f t="shared" si="257"/>
        <v>0</v>
      </c>
      <c r="AP340" s="317">
        <f t="shared" si="258"/>
        <v>0</v>
      </c>
      <c r="AQ340" s="317">
        <f t="shared" si="259"/>
        <v>0</v>
      </c>
      <c r="AR340" s="317">
        <f t="shared" si="232"/>
        <v>0</v>
      </c>
      <c r="AS340" s="317">
        <f t="shared" si="233"/>
        <v>0</v>
      </c>
      <c r="AT340" s="317">
        <f t="shared" si="260"/>
        <v>0</v>
      </c>
      <c r="AU340" s="317">
        <f t="shared" si="261"/>
        <v>0</v>
      </c>
      <c r="AV340" s="317">
        <f t="shared" si="262"/>
        <v>0</v>
      </c>
      <c r="AW340" s="317">
        <f t="shared" si="263"/>
        <v>0</v>
      </c>
      <c r="AX340" s="317">
        <f t="shared" si="234"/>
        <v>0</v>
      </c>
      <c r="AY340" s="317">
        <f t="shared" si="235"/>
        <v>0</v>
      </c>
      <c r="AZ340" s="317">
        <f t="shared" si="236"/>
        <v>0</v>
      </c>
      <c r="BA340" s="317">
        <f t="shared" si="237"/>
        <v>0</v>
      </c>
    </row>
    <row r="341" spans="1:53" s="314" customFormat="1" ht="16.5" customHeight="1">
      <c r="A341" s="63" t="str">
        <f t="array" ref="A341">IF(C341&lt;&gt;0,SUM(($C$11:C341&lt;&gt;0)*1),"")</f>
        <v/>
      </c>
      <c r="B341" s="315"/>
      <c r="C341" s="315"/>
      <c r="D341" s="315"/>
      <c r="E341" s="432"/>
      <c r="F341" s="371"/>
      <c r="G341" s="373"/>
      <c r="H341" s="373"/>
      <c r="I341" s="63" t="str">
        <f t="shared" si="264"/>
        <v/>
      </c>
      <c r="J341" s="317">
        <f t="shared" si="226"/>
        <v>0</v>
      </c>
      <c r="K341" s="317">
        <f t="shared" si="227"/>
        <v>0</v>
      </c>
      <c r="L341" s="317">
        <f t="shared" si="238"/>
        <v>0</v>
      </c>
      <c r="M341" s="317">
        <f t="shared" si="239"/>
        <v>0</v>
      </c>
      <c r="N341" s="317">
        <f t="shared" si="265"/>
        <v>0</v>
      </c>
      <c r="O341" s="317">
        <f t="shared" si="266"/>
        <v>0</v>
      </c>
      <c r="P341" s="317">
        <f t="shared" si="240"/>
        <v>0</v>
      </c>
      <c r="Q341" s="317">
        <f t="shared" si="241"/>
        <v>0</v>
      </c>
      <c r="R341" s="317">
        <f t="shared" si="242"/>
        <v>0</v>
      </c>
      <c r="S341" s="317">
        <f t="shared" si="243"/>
        <v>0</v>
      </c>
      <c r="T341" s="317">
        <f t="shared" si="222"/>
        <v>0</v>
      </c>
      <c r="U341" s="317">
        <f t="shared" si="223"/>
        <v>0</v>
      </c>
      <c r="V341" s="317">
        <f t="shared" si="244"/>
        <v>0</v>
      </c>
      <c r="W341" s="317">
        <f t="shared" si="245"/>
        <v>0</v>
      </c>
      <c r="X341" s="317">
        <f t="shared" si="246"/>
        <v>0</v>
      </c>
      <c r="Y341" s="317">
        <f t="shared" si="247"/>
        <v>0</v>
      </c>
      <c r="Z341" s="317">
        <f t="shared" si="228"/>
        <v>0</v>
      </c>
      <c r="AA341" s="317">
        <f t="shared" si="229"/>
        <v>0</v>
      </c>
      <c r="AB341" s="317">
        <f t="shared" si="248"/>
        <v>0</v>
      </c>
      <c r="AC341" s="317">
        <f t="shared" si="249"/>
        <v>0</v>
      </c>
      <c r="AD341" s="317">
        <f t="shared" si="230"/>
        <v>0</v>
      </c>
      <c r="AE341" s="317">
        <f t="shared" si="231"/>
        <v>0</v>
      </c>
      <c r="AF341" s="317">
        <f t="shared" si="267"/>
        <v>0</v>
      </c>
      <c r="AG341" s="317">
        <f t="shared" si="268"/>
        <v>0</v>
      </c>
      <c r="AH341" s="317">
        <f t="shared" si="250"/>
        <v>0</v>
      </c>
      <c r="AI341" s="317">
        <f t="shared" si="251"/>
        <v>0</v>
      </c>
      <c r="AJ341" s="317">
        <f t="shared" si="252"/>
        <v>0</v>
      </c>
      <c r="AK341" s="317">
        <f t="shared" si="253"/>
        <v>0</v>
      </c>
      <c r="AL341" s="317">
        <f t="shared" si="254"/>
        <v>0</v>
      </c>
      <c r="AM341" s="317">
        <f t="shared" si="255"/>
        <v>0</v>
      </c>
      <c r="AN341" s="317">
        <f t="shared" si="256"/>
        <v>0</v>
      </c>
      <c r="AO341" s="317">
        <f t="shared" si="257"/>
        <v>0</v>
      </c>
      <c r="AP341" s="317">
        <f t="shared" si="258"/>
        <v>0</v>
      </c>
      <c r="AQ341" s="317">
        <f t="shared" si="259"/>
        <v>0</v>
      </c>
      <c r="AR341" s="317">
        <f t="shared" si="232"/>
        <v>0</v>
      </c>
      <c r="AS341" s="317">
        <f t="shared" si="233"/>
        <v>0</v>
      </c>
      <c r="AT341" s="317">
        <f t="shared" si="260"/>
        <v>0</v>
      </c>
      <c r="AU341" s="317">
        <f t="shared" si="261"/>
        <v>0</v>
      </c>
      <c r="AV341" s="317">
        <f t="shared" si="262"/>
        <v>0</v>
      </c>
      <c r="AW341" s="317">
        <f t="shared" si="263"/>
        <v>0</v>
      </c>
      <c r="AX341" s="317">
        <f t="shared" si="234"/>
        <v>0</v>
      </c>
      <c r="AY341" s="317">
        <f t="shared" si="235"/>
        <v>0</v>
      </c>
      <c r="AZ341" s="317">
        <f t="shared" si="236"/>
        <v>0</v>
      </c>
      <c r="BA341" s="317">
        <f t="shared" si="237"/>
        <v>0</v>
      </c>
    </row>
    <row r="342" spans="1:53" s="314" customFormat="1" ht="16.5" customHeight="1">
      <c r="A342" s="63" t="str">
        <f t="array" ref="A342">IF(C342&lt;&gt;0,SUM(($C$11:C342&lt;&gt;0)*1),"")</f>
        <v/>
      </c>
      <c r="B342" s="315"/>
      <c r="C342" s="315"/>
      <c r="D342" s="315"/>
      <c r="E342" s="432"/>
      <c r="F342" s="371"/>
      <c r="G342" s="373"/>
      <c r="H342" s="373"/>
      <c r="I342" s="63" t="str">
        <f t="shared" si="264"/>
        <v/>
      </c>
      <c r="J342" s="317">
        <f t="shared" si="226"/>
        <v>0</v>
      </c>
      <c r="K342" s="317">
        <f t="shared" si="227"/>
        <v>0</v>
      </c>
      <c r="L342" s="317">
        <f t="shared" si="238"/>
        <v>0</v>
      </c>
      <c r="M342" s="317">
        <f t="shared" si="239"/>
        <v>0</v>
      </c>
      <c r="N342" s="317">
        <f t="shared" si="265"/>
        <v>0</v>
      </c>
      <c r="O342" s="317">
        <f t="shared" si="266"/>
        <v>0</v>
      </c>
      <c r="P342" s="317">
        <f t="shared" si="240"/>
        <v>0</v>
      </c>
      <c r="Q342" s="317">
        <f t="shared" si="241"/>
        <v>0</v>
      </c>
      <c r="R342" s="317">
        <f t="shared" si="242"/>
        <v>0</v>
      </c>
      <c r="S342" s="317">
        <f t="shared" si="243"/>
        <v>0</v>
      </c>
      <c r="T342" s="317">
        <f t="shared" si="222"/>
        <v>0</v>
      </c>
      <c r="U342" s="317">
        <f t="shared" si="223"/>
        <v>0</v>
      </c>
      <c r="V342" s="317">
        <f t="shared" si="244"/>
        <v>0</v>
      </c>
      <c r="W342" s="317">
        <f t="shared" si="245"/>
        <v>0</v>
      </c>
      <c r="X342" s="317">
        <f t="shared" si="246"/>
        <v>0</v>
      </c>
      <c r="Y342" s="317">
        <f t="shared" si="247"/>
        <v>0</v>
      </c>
      <c r="Z342" s="317">
        <f t="shared" si="228"/>
        <v>0</v>
      </c>
      <c r="AA342" s="317">
        <f t="shared" si="229"/>
        <v>0</v>
      </c>
      <c r="AB342" s="317">
        <f t="shared" si="248"/>
        <v>0</v>
      </c>
      <c r="AC342" s="317">
        <f t="shared" si="249"/>
        <v>0</v>
      </c>
      <c r="AD342" s="317">
        <f t="shared" si="230"/>
        <v>0</v>
      </c>
      <c r="AE342" s="317">
        <f t="shared" si="231"/>
        <v>0</v>
      </c>
      <c r="AF342" s="317">
        <f t="shared" si="267"/>
        <v>0</v>
      </c>
      <c r="AG342" s="317">
        <f t="shared" si="268"/>
        <v>0</v>
      </c>
      <c r="AH342" s="317">
        <f t="shared" si="250"/>
        <v>0</v>
      </c>
      <c r="AI342" s="317">
        <f t="shared" si="251"/>
        <v>0</v>
      </c>
      <c r="AJ342" s="317">
        <f t="shared" si="252"/>
        <v>0</v>
      </c>
      <c r="AK342" s="317">
        <f t="shared" si="253"/>
        <v>0</v>
      </c>
      <c r="AL342" s="317">
        <f t="shared" si="254"/>
        <v>0</v>
      </c>
      <c r="AM342" s="317">
        <f t="shared" si="255"/>
        <v>0</v>
      </c>
      <c r="AN342" s="317">
        <f t="shared" si="256"/>
        <v>0</v>
      </c>
      <c r="AO342" s="317">
        <f t="shared" si="257"/>
        <v>0</v>
      </c>
      <c r="AP342" s="317">
        <f t="shared" si="258"/>
        <v>0</v>
      </c>
      <c r="AQ342" s="317">
        <f t="shared" si="259"/>
        <v>0</v>
      </c>
      <c r="AR342" s="317">
        <f t="shared" si="232"/>
        <v>0</v>
      </c>
      <c r="AS342" s="317">
        <f t="shared" si="233"/>
        <v>0</v>
      </c>
      <c r="AT342" s="317">
        <f t="shared" si="260"/>
        <v>0</v>
      </c>
      <c r="AU342" s="317">
        <f t="shared" si="261"/>
        <v>0</v>
      </c>
      <c r="AV342" s="317">
        <f t="shared" si="262"/>
        <v>0</v>
      </c>
      <c r="AW342" s="317">
        <f t="shared" si="263"/>
        <v>0</v>
      </c>
      <c r="AX342" s="317">
        <f t="shared" si="234"/>
        <v>0</v>
      </c>
      <c r="AY342" s="317">
        <f t="shared" si="235"/>
        <v>0</v>
      </c>
      <c r="AZ342" s="317">
        <f t="shared" si="236"/>
        <v>0</v>
      </c>
      <c r="BA342" s="317">
        <f t="shared" si="237"/>
        <v>0</v>
      </c>
    </row>
    <row r="343" spans="1:53" s="314" customFormat="1" ht="16.5" customHeight="1">
      <c r="A343" s="63" t="str">
        <f t="array" ref="A343">IF(C343&lt;&gt;0,SUM(($C$11:C343&lt;&gt;0)*1),"")</f>
        <v/>
      </c>
      <c r="B343" s="315"/>
      <c r="C343" s="315"/>
      <c r="D343" s="315"/>
      <c r="E343" s="432"/>
      <c r="F343" s="371"/>
      <c r="G343" s="373"/>
      <c r="H343" s="373"/>
      <c r="I343" s="63" t="str">
        <f t="shared" si="264"/>
        <v/>
      </c>
      <c r="J343" s="317">
        <f t="shared" si="226"/>
        <v>0</v>
      </c>
      <c r="K343" s="317">
        <f t="shared" si="227"/>
        <v>0</v>
      </c>
      <c r="L343" s="317">
        <f t="shared" si="238"/>
        <v>0</v>
      </c>
      <c r="M343" s="317">
        <f t="shared" si="239"/>
        <v>0</v>
      </c>
      <c r="N343" s="317">
        <f t="shared" si="265"/>
        <v>0</v>
      </c>
      <c r="O343" s="317">
        <f t="shared" si="266"/>
        <v>0</v>
      </c>
      <c r="P343" s="317">
        <f t="shared" si="240"/>
        <v>0</v>
      </c>
      <c r="Q343" s="317">
        <f t="shared" si="241"/>
        <v>0</v>
      </c>
      <c r="R343" s="317">
        <f t="shared" si="242"/>
        <v>0</v>
      </c>
      <c r="S343" s="317">
        <f t="shared" si="243"/>
        <v>0</v>
      </c>
      <c r="T343" s="317">
        <f t="shared" si="222"/>
        <v>0</v>
      </c>
      <c r="U343" s="317">
        <f t="shared" si="223"/>
        <v>0</v>
      </c>
      <c r="V343" s="317">
        <f t="shared" si="244"/>
        <v>0</v>
      </c>
      <c r="W343" s="317">
        <f t="shared" si="245"/>
        <v>0</v>
      </c>
      <c r="X343" s="317">
        <f t="shared" si="246"/>
        <v>0</v>
      </c>
      <c r="Y343" s="317">
        <f t="shared" si="247"/>
        <v>0</v>
      </c>
      <c r="Z343" s="317">
        <f t="shared" si="228"/>
        <v>0</v>
      </c>
      <c r="AA343" s="317">
        <f t="shared" si="229"/>
        <v>0</v>
      </c>
      <c r="AB343" s="317">
        <f t="shared" si="248"/>
        <v>0</v>
      </c>
      <c r="AC343" s="317">
        <f t="shared" si="249"/>
        <v>0</v>
      </c>
      <c r="AD343" s="317">
        <f t="shared" si="230"/>
        <v>0</v>
      </c>
      <c r="AE343" s="317">
        <f t="shared" si="231"/>
        <v>0</v>
      </c>
      <c r="AF343" s="317">
        <f t="shared" si="267"/>
        <v>0</v>
      </c>
      <c r="AG343" s="317">
        <f t="shared" si="268"/>
        <v>0</v>
      </c>
      <c r="AH343" s="317">
        <f t="shared" si="250"/>
        <v>0</v>
      </c>
      <c r="AI343" s="317">
        <f t="shared" si="251"/>
        <v>0</v>
      </c>
      <c r="AJ343" s="317">
        <f t="shared" si="252"/>
        <v>0</v>
      </c>
      <c r="AK343" s="317">
        <f t="shared" si="253"/>
        <v>0</v>
      </c>
      <c r="AL343" s="317">
        <f t="shared" si="254"/>
        <v>0</v>
      </c>
      <c r="AM343" s="317">
        <f t="shared" si="255"/>
        <v>0</v>
      </c>
      <c r="AN343" s="317">
        <f t="shared" si="256"/>
        <v>0</v>
      </c>
      <c r="AO343" s="317">
        <f t="shared" si="257"/>
        <v>0</v>
      </c>
      <c r="AP343" s="317">
        <f t="shared" si="258"/>
        <v>0</v>
      </c>
      <c r="AQ343" s="317">
        <f t="shared" si="259"/>
        <v>0</v>
      </c>
      <c r="AR343" s="317">
        <f t="shared" si="232"/>
        <v>0</v>
      </c>
      <c r="AS343" s="317">
        <f t="shared" si="233"/>
        <v>0</v>
      </c>
      <c r="AT343" s="317">
        <f t="shared" si="260"/>
        <v>0</v>
      </c>
      <c r="AU343" s="317">
        <f t="shared" si="261"/>
        <v>0</v>
      </c>
      <c r="AV343" s="317">
        <f t="shared" si="262"/>
        <v>0</v>
      </c>
      <c r="AW343" s="317">
        <f t="shared" si="263"/>
        <v>0</v>
      </c>
      <c r="AX343" s="317">
        <f t="shared" si="234"/>
        <v>0</v>
      </c>
      <c r="AY343" s="317">
        <f t="shared" si="235"/>
        <v>0</v>
      </c>
      <c r="AZ343" s="317">
        <f t="shared" si="236"/>
        <v>0</v>
      </c>
      <c r="BA343" s="317">
        <f t="shared" si="237"/>
        <v>0</v>
      </c>
    </row>
    <row r="344" spans="1:53" s="314" customFormat="1" ht="16.5" customHeight="1">
      <c r="A344" s="63" t="str">
        <f t="array" ref="A344">IF(C344&lt;&gt;0,SUM(($C$11:C344&lt;&gt;0)*1),"")</f>
        <v/>
      </c>
      <c r="B344" s="315"/>
      <c r="C344" s="315"/>
      <c r="D344" s="315"/>
      <c r="E344" s="432"/>
      <c r="F344" s="371"/>
      <c r="G344" s="373"/>
      <c r="H344" s="373"/>
      <c r="I344" s="63" t="str">
        <f t="shared" si="264"/>
        <v/>
      </c>
      <c r="J344" s="317">
        <f t="shared" si="226"/>
        <v>0</v>
      </c>
      <c r="K344" s="317">
        <f t="shared" si="227"/>
        <v>0</v>
      </c>
      <c r="L344" s="317">
        <f t="shared" si="238"/>
        <v>0</v>
      </c>
      <c r="M344" s="317">
        <f t="shared" si="239"/>
        <v>0</v>
      </c>
      <c r="N344" s="317">
        <f t="shared" si="265"/>
        <v>0</v>
      </c>
      <c r="O344" s="317">
        <f t="shared" si="266"/>
        <v>0</v>
      </c>
      <c r="P344" s="317">
        <f t="shared" si="240"/>
        <v>0</v>
      </c>
      <c r="Q344" s="317">
        <f t="shared" si="241"/>
        <v>0</v>
      </c>
      <c r="R344" s="317">
        <f t="shared" si="242"/>
        <v>0</v>
      </c>
      <c r="S344" s="317">
        <f t="shared" si="243"/>
        <v>0</v>
      </c>
      <c r="T344" s="317">
        <f t="shared" si="222"/>
        <v>0</v>
      </c>
      <c r="U344" s="317">
        <f t="shared" si="223"/>
        <v>0</v>
      </c>
      <c r="V344" s="317">
        <f t="shared" si="244"/>
        <v>0</v>
      </c>
      <c r="W344" s="317">
        <f t="shared" si="245"/>
        <v>0</v>
      </c>
      <c r="X344" s="317">
        <f t="shared" si="246"/>
        <v>0</v>
      </c>
      <c r="Y344" s="317">
        <f t="shared" si="247"/>
        <v>0</v>
      </c>
      <c r="Z344" s="317">
        <f t="shared" si="228"/>
        <v>0</v>
      </c>
      <c r="AA344" s="317">
        <f t="shared" si="229"/>
        <v>0</v>
      </c>
      <c r="AB344" s="317">
        <f t="shared" si="248"/>
        <v>0</v>
      </c>
      <c r="AC344" s="317">
        <f t="shared" si="249"/>
        <v>0</v>
      </c>
      <c r="AD344" s="317">
        <f t="shared" si="230"/>
        <v>0</v>
      </c>
      <c r="AE344" s="317">
        <f t="shared" si="231"/>
        <v>0</v>
      </c>
      <c r="AF344" s="317">
        <f t="shared" si="267"/>
        <v>0</v>
      </c>
      <c r="AG344" s="317">
        <f t="shared" si="268"/>
        <v>0</v>
      </c>
      <c r="AH344" s="317">
        <f t="shared" si="250"/>
        <v>0</v>
      </c>
      <c r="AI344" s="317">
        <f t="shared" si="251"/>
        <v>0</v>
      </c>
      <c r="AJ344" s="317">
        <f t="shared" si="252"/>
        <v>0</v>
      </c>
      <c r="AK344" s="317">
        <f t="shared" si="253"/>
        <v>0</v>
      </c>
      <c r="AL344" s="317">
        <f t="shared" si="254"/>
        <v>0</v>
      </c>
      <c r="AM344" s="317">
        <f t="shared" si="255"/>
        <v>0</v>
      </c>
      <c r="AN344" s="317">
        <f t="shared" si="256"/>
        <v>0</v>
      </c>
      <c r="AO344" s="317">
        <f t="shared" si="257"/>
        <v>0</v>
      </c>
      <c r="AP344" s="317">
        <f t="shared" si="258"/>
        <v>0</v>
      </c>
      <c r="AQ344" s="317">
        <f t="shared" si="259"/>
        <v>0</v>
      </c>
      <c r="AR344" s="317">
        <f t="shared" si="232"/>
        <v>0</v>
      </c>
      <c r="AS344" s="317">
        <f t="shared" si="233"/>
        <v>0</v>
      </c>
      <c r="AT344" s="317">
        <f t="shared" si="260"/>
        <v>0</v>
      </c>
      <c r="AU344" s="317">
        <f t="shared" si="261"/>
        <v>0</v>
      </c>
      <c r="AV344" s="317">
        <f t="shared" si="262"/>
        <v>0</v>
      </c>
      <c r="AW344" s="317">
        <f t="shared" si="263"/>
        <v>0</v>
      </c>
      <c r="AX344" s="317">
        <f t="shared" si="234"/>
        <v>0</v>
      </c>
      <c r="AY344" s="317">
        <f t="shared" si="235"/>
        <v>0</v>
      </c>
      <c r="AZ344" s="317">
        <f t="shared" si="236"/>
        <v>0</v>
      </c>
      <c r="BA344" s="317">
        <f t="shared" si="237"/>
        <v>0</v>
      </c>
    </row>
    <row r="345" spans="1:53" s="314" customFormat="1" ht="16.5" customHeight="1">
      <c r="A345" s="63" t="str">
        <f t="array" ref="A345">IF(C345&lt;&gt;0,SUM(($C$11:C345&lt;&gt;0)*1),"")</f>
        <v/>
      </c>
      <c r="B345" s="315"/>
      <c r="C345" s="315"/>
      <c r="D345" s="315"/>
      <c r="E345" s="432"/>
      <c r="F345" s="371"/>
      <c r="G345" s="373"/>
      <c r="H345" s="373"/>
      <c r="I345" s="63" t="str">
        <f t="shared" si="264"/>
        <v/>
      </c>
      <c r="J345" s="317">
        <f t="shared" si="226"/>
        <v>0</v>
      </c>
      <c r="K345" s="317">
        <f t="shared" si="227"/>
        <v>0</v>
      </c>
      <c r="L345" s="317">
        <f t="shared" si="238"/>
        <v>0</v>
      </c>
      <c r="M345" s="317">
        <f t="shared" si="239"/>
        <v>0</v>
      </c>
      <c r="N345" s="317">
        <f t="shared" si="265"/>
        <v>0</v>
      </c>
      <c r="O345" s="317">
        <f t="shared" si="266"/>
        <v>0</v>
      </c>
      <c r="P345" s="317">
        <f t="shared" si="240"/>
        <v>0</v>
      </c>
      <c r="Q345" s="317">
        <f t="shared" si="241"/>
        <v>0</v>
      </c>
      <c r="R345" s="317">
        <f t="shared" si="242"/>
        <v>0</v>
      </c>
      <c r="S345" s="317">
        <f t="shared" si="243"/>
        <v>0</v>
      </c>
      <c r="T345" s="317">
        <f t="shared" si="222"/>
        <v>0</v>
      </c>
      <c r="U345" s="317">
        <f t="shared" si="223"/>
        <v>0</v>
      </c>
      <c r="V345" s="317">
        <f t="shared" si="244"/>
        <v>0</v>
      </c>
      <c r="W345" s="317">
        <f t="shared" si="245"/>
        <v>0</v>
      </c>
      <c r="X345" s="317">
        <f t="shared" si="246"/>
        <v>0</v>
      </c>
      <c r="Y345" s="317">
        <f t="shared" si="247"/>
        <v>0</v>
      </c>
      <c r="Z345" s="317">
        <f t="shared" si="228"/>
        <v>0</v>
      </c>
      <c r="AA345" s="317">
        <f t="shared" si="229"/>
        <v>0</v>
      </c>
      <c r="AB345" s="317">
        <f t="shared" si="248"/>
        <v>0</v>
      </c>
      <c r="AC345" s="317">
        <f t="shared" si="249"/>
        <v>0</v>
      </c>
      <c r="AD345" s="317">
        <f t="shared" si="230"/>
        <v>0</v>
      </c>
      <c r="AE345" s="317">
        <f t="shared" si="231"/>
        <v>0</v>
      </c>
      <c r="AF345" s="317">
        <f t="shared" si="267"/>
        <v>0</v>
      </c>
      <c r="AG345" s="317">
        <f t="shared" si="268"/>
        <v>0</v>
      </c>
      <c r="AH345" s="317">
        <f t="shared" si="250"/>
        <v>0</v>
      </c>
      <c r="AI345" s="317">
        <f t="shared" si="251"/>
        <v>0</v>
      </c>
      <c r="AJ345" s="317">
        <f t="shared" si="252"/>
        <v>0</v>
      </c>
      <c r="AK345" s="317">
        <f t="shared" si="253"/>
        <v>0</v>
      </c>
      <c r="AL345" s="317">
        <f t="shared" si="254"/>
        <v>0</v>
      </c>
      <c r="AM345" s="317">
        <f t="shared" si="255"/>
        <v>0</v>
      </c>
      <c r="AN345" s="317">
        <f t="shared" si="256"/>
        <v>0</v>
      </c>
      <c r="AO345" s="317">
        <f t="shared" si="257"/>
        <v>0</v>
      </c>
      <c r="AP345" s="317">
        <f t="shared" si="258"/>
        <v>0</v>
      </c>
      <c r="AQ345" s="317">
        <f t="shared" si="259"/>
        <v>0</v>
      </c>
      <c r="AR345" s="317">
        <f t="shared" si="232"/>
        <v>0</v>
      </c>
      <c r="AS345" s="317">
        <f t="shared" si="233"/>
        <v>0</v>
      </c>
      <c r="AT345" s="317">
        <f t="shared" si="260"/>
        <v>0</v>
      </c>
      <c r="AU345" s="317">
        <f t="shared" si="261"/>
        <v>0</v>
      </c>
      <c r="AV345" s="317">
        <f t="shared" si="262"/>
        <v>0</v>
      </c>
      <c r="AW345" s="317">
        <f t="shared" si="263"/>
        <v>0</v>
      </c>
      <c r="AX345" s="317">
        <f t="shared" si="234"/>
        <v>0</v>
      </c>
      <c r="AY345" s="317">
        <f t="shared" si="235"/>
        <v>0</v>
      </c>
      <c r="AZ345" s="317">
        <f t="shared" si="236"/>
        <v>0</v>
      </c>
      <c r="BA345" s="317">
        <f t="shared" si="237"/>
        <v>0</v>
      </c>
    </row>
    <row r="346" spans="1:53" s="314" customFormat="1" ht="16.5" customHeight="1">
      <c r="A346" s="63" t="str">
        <f t="array" ref="A346">IF(C346&lt;&gt;0,SUM(($C$11:C346&lt;&gt;0)*1),"")</f>
        <v/>
      </c>
      <c r="B346" s="315"/>
      <c r="C346" s="315"/>
      <c r="D346" s="315"/>
      <c r="E346" s="432"/>
      <c r="F346" s="371"/>
      <c r="G346" s="373"/>
      <c r="H346" s="373"/>
      <c r="I346" s="63" t="str">
        <f t="shared" si="264"/>
        <v/>
      </c>
      <c r="J346" s="317">
        <f t="shared" si="226"/>
        <v>0</v>
      </c>
      <c r="K346" s="317">
        <f t="shared" si="227"/>
        <v>0</v>
      </c>
      <c r="L346" s="317">
        <f t="shared" si="238"/>
        <v>0</v>
      </c>
      <c r="M346" s="317">
        <f t="shared" si="239"/>
        <v>0</v>
      </c>
      <c r="N346" s="317">
        <f t="shared" si="265"/>
        <v>0</v>
      </c>
      <c r="O346" s="317">
        <f t="shared" si="266"/>
        <v>0</v>
      </c>
      <c r="P346" s="317">
        <f t="shared" si="240"/>
        <v>0</v>
      </c>
      <c r="Q346" s="317">
        <f t="shared" si="241"/>
        <v>0</v>
      </c>
      <c r="R346" s="317">
        <f t="shared" si="242"/>
        <v>0</v>
      </c>
      <c r="S346" s="317">
        <f t="shared" si="243"/>
        <v>0</v>
      </c>
      <c r="T346" s="317">
        <f t="shared" si="222"/>
        <v>0</v>
      </c>
      <c r="U346" s="317">
        <f t="shared" si="223"/>
        <v>0</v>
      </c>
      <c r="V346" s="317">
        <f t="shared" si="244"/>
        <v>0</v>
      </c>
      <c r="W346" s="317">
        <f t="shared" si="245"/>
        <v>0</v>
      </c>
      <c r="X346" s="317">
        <f t="shared" si="246"/>
        <v>0</v>
      </c>
      <c r="Y346" s="317">
        <f t="shared" si="247"/>
        <v>0</v>
      </c>
      <c r="Z346" s="317">
        <f t="shared" si="228"/>
        <v>0</v>
      </c>
      <c r="AA346" s="317">
        <f t="shared" si="229"/>
        <v>0</v>
      </c>
      <c r="AB346" s="317">
        <f t="shared" si="248"/>
        <v>0</v>
      </c>
      <c r="AC346" s="317">
        <f t="shared" si="249"/>
        <v>0</v>
      </c>
      <c r="AD346" s="317">
        <f t="shared" si="230"/>
        <v>0</v>
      </c>
      <c r="AE346" s="317">
        <f t="shared" si="231"/>
        <v>0</v>
      </c>
      <c r="AF346" s="317">
        <f t="shared" si="267"/>
        <v>0</v>
      </c>
      <c r="AG346" s="317">
        <f t="shared" si="268"/>
        <v>0</v>
      </c>
      <c r="AH346" s="317">
        <f t="shared" si="250"/>
        <v>0</v>
      </c>
      <c r="AI346" s="317">
        <f t="shared" si="251"/>
        <v>0</v>
      </c>
      <c r="AJ346" s="317">
        <f t="shared" si="252"/>
        <v>0</v>
      </c>
      <c r="AK346" s="317">
        <f t="shared" si="253"/>
        <v>0</v>
      </c>
      <c r="AL346" s="317">
        <f t="shared" si="254"/>
        <v>0</v>
      </c>
      <c r="AM346" s="317">
        <f t="shared" si="255"/>
        <v>0</v>
      </c>
      <c r="AN346" s="317">
        <f t="shared" si="256"/>
        <v>0</v>
      </c>
      <c r="AO346" s="317">
        <f t="shared" si="257"/>
        <v>0</v>
      </c>
      <c r="AP346" s="317">
        <f t="shared" si="258"/>
        <v>0</v>
      </c>
      <c r="AQ346" s="317">
        <f t="shared" si="259"/>
        <v>0</v>
      </c>
      <c r="AR346" s="317">
        <f t="shared" si="232"/>
        <v>0</v>
      </c>
      <c r="AS346" s="317">
        <f t="shared" si="233"/>
        <v>0</v>
      </c>
      <c r="AT346" s="317">
        <f t="shared" si="260"/>
        <v>0</v>
      </c>
      <c r="AU346" s="317">
        <f t="shared" si="261"/>
        <v>0</v>
      </c>
      <c r="AV346" s="317">
        <f t="shared" si="262"/>
        <v>0</v>
      </c>
      <c r="AW346" s="317">
        <f t="shared" si="263"/>
        <v>0</v>
      </c>
      <c r="AX346" s="317">
        <f t="shared" si="234"/>
        <v>0</v>
      </c>
      <c r="AY346" s="317">
        <f t="shared" si="235"/>
        <v>0</v>
      </c>
      <c r="AZ346" s="317">
        <f t="shared" si="236"/>
        <v>0</v>
      </c>
      <c r="BA346" s="317">
        <f t="shared" si="237"/>
        <v>0</v>
      </c>
    </row>
    <row r="347" spans="1:53" s="314" customFormat="1" ht="16.5" customHeight="1">
      <c r="A347" s="63" t="str">
        <f t="array" ref="A347">IF(C347&lt;&gt;0,SUM(($C$11:C347&lt;&gt;0)*1),"")</f>
        <v/>
      </c>
      <c r="B347" s="315"/>
      <c r="C347" s="315"/>
      <c r="D347" s="315"/>
      <c r="E347" s="432"/>
      <c r="F347" s="371"/>
      <c r="G347" s="373"/>
      <c r="H347" s="373"/>
      <c r="I347" s="63" t="str">
        <f t="shared" si="264"/>
        <v/>
      </c>
      <c r="J347" s="317">
        <f t="shared" si="226"/>
        <v>0</v>
      </c>
      <c r="K347" s="317">
        <f t="shared" si="227"/>
        <v>0</v>
      </c>
      <c r="L347" s="317">
        <f t="shared" si="238"/>
        <v>0</v>
      </c>
      <c r="M347" s="317">
        <f t="shared" si="239"/>
        <v>0</v>
      </c>
      <c r="N347" s="317">
        <f t="shared" si="265"/>
        <v>0</v>
      </c>
      <c r="O347" s="317">
        <f t="shared" si="266"/>
        <v>0</v>
      </c>
      <c r="P347" s="317">
        <f t="shared" si="240"/>
        <v>0</v>
      </c>
      <c r="Q347" s="317">
        <f t="shared" si="241"/>
        <v>0</v>
      </c>
      <c r="R347" s="317">
        <f t="shared" si="242"/>
        <v>0</v>
      </c>
      <c r="S347" s="317">
        <f t="shared" si="243"/>
        <v>0</v>
      </c>
      <c r="T347" s="317">
        <f t="shared" si="222"/>
        <v>0</v>
      </c>
      <c r="U347" s="317">
        <f t="shared" si="223"/>
        <v>0</v>
      </c>
      <c r="V347" s="317">
        <f t="shared" si="244"/>
        <v>0</v>
      </c>
      <c r="W347" s="317">
        <f t="shared" si="245"/>
        <v>0</v>
      </c>
      <c r="X347" s="317">
        <f t="shared" si="246"/>
        <v>0</v>
      </c>
      <c r="Y347" s="317">
        <f t="shared" si="247"/>
        <v>0</v>
      </c>
      <c r="Z347" s="317">
        <f t="shared" si="228"/>
        <v>0</v>
      </c>
      <c r="AA347" s="317">
        <f t="shared" si="229"/>
        <v>0</v>
      </c>
      <c r="AB347" s="317">
        <f t="shared" si="248"/>
        <v>0</v>
      </c>
      <c r="AC347" s="317">
        <f t="shared" si="249"/>
        <v>0</v>
      </c>
      <c r="AD347" s="317">
        <f t="shared" si="230"/>
        <v>0</v>
      </c>
      <c r="AE347" s="317">
        <f t="shared" si="231"/>
        <v>0</v>
      </c>
      <c r="AF347" s="317">
        <f t="shared" si="267"/>
        <v>0</v>
      </c>
      <c r="AG347" s="317">
        <f t="shared" si="268"/>
        <v>0</v>
      </c>
      <c r="AH347" s="317">
        <f t="shared" si="250"/>
        <v>0</v>
      </c>
      <c r="AI347" s="317">
        <f t="shared" si="251"/>
        <v>0</v>
      </c>
      <c r="AJ347" s="317">
        <f t="shared" si="252"/>
        <v>0</v>
      </c>
      <c r="AK347" s="317">
        <f t="shared" si="253"/>
        <v>0</v>
      </c>
      <c r="AL347" s="317">
        <f t="shared" si="254"/>
        <v>0</v>
      </c>
      <c r="AM347" s="317">
        <f t="shared" si="255"/>
        <v>0</v>
      </c>
      <c r="AN347" s="317">
        <f t="shared" si="256"/>
        <v>0</v>
      </c>
      <c r="AO347" s="317">
        <f t="shared" si="257"/>
        <v>0</v>
      </c>
      <c r="AP347" s="317">
        <f t="shared" si="258"/>
        <v>0</v>
      </c>
      <c r="AQ347" s="317">
        <f t="shared" si="259"/>
        <v>0</v>
      </c>
      <c r="AR347" s="317">
        <f t="shared" si="232"/>
        <v>0</v>
      </c>
      <c r="AS347" s="317">
        <f t="shared" si="233"/>
        <v>0</v>
      </c>
      <c r="AT347" s="317">
        <f t="shared" si="260"/>
        <v>0</v>
      </c>
      <c r="AU347" s="317">
        <f t="shared" si="261"/>
        <v>0</v>
      </c>
      <c r="AV347" s="317">
        <f t="shared" si="262"/>
        <v>0</v>
      </c>
      <c r="AW347" s="317">
        <f t="shared" si="263"/>
        <v>0</v>
      </c>
      <c r="AX347" s="317">
        <f t="shared" si="234"/>
        <v>0</v>
      </c>
      <c r="AY347" s="317">
        <f t="shared" si="235"/>
        <v>0</v>
      </c>
      <c r="AZ347" s="317">
        <f t="shared" si="236"/>
        <v>0</v>
      </c>
      <c r="BA347" s="317">
        <f t="shared" si="237"/>
        <v>0</v>
      </c>
    </row>
    <row r="348" spans="1:53" s="314" customFormat="1" ht="16.5" customHeight="1">
      <c r="A348" s="63" t="str">
        <f t="array" ref="A348">IF(C348&lt;&gt;0,SUM(($C$11:C348&lt;&gt;0)*1),"")</f>
        <v/>
      </c>
      <c r="B348" s="315"/>
      <c r="C348" s="315"/>
      <c r="D348" s="315"/>
      <c r="E348" s="432"/>
      <c r="F348" s="371"/>
      <c r="G348" s="373"/>
      <c r="H348" s="373"/>
      <c r="I348" s="63" t="str">
        <f>A348</f>
        <v/>
      </c>
      <c r="J348" s="317">
        <f t="shared" si="226"/>
        <v>0</v>
      </c>
      <c r="K348" s="317">
        <f t="shared" si="227"/>
        <v>0</v>
      </c>
      <c r="L348" s="317">
        <f t="shared" si="238"/>
        <v>0</v>
      </c>
      <c r="M348" s="317">
        <f t="shared" si="239"/>
        <v>0</v>
      </c>
      <c r="N348" s="317">
        <f t="shared" si="265"/>
        <v>0</v>
      </c>
      <c r="O348" s="317">
        <f t="shared" si="266"/>
        <v>0</v>
      </c>
      <c r="P348" s="317">
        <f t="shared" si="240"/>
        <v>0</v>
      </c>
      <c r="Q348" s="317">
        <f t="shared" si="241"/>
        <v>0</v>
      </c>
      <c r="R348" s="317">
        <f t="shared" si="242"/>
        <v>0</v>
      </c>
      <c r="S348" s="317">
        <f t="shared" si="243"/>
        <v>0</v>
      </c>
      <c r="T348" s="317">
        <f t="shared" si="222"/>
        <v>0</v>
      </c>
      <c r="U348" s="317">
        <f t="shared" si="223"/>
        <v>0</v>
      </c>
      <c r="V348" s="317">
        <f t="shared" si="244"/>
        <v>0</v>
      </c>
      <c r="W348" s="317">
        <f t="shared" si="245"/>
        <v>0</v>
      </c>
      <c r="X348" s="317">
        <f t="shared" si="246"/>
        <v>0</v>
      </c>
      <c r="Y348" s="317">
        <f t="shared" si="247"/>
        <v>0</v>
      </c>
      <c r="Z348" s="317">
        <f t="shared" si="228"/>
        <v>0</v>
      </c>
      <c r="AA348" s="317">
        <f t="shared" si="229"/>
        <v>0</v>
      </c>
      <c r="AB348" s="317">
        <f t="shared" si="248"/>
        <v>0</v>
      </c>
      <c r="AC348" s="317">
        <f t="shared" si="249"/>
        <v>0</v>
      </c>
      <c r="AD348" s="317">
        <f t="shared" si="230"/>
        <v>0</v>
      </c>
      <c r="AE348" s="317">
        <f t="shared" si="231"/>
        <v>0</v>
      </c>
      <c r="AF348" s="317">
        <f t="shared" si="267"/>
        <v>0</v>
      </c>
      <c r="AG348" s="317">
        <f t="shared" si="268"/>
        <v>0</v>
      </c>
      <c r="AH348" s="317">
        <f t="shared" si="250"/>
        <v>0</v>
      </c>
      <c r="AI348" s="317">
        <f t="shared" si="251"/>
        <v>0</v>
      </c>
      <c r="AJ348" s="317">
        <f t="shared" si="252"/>
        <v>0</v>
      </c>
      <c r="AK348" s="317">
        <f t="shared" si="253"/>
        <v>0</v>
      </c>
      <c r="AL348" s="317">
        <f t="shared" si="254"/>
        <v>0</v>
      </c>
      <c r="AM348" s="317">
        <f t="shared" si="255"/>
        <v>0</v>
      </c>
      <c r="AN348" s="317">
        <f t="shared" si="256"/>
        <v>0</v>
      </c>
      <c r="AO348" s="317">
        <f t="shared" si="257"/>
        <v>0</v>
      </c>
      <c r="AP348" s="317">
        <f t="shared" si="258"/>
        <v>0</v>
      </c>
      <c r="AQ348" s="317">
        <f t="shared" si="259"/>
        <v>0</v>
      </c>
      <c r="AR348" s="317">
        <f t="shared" si="232"/>
        <v>0</v>
      </c>
      <c r="AS348" s="317">
        <f t="shared" si="233"/>
        <v>0</v>
      </c>
      <c r="AT348" s="317">
        <f t="shared" si="260"/>
        <v>0</v>
      </c>
      <c r="AU348" s="317">
        <f t="shared" si="261"/>
        <v>0</v>
      </c>
      <c r="AV348" s="317">
        <f t="shared" si="262"/>
        <v>0</v>
      </c>
      <c r="AW348" s="317">
        <f t="shared" si="263"/>
        <v>0</v>
      </c>
      <c r="AX348" s="317">
        <f t="shared" si="234"/>
        <v>0</v>
      </c>
      <c r="AY348" s="317">
        <f t="shared" si="235"/>
        <v>0</v>
      </c>
      <c r="AZ348" s="317">
        <f t="shared" si="236"/>
        <v>0</v>
      </c>
      <c r="BA348" s="317">
        <f t="shared" si="237"/>
        <v>0</v>
      </c>
    </row>
    <row r="349" spans="1:53" s="352" customFormat="1" ht="16.5" customHeight="1">
      <c r="A349" s="63">
        <f t="array" aca="1" ref="A349" ca="1">IF(C349&lt;&gt;0,SUM(($C$11:C349&lt;&gt;0)*1),"")</f>
        <v>2</v>
      </c>
      <c r="B349" s="318">
        <v>42369</v>
      </c>
      <c r="C349" s="318" t="s">
        <v>150</v>
      </c>
      <c r="D349" s="318">
        <f t="shared" ref="D349:D354" si="269">B349</f>
        <v>42369</v>
      </c>
      <c r="E349" s="319" t="s">
        <v>151</v>
      </c>
      <c r="F349" s="85">
        <f ca="1">AP356</f>
        <v>0</v>
      </c>
      <c r="G349" s="320" t="s">
        <v>243</v>
      </c>
      <c r="H349" s="320" t="s">
        <v>134</v>
      </c>
      <c r="I349" s="63">
        <f t="shared" ref="I349:I354" ca="1" si="270">A349</f>
        <v>2</v>
      </c>
      <c r="J349" s="317">
        <f t="shared" ref="J349:J355" si="271">IF($G349="1111",$F349,0)</f>
        <v>0</v>
      </c>
      <c r="K349" s="317">
        <f t="shared" ref="K349:K355" si="272">IF($H349="1111",$F349,0)</f>
        <v>0</v>
      </c>
      <c r="L349" s="317">
        <f t="shared" ref="L349:L355" si="273">IF($G349="1121",$F349,0)</f>
        <v>0</v>
      </c>
      <c r="M349" s="317">
        <f t="shared" ref="M349:M355" si="274">IF($H349="1121",$F349,0)</f>
        <v>0</v>
      </c>
      <c r="N349" s="317">
        <f t="shared" si="265"/>
        <v>0</v>
      </c>
      <c r="O349" s="317">
        <f t="shared" si="266"/>
        <v>0</v>
      </c>
      <c r="P349" s="317">
        <f t="shared" ref="P349:P355" si="275">IF($G349="1331",$F349,0)</f>
        <v>0</v>
      </c>
      <c r="Q349" s="317">
        <f t="shared" ref="Q349:Q355" si="276">IF($H349="1331",$F349,0)</f>
        <v>0</v>
      </c>
      <c r="R349" s="317">
        <f t="shared" ref="R349:R355" si="277">IF($G349="1388",$F349,0)</f>
        <v>0</v>
      </c>
      <c r="S349" s="317">
        <f t="shared" ref="S349:S355" si="278">IF($H349="1388",$F349,0)</f>
        <v>0</v>
      </c>
      <c r="T349" s="317">
        <f t="shared" ref="T349:T355" ca="1" si="279">IF($G349="2412",$F349,0)</f>
        <v>0</v>
      </c>
      <c r="U349" s="317">
        <f t="shared" ref="U349:U355" si="280">IF($H349="2412",$F349,0)</f>
        <v>0</v>
      </c>
      <c r="V349" s="317">
        <f t="shared" ref="V349:V355" si="281">IF($G349="331",$F349,0)</f>
        <v>0</v>
      </c>
      <c r="W349" s="317">
        <f t="shared" ref="W349:W355" si="282">IF($H349="331",$F349,0)</f>
        <v>0</v>
      </c>
      <c r="X349" s="317">
        <f t="shared" ref="X349:X355" si="283">IF($G349="3334",$F349,0)</f>
        <v>0</v>
      </c>
      <c r="Y349" s="317">
        <f t="shared" ref="Y349:Y355" si="284">IF($H349="3334",$F349,0)</f>
        <v>0</v>
      </c>
      <c r="Z349" s="317">
        <f t="shared" ref="Z349:Z355" si="285">IF($G349="33382",$F349,0)</f>
        <v>0</v>
      </c>
      <c r="AA349" s="317">
        <f t="shared" ref="AA349:AA355" si="286">IF($H349="33382",$F349,0)</f>
        <v>0</v>
      </c>
      <c r="AB349" s="317">
        <f t="shared" ref="AB349:AB355" si="287">IF($G349="3388",$F349,0)</f>
        <v>0</v>
      </c>
      <c r="AC349" s="317">
        <f t="shared" ref="AC349:AC355" si="288">IF($H349="3388",$F349,0)</f>
        <v>0</v>
      </c>
      <c r="AD349" s="317">
        <f t="shared" ref="AD349:AD355" si="289">IF($G349="3411",$F349,0)</f>
        <v>0</v>
      </c>
      <c r="AE349" s="317">
        <f t="shared" ref="AE349:AE355" si="290">IF($H349="3411",$F349,0)</f>
        <v>0</v>
      </c>
      <c r="AF349" s="317">
        <f t="shared" si="267"/>
        <v>0</v>
      </c>
      <c r="AG349" s="317">
        <f t="shared" si="268"/>
        <v>0</v>
      </c>
      <c r="AH349" s="317">
        <f t="shared" ref="AH349:AH355" si="291">IF($G349="4111",$F349,0)</f>
        <v>0</v>
      </c>
      <c r="AI349" s="317">
        <f t="shared" ref="AI349:AI355" si="292">IF($H349="4111",$F349,0)</f>
        <v>0</v>
      </c>
      <c r="AJ349" s="317">
        <f t="shared" ref="AJ349:AJ355" si="293">IF($G349="4211",$F349,0)</f>
        <v>0</v>
      </c>
      <c r="AK349" s="317">
        <f t="shared" ref="AK349:AK355" si="294">IF($H349="4211",$F349,0)</f>
        <v>0</v>
      </c>
      <c r="AL349" s="317">
        <f t="shared" ref="AL349:AL355" si="295">IF($G349="4212",$F349,0)</f>
        <v>0</v>
      </c>
      <c r="AM349" s="317">
        <f t="shared" ref="AM349:AM355" si="296">IF($H349="4212",$F349,0)</f>
        <v>0</v>
      </c>
      <c r="AN349" s="317">
        <f t="shared" ref="AN349:AN355" si="297">IF($G349="515",$F349,0)</f>
        <v>0</v>
      </c>
      <c r="AO349" s="317">
        <f t="shared" ref="AO349:AO355" si="298">IF($H349="515",$F349,0)</f>
        <v>0</v>
      </c>
      <c r="AP349" s="317">
        <f t="shared" ref="AP349:AP355" si="299">IF($G349="635",$F349,0)</f>
        <v>0</v>
      </c>
      <c r="AQ349" s="317">
        <f t="shared" ref="AQ349:AQ355" ca="1" si="300">IF($H349="635",$F349,0)</f>
        <v>0</v>
      </c>
      <c r="AR349" s="317">
        <f t="shared" ref="AR349:AR355" si="301">IF($G349="642",$F349,0)</f>
        <v>0</v>
      </c>
      <c r="AS349" s="317">
        <f t="shared" ref="AS349:AS355" si="302">IF($H349="642",$F349,0)</f>
        <v>0</v>
      </c>
      <c r="AT349" s="317">
        <f t="shared" ref="AT349:AT355" si="303">IF($G349="711",$F349,0)</f>
        <v>0</v>
      </c>
      <c r="AU349" s="317">
        <f t="shared" ref="AU349:AU355" si="304">IF($H349="711",$F349,0)</f>
        <v>0</v>
      </c>
      <c r="AV349" s="317">
        <f t="shared" ref="AV349:AV355" si="305">IF($G349="811",$F349,0)</f>
        <v>0</v>
      </c>
      <c r="AW349" s="317">
        <f t="shared" ref="AW349:AW355" si="306">IF($H349="811",$F349,0)</f>
        <v>0</v>
      </c>
      <c r="AX349" s="317">
        <f t="shared" ref="AX349:AX355" si="307">IF($G349="821",$F349,0)</f>
        <v>0</v>
      </c>
      <c r="AY349" s="317">
        <f t="shared" ref="AY349:AY355" si="308">IF($H349="821",$F349,0)</f>
        <v>0</v>
      </c>
      <c r="AZ349" s="317">
        <f t="shared" ref="AZ349:AZ355" si="309">IF($G349="911",$F349,0)</f>
        <v>0</v>
      </c>
      <c r="BA349" s="317">
        <f t="shared" ref="BA349:BA355" si="310">IF($H349="911",$F349,0)</f>
        <v>0</v>
      </c>
    </row>
    <row r="350" spans="1:53" s="352" customFormat="1" ht="16.5" customHeight="1">
      <c r="A350" s="63">
        <f t="array" aca="1" ref="A350" ca="1">IF(C350&lt;&gt;0,SUM(($C$11:C350&lt;&gt;0)*1),"")</f>
        <v>3</v>
      </c>
      <c r="B350" s="318">
        <v>42369</v>
      </c>
      <c r="C350" s="318" t="s">
        <v>150</v>
      </c>
      <c r="D350" s="318">
        <f t="shared" si="269"/>
        <v>42369</v>
      </c>
      <c r="E350" s="319" t="s">
        <v>152</v>
      </c>
      <c r="F350" s="85">
        <f ca="1">AR356</f>
        <v>0</v>
      </c>
      <c r="G350" s="320" t="s">
        <v>144</v>
      </c>
      <c r="H350" s="320" t="s">
        <v>136</v>
      </c>
      <c r="I350" s="63">
        <f t="shared" ca="1" si="270"/>
        <v>3</v>
      </c>
      <c r="J350" s="317">
        <f t="shared" si="271"/>
        <v>0</v>
      </c>
      <c r="K350" s="317">
        <f t="shared" si="272"/>
        <v>0</v>
      </c>
      <c r="L350" s="317">
        <f t="shared" si="273"/>
        <v>0</v>
      </c>
      <c r="M350" s="317">
        <f t="shared" si="274"/>
        <v>0</v>
      </c>
      <c r="N350" s="317">
        <f t="shared" si="265"/>
        <v>0</v>
      </c>
      <c r="O350" s="317">
        <f t="shared" si="266"/>
        <v>0</v>
      </c>
      <c r="P350" s="317">
        <f t="shared" si="275"/>
        <v>0</v>
      </c>
      <c r="Q350" s="317">
        <f t="shared" si="276"/>
        <v>0</v>
      </c>
      <c r="R350" s="317">
        <f t="shared" si="277"/>
        <v>0</v>
      </c>
      <c r="S350" s="317">
        <f t="shared" si="278"/>
        <v>0</v>
      </c>
      <c r="T350" s="317">
        <f t="shared" si="279"/>
        <v>0</v>
      </c>
      <c r="U350" s="317">
        <f t="shared" si="280"/>
        <v>0</v>
      </c>
      <c r="V350" s="317">
        <f t="shared" si="281"/>
        <v>0</v>
      </c>
      <c r="W350" s="317">
        <f t="shared" si="282"/>
        <v>0</v>
      </c>
      <c r="X350" s="317">
        <f t="shared" si="283"/>
        <v>0</v>
      </c>
      <c r="Y350" s="317">
        <f t="shared" si="284"/>
        <v>0</v>
      </c>
      <c r="Z350" s="317">
        <f t="shared" si="285"/>
        <v>0</v>
      </c>
      <c r="AA350" s="317">
        <f t="shared" si="286"/>
        <v>0</v>
      </c>
      <c r="AB350" s="317">
        <f t="shared" si="287"/>
        <v>0</v>
      </c>
      <c r="AC350" s="317">
        <f t="shared" si="288"/>
        <v>0</v>
      </c>
      <c r="AD350" s="317">
        <f t="shared" si="289"/>
        <v>0</v>
      </c>
      <c r="AE350" s="317">
        <f t="shared" si="290"/>
        <v>0</v>
      </c>
      <c r="AF350" s="317">
        <f t="shared" si="267"/>
        <v>0</v>
      </c>
      <c r="AG350" s="317">
        <f t="shared" si="268"/>
        <v>0</v>
      </c>
      <c r="AH350" s="317">
        <f t="shared" si="291"/>
        <v>0</v>
      </c>
      <c r="AI350" s="317">
        <f t="shared" si="292"/>
        <v>0</v>
      </c>
      <c r="AJ350" s="317">
        <f t="shared" si="293"/>
        <v>0</v>
      </c>
      <c r="AK350" s="317">
        <f t="shared" si="294"/>
        <v>0</v>
      </c>
      <c r="AL350" s="317">
        <f t="shared" si="295"/>
        <v>0</v>
      </c>
      <c r="AM350" s="317">
        <f t="shared" si="296"/>
        <v>0</v>
      </c>
      <c r="AN350" s="317">
        <f t="shared" si="297"/>
        <v>0</v>
      </c>
      <c r="AO350" s="317">
        <f t="shared" si="298"/>
        <v>0</v>
      </c>
      <c r="AP350" s="317">
        <f t="shared" si="299"/>
        <v>0</v>
      </c>
      <c r="AQ350" s="317">
        <f t="shared" si="300"/>
        <v>0</v>
      </c>
      <c r="AR350" s="317">
        <f t="shared" si="301"/>
        <v>0</v>
      </c>
      <c r="AS350" s="317">
        <f t="shared" ca="1" si="302"/>
        <v>0</v>
      </c>
      <c r="AT350" s="317">
        <f t="shared" si="303"/>
        <v>0</v>
      </c>
      <c r="AU350" s="317">
        <f t="shared" si="304"/>
        <v>0</v>
      </c>
      <c r="AV350" s="317">
        <f t="shared" si="305"/>
        <v>0</v>
      </c>
      <c r="AW350" s="317">
        <f t="shared" si="306"/>
        <v>0</v>
      </c>
      <c r="AX350" s="317">
        <f t="shared" si="307"/>
        <v>0</v>
      </c>
      <c r="AY350" s="317">
        <f t="shared" si="308"/>
        <v>0</v>
      </c>
      <c r="AZ350" s="317">
        <f t="shared" ca="1" si="309"/>
        <v>0</v>
      </c>
      <c r="BA350" s="317">
        <f t="shared" si="310"/>
        <v>0</v>
      </c>
    </row>
    <row r="351" spans="1:53" s="352" customFormat="1" ht="16.5" customHeight="1">
      <c r="A351" s="63">
        <f t="array" aca="1" ref="A351" ca="1">IF(C351&lt;&gt;0,SUM(($C$11:C351&lt;&gt;0)*1),"")</f>
        <v>4</v>
      </c>
      <c r="B351" s="318">
        <v>42369</v>
      </c>
      <c r="C351" s="318" t="s">
        <v>150</v>
      </c>
      <c r="D351" s="318">
        <f t="shared" si="269"/>
        <v>42369</v>
      </c>
      <c r="E351" s="319" t="s">
        <v>306</v>
      </c>
      <c r="F351" s="85">
        <v>304750266</v>
      </c>
      <c r="G351" s="320" t="s">
        <v>129</v>
      </c>
      <c r="H351" s="320" t="s">
        <v>144</v>
      </c>
      <c r="I351" s="63">
        <f t="shared" ca="1" si="270"/>
        <v>4</v>
      </c>
      <c r="J351" s="317">
        <f t="shared" si="271"/>
        <v>0</v>
      </c>
      <c r="K351" s="317">
        <f t="shared" si="272"/>
        <v>0</v>
      </c>
      <c r="L351" s="317">
        <f t="shared" si="273"/>
        <v>0</v>
      </c>
      <c r="M351" s="317">
        <f t="shared" si="274"/>
        <v>0</v>
      </c>
      <c r="N351" s="317">
        <f t="shared" si="265"/>
        <v>0</v>
      </c>
      <c r="O351" s="317">
        <f t="shared" si="266"/>
        <v>0</v>
      </c>
      <c r="P351" s="317">
        <f t="shared" si="275"/>
        <v>0</v>
      </c>
      <c r="Q351" s="317">
        <f t="shared" si="276"/>
        <v>0</v>
      </c>
      <c r="R351" s="317">
        <f t="shared" si="277"/>
        <v>0</v>
      </c>
      <c r="S351" s="317">
        <f t="shared" si="278"/>
        <v>0</v>
      </c>
      <c r="T351" s="317">
        <f t="shared" si="279"/>
        <v>0</v>
      </c>
      <c r="U351" s="317">
        <f t="shared" si="280"/>
        <v>0</v>
      </c>
      <c r="V351" s="317">
        <f t="shared" si="281"/>
        <v>0</v>
      </c>
      <c r="W351" s="317">
        <f t="shared" si="282"/>
        <v>0</v>
      </c>
      <c r="X351" s="317">
        <f t="shared" si="283"/>
        <v>0</v>
      </c>
      <c r="Y351" s="317">
        <f t="shared" si="284"/>
        <v>0</v>
      </c>
      <c r="Z351" s="317">
        <f t="shared" si="285"/>
        <v>0</v>
      </c>
      <c r="AA351" s="317">
        <f t="shared" si="286"/>
        <v>0</v>
      </c>
      <c r="AB351" s="317">
        <f t="shared" si="287"/>
        <v>0</v>
      </c>
      <c r="AC351" s="317">
        <f t="shared" si="288"/>
        <v>0</v>
      </c>
      <c r="AD351" s="317">
        <f t="shared" si="289"/>
        <v>0</v>
      </c>
      <c r="AE351" s="317">
        <f t="shared" si="290"/>
        <v>0</v>
      </c>
      <c r="AF351" s="317">
        <f t="shared" si="267"/>
        <v>0</v>
      </c>
      <c r="AG351" s="317">
        <f t="shared" si="268"/>
        <v>0</v>
      </c>
      <c r="AH351" s="317">
        <f t="shared" si="291"/>
        <v>0</v>
      </c>
      <c r="AI351" s="317">
        <f t="shared" si="292"/>
        <v>0</v>
      </c>
      <c r="AJ351" s="317">
        <f t="shared" si="293"/>
        <v>0</v>
      </c>
      <c r="AK351" s="317">
        <f t="shared" si="294"/>
        <v>0</v>
      </c>
      <c r="AL351" s="317">
        <f t="shared" si="295"/>
        <v>304750266</v>
      </c>
      <c r="AM351" s="317">
        <f t="shared" si="296"/>
        <v>0</v>
      </c>
      <c r="AN351" s="317">
        <f t="shared" si="297"/>
        <v>0</v>
      </c>
      <c r="AO351" s="317">
        <f t="shared" si="298"/>
        <v>0</v>
      </c>
      <c r="AP351" s="317">
        <f t="shared" si="299"/>
        <v>0</v>
      </c>
      <c r="AQ351" s="317">
        <f t="shared" si="300"/>
        <v>0</v>
      </c>
      <c r="AR351" s="317">
        <f t="shared" si="301"/>
        <v>0</v>
      </c>
      <c r="AS351" s="317">
        <f t="shared" si="302"/>
        <v>0</v>
      </c>
      <c r="AT351" s="317">
        <f t="shared" si="303"/>
        <v>0</v>
      </c>
      <c r="AU351" s="317">
        <f t="shared" si="304"/>
        <v>0</v>
      </c>
      <c r="AV351" s="317">
        <f t="shared" si="305"/>
        <v>0</v>
      </c>
      <c r="AW351" s="317">
        <f t="shared" si="306"/>
        <v>0</v>
      </c>
      <c r="AX351" s="317">
        <f t="shared" si="307"/>
        <v>0</v>
      </c>
      <c r="AY351" s="317">
        <f t="shared" si="308"/>
        <v>0</v>
      </c>
      <c r="AZ351" s="317">
        <f t="shared" si="309"/>
        <v>0</v>
      </c>
      <c r="BA351" s="317">
        <f t="shared" si="310"/>
        <v>304750266</v>
      </c>
    </row>
    <row r="352" spans="1:53" s="352" customFormat="1" ht="16.5" customHeight="1">
      <c r="A352" s="63">
        <f t="array" aca="1" ref="A352" ca="1">IF(C352&lt;&gt;0,SUM(($C$11:C352&lt;&gt;0)*1),"")</f>
        <v>5</v>
      </c>
      <c r="B352" s="318">
        <v>42369</v>
      </c>
      <c r="C352" s="318" t="s">
        <v>150</v>
      </c>
      <c r="D352" s="318">
        <f t="shared" si="269"/>
        <v>42369</v>
      </c>
      <c r="E352" s="319" t="s">
        <v>154</v>
      </c>
      <c r="F352" s="85">
        <f ca="1">AO356</f>
        <v>0</v>
      </c>
      <c r="G352" s="320" t="s">
        <v>59</v>
      </c>
      <c r="H352" s="320" t="s">
        <v>144</v>
      </c>
      <c r="I352" s="63">
        <f t="shared" ca="1" si="270"/>
        <v>5</v>
      </c>
      <c r="J352" s="317">
        <f t="shared" si="271"/>
        <v>0</v>
      </c>
      <c r="K352" s="317">
        <f t="shared" si="272"/>
        <v>0</v>
      </c>
      <c r="L352" s="317">
        <f t="shared" si="273"/>
        <v>0</v>
      </c>
      <c r="M352" s="317">
        <f t="shared" si="274"/>
        <v>0</v>
      </c>
      <c r="N352" s="317">
        <f t="shared" si="265"/>
        <v>0</v>
      </c>
      <c r="O352" s="317">
        <f t="shared" si="266"/>
        <v>0</v>
      </c>
      <c r="P352" s="317">
        <f t="shared" si="275"/>
        <v>0</v>
      </c>
      <c r="Q352" s="317">
        <f t="shared" si="276"/>
        <v>0</v>
      </c>
      <c r="R352" s="317">
        <f t="shared" si="277"/>
        <v>0</v>
      </c>
      <c r="S352" s="317">
        <f t="shared" si="278"/>
        <v>0</v>
      </c>
      <c r="T352" s="317">
        <f t="shared" si="279"/>
        <v>0</v>
      </c>
      <c r="U352" s="317">
        <f t="shared" si="280"/>
        <v>0</v>
      </c>
      <c r="V352" s="317">
        <f t="shared" si="281"/>
        <v>0</v>
      </c>
      <c r="W352" s="317">
        <f t="shared" si="282"/>
        <v>0</v>
      </c>
      <c r="X352" s="317">
        <f t="shared" si="283"/>
        <v>0</v>
      </c>
      <c r="Y352" s="317">
        <f t="shared" si="284"/>
        <v>0</v>
      </c>
      <c r="Z352" s="317">
        <f t="shared" si="285"/>
        <v>0</v>
      </c>
      <c r="AA352" s="317">
        <f t="shared" si="286"/>
        <v>0</v>
      </c>
      <c r="AB352" s="317">
        <f t="shared" si="287"/>
        <v>0</v>
      </c>
      <c r="AC352" s="317">
        <f t="shared" si="288"/>
        <v>0</v>
      </c>
      <c r="AD352" s="317">
        <f t="shared" si="289"/>
        <v>0</v>
      </c>
      <c r="AE352" s="317">
        <f t="shared" si="290"/>
        <v>0</v>
      </c>
      <c r="AF352" s="317">
        <f t="shared" si="267"/>
        <v>0</v>
      </c>
      <c r="AG352" s="317">
        <f t="shared" si="268"/>
        <v>0</v>
      </c>
      <c r="AH352" s="317">
        <f t="shared" si="291"/>
        <v>0</v>
      </c>
      <c r="AI352" s="317">
        <f t="shared" si="292"/>
        <v>0</v>
      </c>
      <c r="AJ352" s="317">
        <f t="shared" si="293"/>
        <v>0</v>
      </c>
      <c r="AK352" s="317">
        <f t="shared" si="294"/>
        <v>0</v>
      </c>
      <c r="AL352" s="317">
        <f t="shared" si="295"/>
        <v>0</v>
      </c>
      <c r="AM352" s="317">
        <f t="shared" si="296"/>
        <v>0</v>
      </c>
      <c r="AN352" s="317">
        <f t="shared" ca="1" si="297"/>
        <v>0</v>
      </c>
      <c r="AO352" s="317">
        <f t="shared" si="298"/>
        <v>0</v>
      </c>
      <c r="AP352" s="317">
        <f t="shared" si="299"/>
        <v>0</v>
      </c>
      <c r="AQ352" s="317">
        <f t="shared" si="300"/>
        <v>0</v>
      </c>
      <c r="AR352" s="317">
        <f t="shared" si="301"/>
        <v>0</v>
      </c>
      <c r="AS352" s="317">
        <f t="shared" si="302"/>
        <v>0</v>
      </c>
      <c r="AT352" s="317">
        <f t="shared" si="303"/>
        <v>0</v>
      </c>
      <c r="AU352" s="317">
        <f t="shared" si="304"/>
        <v>0</v>
      </c>
      <c r="AV352" s="317">
        <f t="shared" si="305"/>
        <v>0</v>
      </c>
      <c r="AW352" s="317">
        <f t="shared" si="306"/>
        <v>0</v>
      </c>
      <c r="AX352" s="317">
        <f t="shared" si="307"/>
        <v>0</v>
      </c>
      <c r="AY352" s="317">
        <f t="shared" si="308"/>
        <v>0</v>
      </c>
      <c r="AZ352" s="317">
        <f t="shared" si="309"/>
        <v>0</v>
      </c>
      <c r="BA352" s="317">
        <f t="shared" ca="1" si="310"/>
        <v>0</v>
      </c>
    </row>
    <row r="353" spans="1:53" s="352" customFormat="1" ht="16.5" customHeight="1">
      <c r="A353" s="63">
        <f t="array" aca="1" ref="A353" ca="1">IF(C353&lt;&gt;0,SUM(($C$11:C353&lt;&gt;0)*1),"")</f>
        <v>6</v>
      </c>
      <c r="B353" s="318">
        <v>42369</v>
      </c>
      <c r="C353" s="318" t="s">
        <v>150</v>
      </c>
      <c r="D353" s="318">
        <f t="shared" si="269"/>
        <v>42369</v>
      </c>
      <c r="E353" s="319" t="s">
        <v>155</v>
      </c>
      <c r="F353" s="85">
        <f ca="1">AU356</f>
        <v>0</v>
      </c>
      <c r="G353" s="320" t="s">
        <v>138</v>
      </c>
      <c r="H353" s="320" t="s">
        <v>144</v>
      </c>
      <c r="I353" s="63">
        <f t="shared" ca="1" si="270"/>
        <v>6</v>
      </c>
      <c r="J353" s="317">
        <f t="shared" si="271"/>
        <v>0</v>
      </c>
      <c r="K353" s="317">
        <f t="shared" si="272"/>
        <v>0</v>
      </c>
      <c r="L353" s="317">
        <f t="shared" si="273"/>
        <v>0</v>
      </c>
      <c r="M353" s="317">
        <f t="shared" si="274"/>
        <v>0</v>
      </c>
      <c r="N353" s="317">
        <f t="shared" si="265"/>
        <v>0</v>
      </c>
      <c r="O353" s="317">
        <f t="shared" si="266"/>
        <v>0</v>
      </c>
      <c r="P353" s="317">
        <f t="shared" si="275"/>
        <v>0</v>
      </c>
      <c r="Q353" s="317">
        <f t="shared" si="276"/>
        <v>0</v>
      </c>
      <c r="R353" s="317">
        <f t="shared" si="277"/>
        <v>0</v>
      </c>
      <c r="S353" s="317">
        <f t="shared" si="278"/>
        <v>0</v>
      </c>
      <c r="T353" s="317">
        <f t="shared" si="279"/>
        <v>0</v>
      </c>
      <c r="U353" s="317">
        <f t="shared" si="280"/>
        <v>0</v>
      </c>
      <c r="V353" s="317">
        <f t="shared" si="281"/>
        <v>0</v>
      </c>
      <c r="W353" s="317">
        <f t="shared" si="282"/>
        <v>0</v>
      </c>
      <c r="X353" s="317">
        <f t="shared" si="283"/>
        <v>0</v>
      </c>
      <c r="Y353" s="317">
        <f t="shared" si="284"/>
        <v>0</v>
      </c>
      <c r="Z353" s="317">
        <f t="shared" si="285"/>
        <v>0</v>
      </c>
      <c r="AA353" s="317">
        <f t="shared" si="286"/>
        <v>0</v>
      </c>
      <c r="AB353" s="317">
        <f t="shared" si="287"/>
        <v>0</v>
      </c>
      <c r="AC353" s="317">
        <f t="shared" si="288"/>
        <v>0</v>
      </c>
      <c r="AD353" s="317">
        <f t="shared" si="289"/>
        <v>0</v>
      </c>
      <c r="AE353" s="317">
        <f t="shared" si="290"/>
        <v>0</v>
      </c>
      <c r="AF353" s="317">
        <f t="shared" si="267"/>
        <v>0</v>
      </c>
      <c r="AG353" s="317">
        <f t="shared" si="268"/>
        <v>0</v>
      </c>
      <c r="AH353" s="317">
        <f t="shared" si="291"/>
        <v>0</v>
      </c>
      <c r="AI353" s="317">
        <f t="shared" si="292"/>
        <v>0</v>
      </c>
      <c r="AJ353" s="317">
        <f t="shared" si="293"/>
        <v>0</v>
      </c>
      <c r="AK353" s="317">
        <f t="shared" si="294"/>
        <v>0</v>
      </c>
      <c r="AL353" s="317">
        <f t="shared" si="295"/>
        <v>0</v>
      </c>
      <c r="AM353" s="317">
        <f t="shared" si="296"/>
        <v>0</v>
      </c>
      <c r="AN353" s="317">
        <f t="shared" si="297"/>
        <v>0</v>
      </c>
      <c r="AO353" s="317">
        <f t="shared" si="298"/>
        <v>0</v>
      </c>
      <c r="AP353" s="317">
        <f t="shared" si="299"/>
        <v>0</v>
      </c>
      <c r="AQ353" s="317">
        <f t="shared" si="300"/>
        <v>0</v>
      </c>
      <c r="AR353" s="317">
        <f t="shared" si="301"/>
        <v>0</v>
      </c>
      <c r="AS353" s="317">
        <f t="shared" si="302"/>
        <v>0</v>
      </c>
      <c r="AT353" s="317">
        <f t="shared" ca="1" si="303"/>
        <v>0</v>
      </c>
      <c r="AU353" s="317">
        <f t="shared" si="304"/>
        <v>0</v>
      </c>
      <c r="AV353" s="317">
        <f t="shared" si="305"/>
        <v>0</v>
      </c>
      <c r="AW353" s="317">
        <f t="shared" si="306"/>
        <v>0</v>
      </c>
      <c r="AX353" s="317">
        <f t="shared" si="307"/>
        <v>0</v>
      </c>
      <c r="AY353" s="317">
        <f t="shared" si="308"/>
        <v>0</v>
      </c>
      <c r="AZ353" s="317">
        <f t="shared" si="309"/>
        <v>0</v>
      </c>
      <c r="BA353" s="317">
        <f t="shared" ca="1" si="310"/>
        <v>0</v>
      </c>
    </row>
    <row r="354" spans="1:53" s="352" customFormat="1" ht="16.5" customHeight="1">
      <c r="A354" s="63">
        <f t="array" aca="1" ref="A354" ca="1">IF(C354&lt;&gt;0,SUM(($C$11:C354&lt;&gt;0)*1),"")</f>
        <v>7</v>
      </c>
      <c r="B354" s="318">
        <v>42369</v>
      </c>
      <c r="C354" s="318" t="s">
        <v>150</v>
      </c>
      <c r="D354" s="318">
        <f t="shared" si="269"/>
        <v>42369</v>
      </c>
      <c r="E354" s="319" t="s">
        <v>156</v>
      </c>
      <c r="F354" s="85">
        <f ca="1">AV356</f>
        <v>0</v>
      </c>
      <c r="G354" s="320" t="s">
        <v>144</v>
      </c>
      <c r="H354" s="320" t="s">
        <v>140</v>
      </c>
      <c r="I354" s="63">
        <f t="shared" ca="1" si="270"/>
        <v>7</v>
      </c>
      <c r="J354" s="317">
        <f t="shared" si="271"/>
        <v>0</v>
      </c>
      <c r="K354" s="317">
        <f t="shared" si="272"/>
        <v>0</v>
      </c>
      <c r="L354" s="317">
        <f t="shared" si="273"/>
        <v>0</v>
      </c>
      <c r="M354" s="317">
        <f t="shared" si="274"/>
        <v>0</v>
      </c>
      <c r="N354" s="317">
        <f t="shared" si="265"/>
        <v>0</v>
      </c>
      <c r="O354" s="317">
        <f t="shared" si="266"/>
        <v>0</v>
      </c>
      <c r="P354" s="317">
        <f t="shared" si="275"/>
        <v>0</v>
      </c>
      <c r="Q354" s="317">
        <f t="shared" si="276"/>
        <v>0</v>
      </c>
      <c r="R354" s="317">
        <f t="shared" si="277"/>
        <v>0</v>
      </c>
      <c r="S354" s="317">
        <f t="shared" si="278"/>
        <v>0</v>
      </c>
      <c r="T354" s="317">
        <f t="shared" si="279"/>
        <v>0</v>
      </c>
      <c r="U354" s="317">
        <f t="shared" si="280"/>
        <v>0</v>
      </c>
      <c r="V354" s="317">
        <f t="shared" si="281"/>
        <v>0</v>
      </c>
      <c r="W354" s="317">
        <f t="shared" si="282"/>
        <v>0</v>
      </c>
      <c r="X354" s="317">
        <f t="shared" si="283"/>
        <v>0</v>
      </c>
      <c r="Y354" s="317">
        <f t="shared" si="284"/>
        <v>0</v>
      </c>
      <c r="Z354" s="317">
        <f t="shared" si="285"/>
        <v>0</v>
      </c>
      <c r="AA354" s="317">
        <f t="shared" si="286"/>
        <v>0</v>
      </c>
      <c r="AB354" s="317">
        <f t="shared" si="287"/>
        <v>0</v>
      </c>
      <c r="AC354" s="317">
        <f t="shared" si="288"/>
        <v>0</v>
      </c>
      <c r="AD354" s="317">
        <f t="shared" si="289"/>
        <v>0</v>
      </c>
      <c r="AE354" s="317">
        <f t="shared" si="290"/>
        <v>0</v>
      </c>
      <c r="AF354" s="317">
        <f t="shared" si="267"/>
        <v>0</v>
      </c>
      <c r="AG354" s="317">
        <f t="shared" si="268"/>
        <v>0</v>
      </c>
      <c r="AH354" s="317">
        <f t="shared" si="291"/>
        <v>0</v>
      </c>
      <c r="AI354" s="317">
        <f t="shared" si="292"/>
        <v>0</v>
      </c>
      <c r="AJ354" s="317">
        <f t="shared" si="293"/>
        <v>0</v>
      </c>
      <c r="AK354" s="317">
        <f t="shared" si="294"/>
        <v>0</v>
      </c>
      <c r="AL354" s="317">
        <f t="shared" si="295"/>
        <v>0</v>
      </c>
      <c r="AM354" s="317">
        <f t="shared" si="296"/>
        <v>0</v>
      </c>
      <c r="AN354" s="317">
        <f t="shared" si="297"/>
        <v>0</v>
      </c>
      <c r="AO354" s="317">
        <f t="shared" si="298"/>
        <v>0</v>
      </c>
      <c r="AP354" s="317">
        <f t="shared" si="299"/>
        <v>0</v>
      </c>
      <c r="AQ354" s="317">
        <f t="shared" si="300"/>
        <v>0</v>
      </c>
      <c r="AR354" s="317">
        <f t="shared" si="301"/>
        <v>0</v>
      </c>
      <c r="AS354" s="317">
        <f t="shared" si="302"/>
        <v>0</v>
      </c>
      <c r="AT354" s="317">
        <f t="shared" si="303"/>
        <v>0</v>
      </c>
      <c r="AU354" s="317">
        <f t="shared" si="304"/>
        <v>0</v>
      </c>
      <c r="AV354" s="317">
        <f t="shared" si="305"/>
        <v>0</v>
      </c>
      <c r="AW354" s="317">
        <f t="shared" ca="1" si="306"/>
        <v>0</v>
      </c>
      <c r="AX354" s="317">
        <f t="shared" si="307"/>
        <v>0</v>
      </c>
      <c r="AY354" s="317">
        <f t="shared" si="308"/>
        <v>0</v>
      </c>
      <c r="AZ354" s="317">
        <f t="shared" ca="1" si="309"/>
        <v>0</v>
      </c>
      <c r="BA354" s="317">
        <f t="shared" si="310"/>
        <v>0</v>
      </c>
    </row>
    <row r="355" spans="1:53" s="314" customFormat="1" ht="16.5" customHeight="1">
      <c r="A355" s="63" t="str">
        <f t="array" ref="A355">IF(C355&lt;&gt;0,SUM(($C$11:C355&lt;&gt;0)*1),"")</f>
        <v/>
      </c>
      <c r="B355" s="278"/>
      <c r="C355" s="278"/>
      <c r="D355" s="278"/>
      <c r="E355" s="316"/>
      <c r="F355" s="65"/>
      <c r="G355" s="322"/>
      <c r="H355" s="322"/>
      <c r="I355" s="63" t="str">
        <f>A355</f>
        <v/>
      </c>
      <c r="J355" s="317">
        <f t="shared" si="271"/>
        <v>0</v>
      </c>
      <c r="K355" s="317">
        <f t="shared" si="272"/>
        <v>0</v>
      </c>
      <c r="L355" s="317">
        <f t="shared" si="273"/>
        <v>0</v>
      </c>
      <c r="M355" s="317">
        <f t="shared" si="274"/>
        <v>0</v>
      </c>
      <c r="N355" s="317">
        <f t="shared" si="265"/>
        <v>0</v>
      </c>
      <c r="O355" s="317">
        <f t="shared" si="266"/>
        <v>0</v>
      </c>
      <c r="P355" s="317">
        <f t="shared" si="275"/>
        <v>0</v>
      </c>
      <c r="Q355" s="317">
        <f t="shared" si="276"/>
        <v>0</v>
      </c>
      <c r="R355" s="317">
        <f t="shared" si="277"/>
        <v>0</v>
      </c>
      <c r="S355" s="317">
        <f t="shared" si="278"/>
        <v>0</v>
      </c>
      <c r="T355" s="317">
        <f t="shared" si="279"/>
        <v>0</v>
      </c>
      <c r="U355" s="317">
        <f t="shared" si="280"/>
        <v>0</v>
      </c>
      <c r="V355" s="317">
        <f t="shared" si="281"/>
        <v>0</v>
      </c>
      <c r="W355" s="317">
        <f t="shared" si="282"/>
        <v>0</v>
      </c>
      <c r="X355" s="317">
        <f t="shared" si="283"/>
        <v>0</v>
      </c>
      <c r="Y355" s="317">
        <f t="shared" si="284"/>
        <v>0</v>
      </c>
      <c r="Z355" s="317">
        <f t="shared" si="285"/>
        <v>0</v>
      </c>
      <c r="AA355" s="317">
        <f t="shared" si="286"/>
        <v>0</v>
      </c>
      <c r="AB355" s="317">
        <f t="shared" si="287"/>
        <v>0</v>
      </c>
      <c r="AC355" s="317">
        <f t="shared" si="288"/>
        <v>0</v>
      </c>
      <c r="AD355" s="317">
        <f t="shared" si="289"/>
        <v>0</v>
      </c>
      <c r="AE355" s="317">
        <f t="shared" si="290"/>
        <v>0</v>
      </c>
      <c r="AF355" s="317">
        <f t="shared" si="267"/>
        <v>0</v>
      </c>
      <c r="AG355" s="317">
        <f t="shared" si="268"/>
        <v>0</v>
      </c>
      <c r="AH355" s="317">
        <f t="shared" si="291"/>
        <v>0</v>
      </c>
      <c r="AI355" s="317">
        <f t="shared" si="292"/>
        <v>0</v>
      </c>
      <c r="AJ355" s="317">
        <f t="shared" si="293"/>
        <v>0</v>
      </c>
      <c r="AK355" s="317">
        <f t="shared" si="294"/>
        <v>0</v>
      </c>
      <c r="AL355" s="317">
        <f t="shared" si="295"/>
        <v>0</v>
      </c>
      <c r="AM355" s="317">
        <f t="shared" si="296"/>
        <v>0</v>
      </c>
      <c r="AN355" s="317">
        <f t="shared" si="297"/>
        <v>0</v>
      </c>
      <c r="AO355" s="317">
        <f t="shared" si="298"/>
        <v>0</v>
      </c>
      <c r="AP355" s="317">
        <f t="shared" si="299"/>
        <v>0</v>
      </c>
      <c r="AQ355" s="317">
        <f t="shared" si="300"/>
        <v>0</v>
      </c>
      <c r="AR355" s="317">
        <f t="shared" si="301"/>
        <v>0</v>
      </c>
      <c r="AS355" s="317">
        <f t="shared" si="302"/>
        <v>0</v>
      </c>
      <c r="AT355" s="317">
        <f t="shared" si="303"/>
        <v>0</v>
      </c>
      <c r="AU355" s="317">
        <f t="shared" si="304"/>
        <v>0</v>
      </c>
      <c r="AV355" s="317">
        <f t="shared" si="305"/>
        <v>0</v>
      </c>
      <c r="AW355" s="317">
        <f t="shared" si="306"/>
        <v>0</v>
      </c>
      <c r="AX355" s="317">
        <f t="shared" si="307"/>
        <v>0</v>
      </c>
      <c r="AY355" s="317">
        <f t="shared" si="308"/>
        <v>0</v>
      </c>
      <c r="AZ355" s="317">
        <f t="shared" si="309"/>
        <v>0</v>
      </c>
      <c r="BA355" s="317">
        <f t="shared" si="310"/>
        <v>0</v>
      </c>
    </row>
    <row r="356" spans="1:53" s="314" customFormat="1" ht="16.5" customHeight="1">
      <c r="A356" s="323"/>
      <c r="B356" s="278"/>
      <c r="C356" s="353"/>
      <c r="D356" s="278"/>
      <c r="E356" s="316" t="s">
        <v>264</v>
      </c>
      <c r="F356" s="323"/>
      <c r="G356" s="322"/>
      <c r="H356" s="322"/>
      <c r="I356" s="323"/>
      <c r="J356" s="323">
        <f t="shared" ref="J356:BA356" ca="1" si="311">SUM(J11:J355)</f>
        <v>0</v>
      </c>
      <c r="K356" s="323">
        <f t="shared" ca="1" si="311"/>
        <v>0</v>
      </c>
      <c r="L356" s="323">
        <f t="shared" ca="1" si="311"/>
        <v>0</v>
      </c>
      <c r="M356" s="323">
        <f t="shared" ca="1" si="311"/>
        <v>0</v>
      </c>
      <c r="N356" s="323">
        <f ca="1">SUM(N11:N355)</f>
        <v>0</v>
      </c>
      <c r="O356" s="323">
        <f ca="1">SUM(O11:O355)</f>
        <v>0</v>
      </c>
      <c r="P356" s="323">
        <f t="shared" ca="1" si="311"/>
        <v>0</v>
      </c>
      <c r="Q356" s="323">
        <f t="shared" ca="1" si="311"/>
        <v>0</v>
      </c>
      <c r="R356" s="323">
        <f t="shared" ca="1" si="311"/>
        <v>0</v>
      </c>
      <c r="S356" s="323">
        <f t="shared" ca="1" si="311"/>
        <v>0</v>
      </c>
      <c r="T356" s="323">
        <f t="shared" ca="1" si="311"/>
        <v>0</v>
      </c>
      <c r="U356" s="323">
        <f t="shared" ca="1" si="311"/>
        <v>0</v>
      </c>
      <c r="V356" s="323">
        <f t="shared" ca="1" si="311"/>
        <v>0</v>
      </c>
      <c r="W356" s="323">
        <f t="shared" ca="1" si="311"/>
        <v>0</v>
      </c>
      <c r="X356" s="323">
        <f t="shared" ca="1" si="311"/>
        <v>0</v>
      </c>
      <c r="Y356" s="323">
        <f t="shared" ca="1" si="311"/>
        <v>0</v>
      </c>
      <c r="Z356" s="323">
        <f t="shared" ca="1" si="311"/>
        <v>0</v>
      </c>
      <c r="AA356" s="323">
        <f t="shared" ca="1" si="311"/>
        <v>0</v>
      </c>
      <c r="AB356" s="323">
        <f t="shared" ca="1" si="311"/>
        <v>0</v>
      </c>
      <c r="AC356" s="323">
        <f t="shared" ca="1" si="311"/>
        <v>0</v>
      </c>
      <c r="AD356" s="323">
        <f t="shared" ca="1" si="311"/>
        <v>0</v>
      </c>
      <c r="AE356" s="323">
        <f t="shared" ca="1" si="311"/>
        <v>0</v>
      </c>
      <c r="AF356" s="323">
        <f ca="1">SUM(AF11:AF355)</f>
        <v>0</v>
      </c>
      <c r="AG356" s="323">
        <f ca="1">SUM(AG11:AG355)</f>
        <v>0</v>
      </c>
      <c r="AH356" s="323">
        <f t="shared" ca="1" si="311"/>
        <v>0</v>
      </c>
      <c r="AI356" s="323">
        <f t="shared" ca="1" si="311"/>
        <v>0</v>
      </c>
      <c r="AJ356" s="323">
        <f t="shared" ca="1" si="311"/>
        <v>0</v>
      </c>
      <c r="AK356" s="323">
        <f t="shared" ca="1" si="311"/>
        <v>0</v>
      </c>
      <c r="AL356" s="323">
        <f t="shared" ca="1" si="311"/>
        <v>304750266</v>
      </c>
      <c r="AM356" s="323">
        <f t="shared" ca="1" si="311"/>
        <v>0</v>
      </c>
      <c r="AN356" s="323">
        <f t="shared" ca="1" si="311"/>
        <v>0</v>
      </c>
      <c r="AO356" s="323">
        <f t="shared" ca="1" si="311"/>
        <v>0</v>
      </c>
      <c r="AP356" s="323">
        <f t="shared" ca="1" si="311"/>
        <v>0</v>
      </c>
      <c r="AQ356" s="323">
        <f t="shared" ca="1" si="311"/>
        <v>0</v>
      </c>
      <c r="AR356" s="323">
        <f t="shared" ca="1" si="311"/>
        <v>0</v>
      </c>
      <c r="AS356" s="323">
        <f t="shared" ca="1" si="311"/>
        <v>0</v>
      </c>
      <c r="AT356" s="323">
        <f t="shared" ca="1" si="311"/>
        <v>0</v>
      </c>
      <c r="AU356" s="323">
        <f t="shared" ca="1" si="311"/>
        <v>0</v>
      </c>
      <c r="AV356" s="323">
        <f t="shared" ca="1" si="311"/>
        <v>0</v>
      </c>
      <c r="AW356" s="323">
        <f t="shared" ca="1" si="311"/>
        <v>0</v>
      </c>
      <c r="AX356" s="323">
        <f t="shared" ca="1" si="311"/>
        <v>0</v>
      </c>
      <c r="AY356" s="323">
        <f t="shared" ca="1" si="311"/>
        <v>0</v>
      </c>
      <c r="AZ356" s="323">
        <f t="shared" ca="1" si="311"/>
        <v>0</v>
      </c>
      <c r="BA356" s="323">
        <f t="shared" ca="1" si="311"/>
        <v>304750266</v>
      </c>
    </row>
    <row r="357" spans="1:53" s="314" customFormat="1" ht="16.5" customHeight="1">
      <c r="A357" s="324"/>
      <c r="B357" s="324"/>
      <c r="C357" s="324"/>
      <c r="D357" s="324"/>
      <c r="E357" s="325" t="s">
        <v>307</v>
      </c>
      <c r="F357" s="324"/>
      <c r="G357" s="326"/>
      <c r="H357" s="326"/>
      <c r="I357" s="324"/>
      <c r="J357" s="346">
        <f ca="1">MAX(J10+J356-K10-K356,0)</f>
        <v>1332078410</v>
      </c>
      <c r="K357" s="346">
        <f ca="1">MAX(K10+K356-J10-J356,0)</f>
        <v>0</v>
      </c>
      <c r="L357" s="346">
        <f ca="1">MAX(L10+L356-M10-M356,0)</f>
        <v>1694774692</v>
      </c>
      <c r="M357" s="346">
        <f ca="1">MAX(M10+M356-L10-L356,0)</f>
        <v>0</v>
      </c>
      <c r="N357" s="346">
        <f ca="1">MAX(N10+N356-O10-O356,0)</f>
        <v>0</v>
      </c>
      <c r="O357" s="346">
        <f ca="1">MAX(O10+O356-N10-N356,0)</f>
        <v>0</v>
      </c>
      <c r="P357" s="346">
        <f ca="1">MAX(P10+P356-Q10-Q356,0)</f>
        <v>0</v>
      </c>
      <c r="Q357" s="346">
        <f ca="1">MAX(Q10+Q356-P10-P356,0)</f>
        <v>0</v>
      </c>
      <c r="R357" s="346">
        <f ca="1">MAX(R10+R356-S10-S356,0)</f>
        <v>0</v>
      </c>
      <c r="S357" s="346">
        <f ca="1">MAX(S10+S356-R10-R356,0)</f>
        <v>0</v>
      </c>
      <c r="T357" s="346">
        <f ca="1">MAX(T10+T356-U10-U356,0)</f>
        <v>22610074302</v>
      </c>
      <c r="U357" s="346">
        <f ca="1">MAX(U10+U356-T10-T356,0)</f>
        <v>0</v>
      </c>
      <c r="V357" s="346">
        <f ca="1">MAX(V10+V356-W10-W356,0)</f>
        <v>4275031984</v>
      </c>
      <c r="W357" s="346">
        <f ca="1">MAX(W10+W356-V10-V356,0)</f>
        <v>0</v>
      </c>
      <c r="X357" s="346">
        <f ca="1">MAX(X10+X356-Y10-Y356,0)</f>
        <v>0</v>
      </c>
      <c r="Y357" s="346">
        <f ca="1">MAX(Y10+Y356-X10-X356,0)</f>
        <v>0</v>
      </c>
      <c r="Z357" s="346">
        <f ca="1">MAX(Z10+Z356-AA10-AA356,0)</f>
        <v>0</v>
      </c>
      <c r="AA357" s="346">
        <f ca="1">MAX(AA10+AA356-Z10-Z356,0)</f>
        <v>0</v>
      </c>
      <c r="AB357" s="346">
        <f ca="1">MAX(AB10+AB356-AC10-AC356,0)</f>
        <v>0</v>
      </c>
      <c r="AC357" s="346">
        <f ca="1">MAX(AC10+AC356-AB10-AB356,0)</f>
        <v>5000000000</v>
      </c>
      <c r="AD357" s="346">
        <f ca="1">MAX(AD10+AD356-AE10-AE356,0)</f>
        <v>0</v>
      </c>
      <c r="AE357" s="346">
        <f ca="1">MAX(AE10+AE356-AD10-AD356,0)</f>
        <v>20000000000</v>
      </c>
      <c r="AF357" s="346">
        <f ca="1">MAX(AF10+AF356-AG10-AG356,0)</f>
        <v>0</v>
      </c>
      <c r="AG357" s="346">
        <f ca="1">MAX(AG10+AG356-AF10-AF356,0)</f>
        <v>1982640000</v>
      </c>
      <c r="AH357" s="346">
        <f ca="1">MAX(AH10+AH356-AI10-AI356,0)</f>
        <v>0</v>
      </c>
      <c r="AI357" s="346">
        <f ca="1">MAX(AI10+AI356-AH10-AH356,0)</f>
        <v>4000000000</v>
      </c>
      <c r="AJ357" s="346">
        <f ca="1">MAX(AJ10+AJ356-AK10-AK356,0)</f>
        <v>583066238</v>
      </c>
      <c r="AK357" s="346">
        <f ca="1">MAX(AK10+AK356-AJ10-AJ356,0)</f>
        <v>0</v>
      </c>
      <c r="AL357" s="346">
        <f ca="1">MAX(AL10+AL356-AM10-AM356,0)</f>
        <v>359476733</v>
      </c>
      <c r="AM357" s="346">
        <f ca="1">MAX(AM10+AM356-AL10-AL356,0)</f>
        <v>0</v>
      </c>
      <c r="AN357" s="346">
        <f ca="1">MAX(AN10+AN356-AO10-AO356,0)</f>
        <v>0</v>
      </c>
      <c r="AO357" s="346">
        <f ca="1">MAX(AO10+AO356-AN10-AN356,0)</f>
        <v>0</v>
      </c>
      <c r="AP357" s="346">
        <f ca="1">MAX(AP10+AP356-AQ10-AQ356,0)</f>
        <v>0</v>
      </c>
      <c r="AQ357" s="346">
        <f ca="1">MAX(AQ10+AQ356-AP10-AP356,0)</f>
        <v>0</v>
      </c>
      <c r="AR357" s="346">
        <f ca="1">MAX(AR10+AR356-AS10-AS356,0)</f>
        <v>0</v>
      </c>
      <c r="AS357" s="346">
        <f ca="1">MAX(AS10+AS356-AR10-AR356,0)</f>
        <v>0</v>
      </c>
      <c r="AT357" s="346">
        <f ca="1">MAX(AT10+AT356-AU10-AU356,0)</f>
        <v>0</v>
      </c>
      <c r="AU357" s="346">
        <f ca="1">MAX(AU10+AU356-AT10-AT356,0)</f>
        <v>0</v>
      </c>
      <c r="AV357" s="346">
        <f ca="1">MAX(AV10+AV356-AW10-AW356,0)</f>
        <v>0</v>
      </c>
      <c r="AW357" s="346">
        <f ca="1">MAX(AW10+AW356-AV10-AV356,0)</f>
        <v>0</v>
      </c>
      <c r="AX357" s="346">
        <f ca="1">MAX(AX10+AX356-AY10-AY356,0)</f>
        <v>0</v>
      </c>
      <c r="AY357" s="346">
        <f ca="1">MAX(AY10+AY356-AX10-AX356,0)</f>
        <v>0</v>
      </c>
      <c r="AZ357" s="346">
        <f ca="1">MAX(AZ10+AZ356-BA10-BA356,0)</f>
        <v>0</v>
      </c>
      <c r="BA357" s="346">
        <f ca="1">MAX(BA10+BA356-AZ10-AZ356,0)</f>
        <v>324476953</v>
      </c>
    </row>
    <row r="358" spans="1:53" s="314" customFormat="1" ht="16.5" customHeight="1">
      <c r="A358" s="328"/>
      <c r="B358" s="328"/>
      <c r="C358" s="329"/>
      <c r="D358" s="328"/>
      <c r="E358" s="330" t="s">
        <v>308</v>
      </c>
      <c r="F358" s="328"/>
      <c r="G358" s="331"/>
      <c r="H358" s="331"/>
      <c r="I358" s="328"/>
      <c r="J358" s="328">
        <f ca="1">J356+'SC-III'!J245</f>
        <v>0</v>
      </c>
      <c r="K358" s="328">
        <f ca="1">K356+'SC-III'!K245</f>
        <v>10087000</v>
      </c>
      <c r="L358" s="328">
        <f ca="1">L356+'SC-III'!L245</f>
        <v>0</v>
      </c>
      <c r="M358" s="328">
        <f ca="1">M356+'SC-III'!M245</f>
        <v>0</v>
      </c>
      <c r="N358" s="328">
        <f ca="1">N356+'SC-III'!N245</f>
        <v>0</v>
      </c>
      <c r="O358" s="328">
        <f ca="1">O356+'SC-III'!O245</f>
        <v>0</v>
      </c>
      <c r="P358" s="328">
        <f ca="1">P356+'SC-III'!P245</f>
        <v>0</v>
      </c>
      <c r="Q358" s="328">
        <f ca="1">Q356+'SC-III'!Q245</f>
        <v>0</v>
      </c>
      <c r="R358" s="328">
        <f ca="1">R356+'SC-III'!R245</f>
        <v>0</v>
      </c>
      <c r="S358" s="328">
        <f ca="1">S356+'SC-III'!S245</f>
        <v>0</v>
      </c>
      <c r="T358" s="328">
        <f ca="1">T356+'SC-III'!T245</f>
        <v>10087000</v>
      </c>
      <c r="U358" s="328">
        <f ca="1">U356+'SC-III'!U245</f>
        <v>0</v>
      </c>
      <c r="V358" s="328">
        <f ca="1">V356+'SC-III'!V245</f>
        <v>0</v>
      </c>
      <c r="W358" s="328">
        <f ca="1">W356+'SC-III'!W245</f>
        <v>34999780</v>
      </c>
      <c r="X358" s="328">
        <f ca="1">X356+'SC-III'!X245</f>
        <v>0</v>
      </c>
      <c r="Y358" s="328">
        <f ca="1">Y356+'SC-III'!Y245</f>
        <v>0</v>
      </c>
      <c r="Z358" s="328">
        <f ca="1">Z356+'SC-III'!Z245</f>
        <v>0</v>
      </c>
      <c r="AA358" s="328">
        <f ca="1">AA356+'SC-III'!AA245</f>
        <v>0</v>
      </c>
      <c r="AB358" s="328">
        <f ca="1">AB356+'SC-III'!AB245</f>
        <v>0</v>
      </c>
      <c r="AC358" s="328">
        <f ca="1">AC356+'SC-III'!AC245</f>
        <v>0</v>
      </c>
      <c r="AD358" s="328">
        <f ca="1">AD356+'SC-III'!AD245</f>
        <v>0</v>
      </c>
      <c r="AE358" s="328">
        <f ca="1">AE356+'SC-III'!AE245</f>
        <v>0</v>
      </c>
      <c r="AF358" s="328">
        <f ca="1">AF356+'SC-III'!AF245</f>
        <v>0</v>
      </c>
      <c r="AG358" s="328">
        <f ca="1">AG356+'SC-III'!AG245</f>
        <v>0</v>
      </c>
      <c r="AH358" s="328">
        <f ca="1">AH356+'SC-III'!AH245</f>
        <v>0</v>
      </c>
      <c r="AI358" s="328">
        <f ca="1">AI356+'SC-III'!AI245</f>
        <v>0</v>
      </c>
      <c r="AJ358" s="328">
        <f ca="1">AJ356+'SC-III'!AJ245</f>
        <v>359476733</v>
      </c>
      <c r="AK358" s="328">
        <f ca="1">AK356+'SC-III'!AK245</f>
        <v>0</v>
      </c>
      <c r="AL358" s="328">
        <f ca="1">AL356+'SC-III'!AL245</f>
        <v>359476733</v>
      </c>
      <c r="AM358" s="328">
        <f ca="1">AM356+'SC-III'!AM245</f>
        <v>359476733</v>
      </c>
      <c r="AN358" s="328">
        <f ca="1">AN356+'SC-III'!AN245</f>
        <v>0</v>
      </c>
      <c r="AO358" s="328">
        <f ca="1">AO356+'SC-III'!AO245</f>
        <v>0</v>
      </c>
      <c r="AP358" s="328">
        <f ca="1">AP356+'SC-III'!AP245</f>
        <v>0</v>
      </c>
      <c r="AQ358" s="328">
        <f ca="1">AQ356+'SC-III'!AQ245</f>
        <v>0</v>
      </c>
      <c r="AR358" s="328">
        <f ca="1">AR356+'SC-III'!AR245</f>
        <v>34999780</v>
      </c>
      <c r="AS358" s="328">
        <f ca="1">AS356+'SC-III'!AS245</f>
        <v>34999780</v>
      </c>
      <c r="AT358" s="328">
        <f ca="1">AT356+'SC-III'!AT245</f>
        <v>0</v>
      </c>
      <c r="AU358" s="328">
        <f ca="1">AU356+'SC-III'!AU245</f>
        <v>0</v>
      </c>
      <c r="AV358" s="328">
        <f ca="1">AV356+'SC-III'!AV245</f>
        <v>0</v>
      </c>
      <c r="AW358" s="328">
        <f ca="1">AW356+'SC-III'!AW245</f>
        <v>0</v>
      </c>
      <c r="AX358" s="328">
        <f ca="1">AX356+'SC-III'!AX245</f>
        <v>0</v>
      </c>
      <c r="AY358" s="328">
        <f ca="1">AY356+'SC-III'!AY245</f>
        <v>0</v>
      </c>
      <c r="AZ358" s="328">
        <f ca="1">AZ356+'SC-III'!AZ245</f>
        <v>34999780</v>
      </c>
      <c r="BA358" s="328">
        <f ca="1">BA356+'SC-III'!BA245</f>
        <v>359476733</v>
      </c>
    </row>
    <row r="359" spans="1:53" ht="12" customHeight="1">
      <c r="B359" s="333"/>
      <c r="C359" s="334"/>
      <c r="D359" s="334"/>
      <c r="E359" s="334"/>
      <c r="F359" s="334"/>
      <c r="G359" s="335"/>
      <c r="H359" s="335"/>
      <c r="I359" s="334"/>
      <c r="J359" s="334"/>
      <c r="K359" s="334"/>
      <c r="AB359" s="334"/>
      <c r="AC359" s="334"/>
      <c r="AD359" s="334"/>
      <c r="AE359" s="335"/>
      <c r="AF359" s="334"/>
      <c r="AG359" s="335"/>
      <c r="AH359" s="335"/>
      <c r="AI359" s="335"/>
      <c r="AJ359" s="335"/>
      <c r="AK359" s="351"/>
      <c r="AL359" s="334"/>
      <c r="AM359" s="334"/>
      <c r="AN359" s="334"/>
      <c r="AO359" s="334"/>
      <c r="AR359" s="334"/>
      <c r="AS359" s="334"/>
      <c r="AT359" s="334"/>
      <c r="AU359" s="334"/>
      <c r="AV359" s="334"/>
      <c r="AW359" s="334"/>
      <c r="AZ359" s="334"/>
      <c r="BA359" s="334"/>
    </row>
    <row r="360" spans="1:53" ht="12" customHeight="1">
      <c r="B360" s="333"/>
      <c r="C360" s="334"/>
      <c r="D360" s="334"/>
      <c r="E360" s="334"/>
      <c r="F360" s="334"/>
      <c r="G360" s="335"/>
      <c r="H360" s="335"/>
      <c r="I360" s="334"/>
      <c r="J360" s="334"/>
      <c r="K360" s="334"/>
      <c r="AB360" s="334"/>
      <c r="AC360" s="334"/>
      <c r="AD360" s="334"/>
      <c r="AE360" s="335"/>
      <c r="AF360" s="334"/>
      <c r="AG360" s="335"/>
      <c r="AH360" s="335"/>
      <c r="AI360" s="335"/>
      <c r="AJ360" s="335"/>
      <c r="AK360" s="351"/>
      <c r="AL360" s="337" t="s">
        <v>359</v>
      </c>
      <c r="AM360" s="338"/>
      <c r="AN360" s="338"/>
      <c r="AO360" s="338"/>
      <c r="AP360" s="338"/>
      <c r="AQ360" s="338"/>
      <c r="AR360" s="339"/>
      <c r="AS360" s="339"/>
      <c r="AT360" s="338"/>
    </row>
    <row r="361" spans="1:53" ht="12" customHeight="1">
      <c r="J361" s="336"/>
      <c r="K361" s="336"/>
      <c r="L361" s="336"/>
      <c r="M361" s="354"/>
      <c r="N361" s="336"/>
      <c r="O361" s="354"/>
      <c r="P361" s="354"/>
      <c r="Q361" s="354"/>
      <c r="R361" s="336"/>
      <c r="AE361" s="293"/>
      <c r="AG361" s="293"/>
      <c r="AH361" s="293"/>
      <c r="AI361" s="293"/>
      <c r="AJ361" s="293"/>
      <c r="AK361" s="355"/>
      <c r="AL361" s="340" t="s">
        <v>340</v>
      </c>
      <c r="AM361" s="338"/>
      <c r="AN361" s="338"/>
      <c r="AO361" s="338"/>
      <c r="AP361" s="338"/>
      <c r="AQ361" s="338"/>
      <c r="AR361" s="339"/>
      <c r="AS361" s="339"/>
      <c r="AT361" s="338"/>
    </row>
    <row r="362" spans="1:53" s="299" customFormat="1" ht="12" customHeight="1">
      <c r="F362" s="356"/>
      <c r="G362" s="357"/>
      <c r="H362" s="357"/>
      <c r="R362" s="358"/>
      <c r="Z362" s="292"/>
      <c r="AA362" s="292"/>
      <c r="AE362" s="357"/>
      <c r="AG362" s="357"/>
      <c r="AH362" s="357"/>
      <c r="AI362" s="357"/>
      <c r="AJ362" s="357"/>
      <c r="AK362" s="359"/>
      <c r="AL362" s="338"/>
      <c r="AM362" s="338"/>
      <c r="AN362" s="338"/>
      <c r="AO362" s="338"/>
      <c r="AP362" s="338"/>
      <c r="AQ362" s="338"/>
      <c r="AR362" s="338"/>
      <c r="AS362" s="338"/>
      <c r="AT362" s="339"/>
      <c r="AU362" s="292"/>
      <c r="AV362" s="292"/>
      <c r="AW362" s="292"/>
      <c r="AX362" s="292"/>
      <c r="AY362" s="292"/>
      <c r="AZ362" s="292"/>
      <c r="BA362" s="292"/>
    </row>
    <row r="363" spans="1:53" ht="12" customHeight="1">
      <c r="L363" s="314"/>
      <c r="N363" s="314"/>
      <c r="AE363" s="293"/>
      <c r="AG363" s="293"/>
      <c r="AH363" s="293"/>
      <c r="AI363" s="293"/>
      <c r="AJ363" s="293"/>
      <c r="AK363" s="355"/>
      <c r="AL363" s="338"/>
      <c r="AM363" s="338"/>
      <c r="AN363" s="338"/>
      <c r="AO363" s="338"/>
      <c r="AP363" s="338"/>
      <c r="AQ363" s="338"/>
      <c r="AR363" s="338"/>
      <c r="AS363" s="338"/>
      <c r="AT363" s="339"/>
      <c r="AZ363" s="341" t="str">
        <f>"Ngày 31 tháng 12 năm 2015 "</f>
        <v xml:space="preserve">Ngày 31 tháng 12 năm 2015 </v>
      </c>
    </row>
    <row r="364" spans="1:53">
      <c r="J364" s="314"/>
      <c r="K364" s="314"/>
      <c r="AL364" s="338"/>
      <c r="AM364" s="342" t="s">
        <v>14</v>
      </c>
      <c r="AN364" s="338"/>
      <c r="AO364" s="338"/>
      <c r="AP364" s="338"/>
      <c r="AQ364" s="338"/>
      <c r="AR364" s="338"/>
      <c r="AS364" s="343" t="s">
        <v>15</v>
      </c>
      <c r="AT364" s="339"/>
      <c r="AZ364" s="342" t="s">
        <v>206</v>
      </c>
    </row>
    <row r="365" spans="1:53">
      <c r="T365" s="314"/>
      <c r="AL365" s="338"/>
      <c r="AM365" s="344" t="s">
        <v>16</v>
      </c>
      <c r="AN365" s="338"/>
      <c r="AO365" s="338"/>
      <c r="AP365" s="338"/>
      <c r="AQ365" s="338"/>
      <c r="AR365" s="338"/>
      <c r="AS365" s="345" t="s">
        <v>16</v>
      </c>
      <c r="AT365" s="339"/>
      <c r="AZ365" s="344" t="s">
        <v>241</v>
      </c>
    </row>
    <row r="366" spans="1:53">
      <c r="F366" s="314"/>
      <c r="T366" s="314"/>
      <c r="AL366" s="338"/>
      <c r="AM366" s="338"/>
      <c r="AN366" s="338"/>
      <c r="AO366" s="338"/>
      <c r="AP366" s="338"/>
      <c r="AQ366" s="338"/>
      <c r="AR366" s="338"/>
      <c r="AS366" s="338"/>
      <c r="AT366" s="339"/>
      <c r="AZ366" s="338"/>
    </row>
    <row r="367" spans="1:53">
      <c r="F367" s="314"/>
      <c r="T367" s="314"/>
      <c r="AZ367" s="338"/>
    </row>
    <row r="368" spans="1:53">
      <c r="F368" s="314"/>
      <c r="G368" s="314"/>
      <c r="T368" s="314"/>
    </row>
    <row r="369" spans="5:20">
      <c r="F369" s="314"/>
      <c r="T369" s="314"/>
    </row>
    <row r="370" spans="5:20">
      <c r="F370" s="314"/>
      <c r="T370" s="314"/>
    </row>
    <row r="371" spans="5:20">
      <c r="F371" s="314"/>
      <c r="M371" s="336"/>
      <c r="O371" s="336"/>
      <c r="P371" s="336"/>
      <c r="Q371" s="336"/>
      <c r="R371" s="336"/>
      <c r="T371" s="314"/>
    </row>
    <row r="372" spans="5:20">
      <c r="E372" s="347"/>
      <c r="F372" s="314"/>
      <c r="M372" s="336"/>
      <c r="O372" s="336"/>
      <c r="P372" s="336"/>
      <c r="Q372" s="336"/>
      <c r="R372" s="336"/>
    </row>
    <row r="373" spans="5:20">
      <c r="F373" s="336"/>
      <c r="M373" s="336"/>
      <c r="O373" s="336"/>
      <c r="P373" s="336"/>
      <c r="Q373" s="336"/>
      <c r="R373" s="336"/>
    </row>
    <row r="374" spans="5:20">
      <c r="F374" s="336"/>
      <c r="M374" s="336"/>
      <c r="O374" s="336"/>
      <c r="P374" s="336"/>
      <c r="Q374" s="336"/>
      <c r="R374" s="336"/>
    </row>
    <row r="375" spans="5:20">
      <c r="E375" s="336"/>
      <c r="F375" s="336"/>
      <c r="M375" s="336"/>
      <c r="O375" s="336"/>
      <c r="P375" s="336"/>
      <c r="Q375" s="336"/>
      <c r="R375" s="336"/>
    </row>
    <row r="376" spans="5:20">
      <c r="E376" s="336"/>
      <c r="F376" s="336"/>
      <c r="M376" s="336"/>
      <c r="O376" s="336"/>
      <c r="P376" s="336"/>
      <c r="Q376" s="336"/>
      <c r="R376" s="336"/>
    </row>
    <row r="377" spans="5:20">
      <c r="E377" s="336"/>
      <c r="F377" s="336"/>
      <c r="M377" s="336"/>
      <c r="O377" s="336"/>
      <c r="P377" s="336"/>
      <c r="Q377" s="336"/>
      <c r="R377" s="336"/>
    </row>
    <row r="378" spans="5:20">
      <c r="E378" s="336"/>
      <c r="F378" s="336"/>
      <c r="M378" s="336"/>
      <c r="O378" s="336"/>
      <c r="P378" s="336"/>
      <c r="Q378" s="336"/>
      <c r="R378" s="336"/>
    </row>
    <row r="379" spans="5:20">
      <c r="E379" s="336"/>
      <c r="F379" s="336"/>
      <c r="M379" s="336"/>
      <c r="O379" s="336"/>
      <c r="P379" s="336"/>
      <c r="Q379" s="336"/>
      <c r="R379" s="336"/>
    </row>
    <row r="380" spans="5:20">
      <c r="E380" s="336"/>
      <c r="F380" s="336"/>
      <c r="M380" s="336"/>
      <c r="O380" s="336"/>
      <c r="P380" s="336"/>
      <c r="Q380" s="336"/>
      <c r="R380" s="336"/>
    </row>
    <row r="381" spans="5:20">
      <c r="F381" s="336"/>
      <c r="M381" s="336"/>
      <c r="O381" s="336"/>
      <c r="P381" s="336"/>
      <c r="Q381" s="336"/>
      <c r="R381" s="336"/>
    </row>
    <row r="382" spans="5:20">
      <c r="F382" s="336"/>
      <c r="M382" s="336"/>
      <c r="O382" s="336"/>
      <c r="P382" s="336"/>
      <c r="Q382" s="336"/>
      <c r="R382" s="336"/>
    </row>
    <row r="383" spans="5:20">
      <c r="F383" s="336"/>
      <c r="M383" s="336"/>
      <c r="O383" s="336"/>
      <c r="P383" s="336"/>
      <c r="Q383" s="336"/>
      <c r="R383" s="336"/>
    </row>
    <row r="384" spans="5:20">
      <c r="F384" s="336"/>
      <c r="M384" s="336"/>
      <c r="O384" s="336"/>
      <c r="P384" s="336"/>
      <c r="Q384" s="336"/>
      <c r="R384" s="336"/>
    </row>
    <row r="385" spans="6:18">
      <c r="F385" s="336"/>
      <c r="M385" s="336"/>
      <c r="O385" s="336"/>
      <c r="P385" s="336"/>
      <c r="Q385" s="336"/>
      <c r="R385" s="336"/>
    </row>
    <row r="386" spans="6:18">
      <c r="F386" s="336"/>
      <c r="M386" s="336"/>
      <c r="O386" s="336"/>
      <c r="P386" s="336"/>
      <c r="Q386" s="336"/>
      <c r="R386" s="336"/>
    </row>
    <row r="387" spans="6:18">
      <c r="M387" s="336"/>
      <c r="O387" s="336"/>
      <c r="P387" s="336"/>
      <c r="Q387" s="336"/>
      <c r="R387" s="336"/>
    </row>
    <row r="389" spans="6:18">
      <c r="M389" s="336"/>
      <c r="O389" s="336"/>
      <c r="P389" s="336"/>
      <c r="Q389" s="336"/>
      <c r="R389" s="336"/>
    </row>
    <row r="390" spans="6:18">
      <c r="M390" s="336"/>
      <c r="O390" s="336"/>
      <c r="P390" s="336"/>
      <c r="Q390" s="336"/>
      <c r="R390" s="336"/>
    </row>
    <row r="391" spans="6:18">
      <c r="M391" s="336"/>
      <c r="O391" s="336"/>
      <c r="P391" s="336"/>
      <c r="Q391" s="336"/>
      <c r="R391" s="336"/>
    </row>
    <row r="392" spans="6:18">
      <c r="M392" s="336"/>
      <c r="O392" s="336"/>
      <c r="P392" s="336"/>
      <c r="Q392" s="336"/>
      <c r="R392" s="336"/>
    </row>
    <row r="393" spans="6:18">
      <c r="M393" s="336"/>
      <c r="O393" s="336"/>
      <c r="P393" s="336"/>
      <c r="Q393" s="336"/>
      <c r="R393" s="336"/>
    </row>
    <row r="394" spans="6:18">
      <c r="M394" s="336"/>
      <c r="O394" s="336"/>
      <c r="P394" s="336"/>
      <c r="Q394" s="336"/>
      <c r="R394" s="336"/>
    </row>
    <row r="407" spans="13:17">
      <c r="M407" s="336"/>
      <c r="O407" s="336"/>
      <c r="P407" s="336"/>
      <c r="Q407" s="336"/>
    </row>
    <row r="424" spans="13:18">
      <c r="R424" s="336"/>
    </row>
    <row r="425" spans="13:18">
      <c r="R425" s="336"/>
    </row>
    <row r="426" spans="13:18">
      <c r="M426" s="336"/>
      <c r="O426" s="336"/>
      <c r="P426" s="336"/>
      <c r="Q426" s="336"/>
      <c r="R426" s="336"/>
    </row>
    <row r="427" spans="13:18">
      <c r="M427" s="336"/>
      <c r="O427" s="336"/>
      <c r="P427" s="336"/>
      <c r="Q427" s="336"/>
      <c r="R427" s="336"/>
    </row>
    <row r="428" spans="13:18">
      <c r="M428" s="336"/>
      <c r="O428" s="336"/>
      <c r="P428" s="336"/>
      <c r="Q428" s="336"/>
    </row>
    <row r="429" spans="13:18">
      <c r="M429" s="336"/>
      <c r="O429" s="336"/>
      <c r="P429" s="336"/>
      <c r="Q429" s="336"/>
    </row>
    <row r="431" spans="13:18">
      <c r="M431" s="336"/>
      <c r="O431" s="336"/>
      <c r="P431" s="336"/>
      <c r="Q431" s="336"/>
      <c r="R431" s="336"/>
    </row>
    <row r="432" spans="13:18">
      <c r="M432" s="336"/>
      <c r="O432" s="336"/>
      <c r="P432" s="336"/>
      <c r="Q432" s="336"/>
      <c r="R432" s="336"/>
    </row>
    <row r="439" spans="13:18">
      <c r="M439" s="336"/>
      <c r="O439" s="336"/>
      <c r="P439" s="336"/>
      <c r="Q439" s="336"/>
      <c r="R439" s="336"/>
    </row>
    <row r="440" spans="13:18">
      <c r="M440" s="336"/>
      <c r="O440" s="336"/>
      <c r="P440" s="336"/>
      <c r="Q440" s="336"/>
      <c r="R440" s="336"/>
    </row>
    <row r="441" spans="13:18">
      <c r="M441" s="336"/>
      <c r="O441" s="336"/>
      <c r="P441" s="336"/>
      <c r="Q441" s="336"/>
      <c r="R441" s="336"/>
    </row>
    <row r="445" spans="13:18">
      <c r="M445" s="336"/>
      <c r="O445" s="336"/>
      <c r="P445" s="336"/>
      <c r="Q445" s="336"/>
      <c r="R445" s="336"/>
    </row>
    <row r="446" spans="13:18">
      <c r="M446" s="336"/>
      <c r="O446" s="336"/>
      <c r="P446" s="336"/>
      <c r="Q446" s="336"/>
      <c r="R446" s="336"/>
    </row>
    <row r="447" spans="13:18">
      <c r="M447" s="336"/>
      <c r="O447" s="336"/>
      <c r="P447" s="336"/>
      <c r="Q447" s="336"/>
      <c r="R447" s="336"/>
    </row>
    <row r="448" spans="13:18">
      <c r="M448" s="336"/>
      <c r="O448" s="336"/>
      <c r="P448" s="336"/>
      <c r="Q448" s="336"/>
      <c r="R448" s="336"/>
    </row>
    <row r="449" spans="13:18">
      <c r="M449" s="336"/>
      <c r="O449" s="336"/>
      <c r="P449" s="336"/>
      <c r="Q449" s="336"/>
      <c r="R449" s="336"/>
    </row>
    <row r="450" spans="13:18">
      <c r="M450" s="336"/>
      <c r="O450" s="336"/>
      <c r="P450" s="336"/>
      <c r="Q450" s="336"/>
      <c r="R450" s="336"/>
    </row>
    <row r="451" spans="13:18">
      <c r="M451" s="336"/>
      <c r="O451" s="336"/>
      <c r="P451" s="336"/>
      <c r="Q451" s="336"/>
      <c r="R451" s="336"/>
    </row>
    <row r="452" spans="13:18">
      <c r="M452" s="336"/>
      <c r="O452" s="336"/>
      <c r="P452" s="336"/>
      <c r="Q452" s="336"/>
      <c r="R452" s="336"/>
    </row>
    <row r="453" spans="13:18">
      <c r="M453" s="336"/>
      <c r="O453" s="336"/>
      <c r="P453" s="336"/>
      <c r="Q453" s="336"/>
      <c r="R453" s="336"/>
    </row>
    <row r="454" spans="13:18">
      <c r="M454" s="336"/>
      <c r="O454" s="336"/>
      <c r="P454" s="336"/>
      <c r="Q454" s="336"/>
      <c r="R454" s="336"/>
    </row>
    <row r="455" spans="13:18">
      <c r="M455" s="336"/>
      <c r="O455" s="336"/>
      <c r="P455" s="336"/>
      <c r="Q455" s="336"/>
      <c r="R455" s="336"/>
    </row>
    <row r="456" spans="13:18">
      <c r="M456" s="336"/>
      <c r="O456" s="336"/>
      <c r="P456" s="336"/>
      <c r="Q456" s="336"/>
      <c r="R456" s="336"/>
    </row>
    <row r="457" spans="13:18">
      <c r="M457" s="336"/>
      <c r="O457" s="336"/>
      <c r="P457" s="336"/>
      <c r="Q457" s="336"/>
      <c r="R457" s="336"/>
    </row>
    <row r="458" spans="13:18">
      <c r="M458" s="336"/>
      <c r="O458" s="336"/>
      <c r="P458" s="336"/>
      <c r="Q458" s="336"/>
      <c r="R458" s="336"/>
    </row>
    <row r="459" spans="13:18">
      <c r="M459" s="336"/>
      <c r="O459" s="336"/>
      <c r="P459" s="336"/>
      <c r="Q459" s="336"/>
      <c r="R459" s="336"/>
    </row>
    <row r="460" spans="13:18">
      <c r="M460" s="336"/>
      <c r="O460" s="336"/>
      <c r="P460" s="336"/>
      <c r="Q460" s="336"/>
      <c r="R460" s="336"/>
    </row>
    <row r="461" spans="13:18">
      <c r="M461" s="336"/>
      <c r="O461" s="336"/>
      <c r="P461" s="336"/>
      <c r="Q461" s="336"/>
      <c r="R461" s="336"/>
    </row>
    <row r="462" spans="13:18">
      <c r="M462" s="336"/>
      <c r="O462" s="336"/>
      <c r="P462" s="336"/>
      <c r="Q462" s="336"/>
      <c r="R462" s="336"/>
    </row>
    <row r="463" spans="13:18">
      <c r="M463" s="336"/>
      <c r="O463" s="336"/>
      <c r="P463" s="336"/>
      <c r="Q463" s="336"/>
      <c r="R463" s="336"/>
    </row>
    <row r="464" spans="13:18">
      <c r="M464" s="336"/>
      <c r="O464" s="336"/>
      <c r="P464" s="336"/>
      <c r="Q464" s="336"/>
      <c r="R464" s="336"/>
    </row>
    <row r="465" spans="13:18">
      <c r="M465" s="336"/>
      <c r="O465" s="336"/>
      <c r="P465" s="336"/>
      <c r="Q465" s="336"/>
      <c r="R465" s="336"/>
    </row>
    <row r="466" spans="13:18">
      <c r="M466" s="336"/>
      <c r="O466" s="336"/>
      <c r="P466" s="336"/>
      <c r="Q466" s="336"/>
      <c r="R466" s="336"/>
    </row>
    <row r="467" spans="13:18">
      <c r="M467" s="336"/>
      <c r="O467" s="336"/>
      <c r="P467" s="336"/>
      <c r="Q467" s="336"/>
      <c r="R467" s="336"/>
    </row>
    <row r="468" spans="13:18">
      <c r="M468" s="336"/>
      <c r="O468" s="336"/>
      <c r="P468" s="336"/>
      <c r="Q468" s="336"/>
      <c r="R468" s="336"/>
    </row>
    <row r="469" spans="13:18">
      <c r="M469" s="336"/>
      <c r="O469" s="336"/>
      <c r="P469" s="336"/>
      <c r="Q469" s="336"/>
      <c r="R469" s="336"/>
    </row>
    <row r="470" spans="13:18">
      <c r="M470" s="336"/>
      <c r="O470" s="336"/>
      <c r="P470" s="336"/>
      <c r="Q470" s="336"/>
      <c r="R470" s="336"/>
    </row>
    <row r="471" spans="13:18">
      <c r="M471" s="336"/>
      <c r="O471" s="336"/>
      <c r="P471" s="336"/>
      <c r="Q471" s="336"/>
      <c r="R471" s="336"/>
    </row>
    <row r="472" spans="13:18">
      <c r="M472" s="336"/>
      <c r="O472" s="336"/>
      <c r="P472" s="336"/>
      <c r="Q472" s="336"/>
      <c r="R472" s="336"/>
    </row>
    <row r="473" spans="13:18">
      <c r="M473" s="336"/>
      <c r="O473" s="336"/>
      <c r="P473" s="336"/>
      <c r="Q473" s="336"/>
      <c r="R473" s="336"/>
    </row>
    <row r="474" spans="13:18">
      <c r="M474" s="336"/>
      <c r="O474" s="336"/>
      <c r="P474" s="336"/>
      <c r="Q474" s="336"/>
      <c r="R474" s="336"/>
    </row>
    <row r="475" spans="13:18">
      <c r="M475" s="336"/>
      <c r="O475" s="336"/>
      <c r="P475" s="336"/>
      <c r="Q475" s="336"/>
      <c r="R475" s="336"/>
    </row>
    <row r="476" spans="13:18">
      <c r="M476" s="336"/>
      <c r="O476" s="336"/>
      <c r="P476" s="336"/>
      <c r="Q476" s="336"/>
      <c r="R476" s="336"/>
    </row>
    <row r="477" spans="13:18">
      <c r="M477" s="336"/>
      <c r="O477" s="336"/>
      <c r="P477" s="336"/>
      <c r="Q477" s="336"/>
      <c r="R477" s="336"/>
    </row>
    <row r="478" spans="13:18">
      <c r="M478" s="336"/>
      <c r="O478" s="336"/>
      <c r="P478" s="336"/>
      <c r="Q478" s="336"/>
      <c r="R478" s="336"/>
    </row>
    <row r="479" spans="13:18">
      <c r="M479" s="336"/>
      <c r="O479" s="336"/>
      <c r="P479" s="336"/>
      <c r="Q479" s="336"/>
      <c r="R479" s="336"/>
    </row>
    <row r="480" spans="13:18">
      <c r="M480" s="336"/>
      <c r="O480" s="336"/>
      <c r="P480" s="336"/>
      <c r="Q480" s="336"/>
      <c r="R480" s="336"/>
    </row>
    <row r="481" spans="13:18">
      <c r="M481" s="336"/>
      <c r="O481" s="336"/>
      <c r="P481" s="336"/>
      <c r="Q481" s="336"/>
      <c r="R481" s="336"/>
    </row>
    <row r="482" spans="13:18">
      <c r="M482" s="336"/>
      <c r="O482" s="336"/>
      <c r="P482" s="336"/>
      <c r="Q482" s="336"/>
      <c r="R482" s="336"/>
    </row>
    <row r="483" spans="13:18">
      <c r="M483" s="336"/>
      <c r="O483" s="336"/>
      <c r="P483" s="336"/>
      <c r="Q483" s="336"/>
      <c r="R483" s="336"/>
    </row>
    <row r="484" spans="13:18">
      <c r="M484" s="336"/>
      <c r="O484" s="336"/>
      <c r="P484" s="336"/>
      <c r="Q484" s="336"/>
      <c r="R484" s="336"/>
    </row>
    <row r="485" spans="13:18">
      <c r="M485" s="336"/>
      <c r="O485" s="336"/>
      <c r="P485" s="336"/>
      <c r="Q485" s="336"/>
      <c r="R485" s="336"/>
    </row>
    <row r="486" spans="13:18">
      <c r="M486" s="336"/>
      <c r="O486" s="336"/>
      <c r="P486" s="336"/>
      <c r="Q486" s="336"/>
      <c r="R486" s="336"/>
    </row>
    <row r="487" spans="13:18">
      <c r="M487" s="336"/>
      <c r="O487" s="336"/>
      <c r="P487" s="336"/>
      <c r="Q487" s="336"/>
      <c r="R487" s="336"/>
    </row>
    <row r="488" spans="13:18">
      <c r="M488" s="336"/>
      <c r="O488" s="336"/>
      <c r="P488" s="336"/>
      <c r="Q488" s="336"/>
      <c r="R488" s="336"/>
    </row>
    <row r="489" spans="13:18">
      <c r="M489" s="336"/>
      <c r="O489" s="336"/>
      <c r="P489" s="336"/>
      <c r="Q489" s="336"/>
      <c r="R489" s="336"/>
    </row>
    <row r="490" spans="13:18">
      <c r="M490" s="336"/>
      <c r="O490" s="336"/>
      <c r="P490" s="336"/>
      <c r="Q490" s="336"/>
      <c r="R490" s="336"/>
    </row>
    <row r="491" spans="13:18">
      <c r="M491" s="336"/>
      <c r="O491" s="336"/>
      <c r="P491" s="336"/>
      <c r="Q491" s="336"/>
      <c r="R491" s="336"/>
    </row>
    <row r="492" spans="13:18">
      <c r="M492" s="336"/>
      <c r="O492" s="336"/>
      <c r="P492" s="336"/>
      <c r="Q492" s="336"/>
      <c r="R492" s="336"/>
    </row>
    <row r="493" spans="13:18">
      <c r="M493" s="336"/>
      <c r="O493" s="336"/>
      <c r="P493" s="336"/>
      <c r="Q493" s="336"/>
      <c r="R493" s="336"/>
    </row>
    <row r="494" spans="13:18">
      <c r="M494" s="336"/>
      <c r="O494" s="336"/>
      <c r="P494" s="336"/>
      <c r="Q494" s="336"/>
      <c r="R494" s="336"/>
    </row>
    <row r="495" spans="13:18">
      <c r="M495" s="336"/>
      <c r="O495" s="336"/>
      <c r="P495" s="336"/>
      <c r="Q495" s="336"/>
      <c r="R495" s="336"/>
    </row>
    <row r="496" spans="13:18">
      <c r="M496" s="336"/>
      <c r="O496" s="336"/>
      <c r="P496" s="336"/>
      <c r="Q496" s="336"/>
      <c r="R496" s="336"/>
    </row>
    <row r="497" spans="13:18">
      <c r="M497" s="336"/>
      <c r="O497" s="336"/>
      <c r="P497" s="336"/>
      <c r="Q497" s="336"/>
      <c r="R497" s="336"/>
    </row>
    <row r="498" spans="13:18">
      <c r="M498" s="336"/>
      <c r="O498" s="336"/>
      <c r="P498" s="336"/>
      <c r="Q498" s="336"/>
      <c r="R498" s="336"/>
    </row>
    <row r="499" spans="13:18">
      <c r="M499" s="336"/>
      <c r="O499" s="336"/>
      <c r="P499" s="336"/>
      <c r="Q499" s="336"/>
      <c r="R499" s="336"/>
    </row>
    <row r="500" spans="13:18">
      <c r="M500" s="336"/>
      <c r="O500" s="336"/>
      <c r="P500" s="336"/>
      <c r="Q500" s="336"/>
      <c r="R500" s="336"/>
    </row>
    <row r="501" spans="13:18">
      <c r="M501" s="336"/>
      <c r="O501" s="336"/>
      <c r="P501" s="336"/>
      <c r="Q501" s="336"/>
      <c r="R501" s="336"/>
    </row>
    <row r="502" spans="13:18">
      <c r="M502" s="336"/>
      <c r="O502" s="336"/>
      <c r="P502" s="336"/>
      <c r="Q502" s="336"/>
      <c r="R502" s="336"/>
    </row>
    <row r="503" spans="13:18">
      <c r="M503" s="336"/>
      <c r="O503" s="336"/>
      <c r="P503" s="336"/>
      <c r="Q503" s="336"/>
      <c r="R503" s="336"/>
    </row>
    <row r="504" spans="13:18">
      <c r="M504" s="336"/>
      <c r="O504" s="336"/>
      <c r="P504" s="336"/>
      <c r="Q504" s="336"/>
      <c r="R504" s="336"/>
    </row>
    <row r="505" spans="13:18">
      <c r="M505" s="336"/>
      <c r="O505" s="336"/>
      <c r="P505" s="336"/>
      <c r="Q505" s="336"/>
      <c r="R505" s="336"/>
    </row>
    <row r="506" spans="13:18">
      <c r="M506" s="336"/>
      <c r="O506" s="336"/>
      <c r="P506" s="336"/>
      <c r="Q506" s="336"/>
      <c r="R506" s="336"/>
    </row>
    <row r="507" spans="13:18">
      <c r="M507" s="336"/>
      <c r="O507" s="336"/>
      <c r="P507" s="336"/>
      <c r="Q507" s="336"/>
      <c r="R507" s="336"/>
    </row>
    <row r="508" spans="13:18">
      <c r="M508" s="336"/>
      <c r="O508" s="336"/>
      <c r="P508" s="336"/>
      <c r="Q508" s="336"/>
      <c r="R508" s="336"/>
    </row>
    <row r="509" spans="13:18">
      <c r="M509" s="336"/>
      <c r="O509" s="336"/>
      <c r="P509" s="336"/>
      <c r="Q509" s="336"/>
      <c r="R509" s="336"/>
    </row>
    <row r="510" spans="13:18">
      <c r="M510" s="336"/>
      <c r="O510" s="336"/>
      <c r="P510" s="336"/>
      <c r="Q510" s="336"/>
      <c r="R510" s="336"/>
    </row>
    <row r="511" spans="13:18">
      <c r="M511" s="336"/>
      <c r="O511" s="336"/>
      <c r="P511" s="336"/>
      <c r="Q511" s="336"/>
      <c r="R511" s="336"/>
    </row>
    <row r="512" spans="13:18">
      <c r="M512" s="336"/>
      <c r="O512" s="336"/>
      <c r="P512" s="336"/>
      <c r="Q512" s="336"/>
      <c r="R512" s="336"/>
    </row>
    <row r="513" spans="13:18">
      <c r="M513" s="336"/>
      <c r="O513" s="336"/>
      <c r="P513" s="336"/>
      <c r="Q513" s="336"/>
      <c r="R513" s="336"/>
    </row>
    <row r="514" spans="13:18">
      <c r="M514" s="336"/>
      <c r="O514" s="336"/>
      <c r="P514" s="336"/>
      <c r="Q514" s="336"/>
      <c r="R514" s="336"/>
    </row>
    <row r="515" spans="13:18">
      <c r="M515" s="336"/>
      <c r="O515" s="336"/>
      <c r="P515" s="336"/>
      <c r="Q515" s="336"/>
      <c r="R515" s="336"/>
    </row>
    <row r="516" spans="13:18">
      <c r="M516" s="336"/>
      <c r="O516" s="336"/>
      <c r="P516" s="336"/>
      <c r="Q516" s="336"/>
      <c r="R516" s="336"/>
    </row>
    <row r="517" spans="13:18">
      <c r="M517" s="336"/>
      <c r="O517" s="336"/>
      <c r="P517" s="336"/>
      <c r="Q517" s="336"/>
      <c r="R517" s="336"/>
    </row>
    <row r="518" spans="13:18">
      <c r="M518" s="336"/>
      <c r="O518" s="336"/>
      <c r="P518" s="336"/>
      <c r="Q518" s="336"/>
      <c r="R518" s="336"/>
    </row>
    <row r="519" spans="13:18">
      <c r="M519" s="336"/>
      <c r="O519" s="336"/>
      <c r="P519" s="336"/>
      <c r="Q519" s="336"/>
      <c r="R519" s="336"/>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33" activePane="bottomLeft" state="frozen"/>
      <selection activeCell="A7" sqref="A7"/>
      <selection pane="bottomLeft" activeCell="E7" sqref="E7"/>
    </sheetView>
  </sheetViews>
  <sheetFormatPr defaultRowHeight="15"/>
  <cols>
    <col min="1" max="1" width="7.7109375" style="240" customWidth="1"/>
    <col min="2" max="2" width="6.28515625" style="240" customWidth="1"/>
    <col min="3" max="3" width="7.42578125" style="240" customWidth="1"/>
    <col min="4" max="4" width="34.5703125" style="5" customWidth="1"/>
    <col min="5" max="5" width="6.28515625" style="24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8" t="s">
        <v>274</v>
      </c>
      <c r="H2" s="1098"/>
      <c r="I2" s="1098"/>
    </row>
    <row r="3" spans="1:9" ht="15.75" customHeight="1">
      <c r="A3" s="1" t="s">
        <v>275</v>
      </c>
      <c r="G3" s="1099" t="s">
        <v>224</v>
      </c>
      <c r="H3" s="1099"/>
      <c r="I3" s="1099"/>
    </row>
    <row r="4" spans="1:9">
      <c r="F4" s="17"/>
      <c r="G4" s="1099"/>
      <c r="H4" s="1099"/>
      <c r="I4" s="1099"/>
    </row>
    <row r="5" spans="1:9" ht="17.25" customHeight="1">
      <c r="A5" s="1100" t="s">
        <v>276</v>
      </c>
      <c r="B5" s="1100"/>
      <c r="C5" s="1100"/>
      <c r="D5" s="1100"/>
      <c r="E5" s="1100"/>
      <c r="F5" s="1100"/>
      <c r="G5" s="1100"/>
      <c r="H5" s="1100"/>
      <c r="I5" s="1100"/>
    </row>
    <row r="6" spans="1:9">
      <c r="A6" s="1101" t="s">
        <v>277</v>
      </c>
      <c r="B6" s="1102"/>
      <c r="C6" s="1102"/>
      <c r="D6" s="1102"/>
      <c r="E6" s="1102"/>
      <c r="F6" s="1102"/>
      <c r="G6" s="1102"/>
      <c r="H6" s="1102"/>
      <c r="I6" s="1102"/>
    </row>
    <row r="7" spans="1:9">
      <c r="B7" s="5"/>
      <c r="C7" s="5"/>
      <c r="D7" s="284" t="s">
        <v>278</v>
      </c>
      <c r="E7" s="285" t="s">
        <v>107</v>
      </c>
    </row>
    <row r="8" spans="1:9">
      <c r="B8" s="5"/>
      <c r="C8" s="5"/>
      <c r="D8" s="284" t="s">
        <v>279</v>
      </c>
      <c r="E8" s="5" t="str">
        <f>VLOOKUP($E$7,DSTK,2,0)</f>
        <v xml:space="preserve"> Phải Thu Khác </v>
      </c>
    </row>
    <row r="9" spans="1:9">
      <c r="A9" s="1102" t="s">
        <v>36</v>
      </c>
      <c r="B9" s="1103"/>
      <c r="C9" s="1103"/>
      <c r="D9" s="1103"/>
      <c r="E9" s="1103"/>
      <c r="F9" s="1103"/>
      <c r="G9" s="1103"/>
      <c r="H9" s="1103"/>
      <c r="I9" s="1103"/>
    </row>
    <row r="10" spans="1:9" ht="9.75" customHeight="1">
      <c r="C10" s="1104"/>
      <c r="D10" s="1105"/>
      <c r="E10" s="1105"/>
      <c r="F10" s="1105"/>
      <c r="G10" s="1105"/>
      <c r="H10" s="1105"/>
      <c r="I10" s="1105"/>
    </row>
    <row r="11" spans="1:9" s="18" customFormat="1" ht="19.5" customHeight="1">
      <c r="A11" s="1106" t="s">
        <v>27</v>
      </c>
      <c r="B11" s="1096" t="s">
        <v>1</v>
      </c>
      <c r="C11" s="1107"/>
      <c r="D11" s="1106" t="s">
        <v>0</v>
      </c>
      <c r="E11" s="1106" t="s">
        <v>19</v>
      </c>
      <c r="F11" s="1096" t="s">
        <v>28</v>
      </c>
      <c r="G11" s="1107"/>
      <c r="H11" s="1096" t="s">
        <v>38</v>
      </c>
      <c r="I11" s="1097"/>
    </row>
    <row r="12" spans="1:9" s="18" customFormat="1" ht="32.25" customHeight="1">
      <c r="A12" s="1106"/>
      <c r="B12" s="477" t="s">
        <v>20</v>
      </c>
      <c r="C12" s="477" t="s">
        <v>39</v>
      </c>
      <c r="D12" s="1106"/>
      <c r="E12" s="1106"/>
      <c r="F12" s="477" t="s">
        <v>29</v>
      </c>
      <c r="G12" s="477" t="s">
        <v>30</v>
      </c>
      <c r="H12" s="477" t="s">
        <v>29</v>
      </c>
      <c r="I12" s="477" t="s">
        <v>30</v>
      </c>
    </row>
    <row r="13" spans="1:9" s="422" customFormat="1" ht="11.25" customHeight="1">
      <c r="A13" s="426" t="s">
        <v>2</v>
      </c>
      <c r="B13" s="427" t="s">
        <v>3</v>
      </c>
      <c r="C13" s="426" t="s">
        <v>4</v>
      </c>
      <c r="D13" s="426" t="s">
        <v>5</v>
      </c>
      <c r="E13" s="426" t="s">
        <v>6</v>
      </c>
      <c r="F13" s="426">
        <v>1</v>
      </c>
      <c r="G13" s="426">
        <v>2</v>
      </c>
      <c r="H13" s="426">
        <v>3</v>
      </c>
      <c r="I13" s="426">
        <v>4</v>
      </c>
    </row>
    <row r="14" spans="1:9" s="18" customFormat="1" ht="18" customHeight="1">
      <c r="A14" s="478"/>
      <c r="B14" s="454"/>
      <c r="C14" s="478"/>
      <c r="D14" s="453" t="s">
        <v>7</v>
      </c>
      <c r="E14" s="454"/>
      <c r="F14" s="479"/>
      <c r="G14" s="479"/>
      <c r="H14" s="479">
        <f>VLOOKUP($E$7,DSTK,3,0)</f>
        <v>0</v>
      </c>
      <c r="I14" s="479">
        <f>VLOOKUP($E$7,DSTK,4,0)</f>
        <v>0</v>
      </c>
    </row>
    <row r="15" spans="1:9" s="18" customFormat="1" ht="18" customHeight="1">
      <c r="A15" s="387">
        <f ca="1">IF(ROWS($1:1)&gt;COUNT(Dong5),"",OFFSET(TH!C$1,SMALL(Dong5,ROWS($1:1)),))</f>
        <v>42403</v>
      </c>
      <c r="B15" s="387" t="str">
        <f ca="1">IF(ROWS($1:1)&gt;COUNT(Dong5),"",OFFSET(TH!D$1,SMALL(Dong5,ROWS($1:1)),))</f>
        <v>GBN</v>
      </c>
      <c r="C15" s="387">
        <f ca="1">IF(ROWS($1:1)&gt;COUNT(Dong5),"",OFFSET(TH!E$1,SMALL(Dong5,ROWS($1:1)),))</f>
        <v>42403</v>
      </c>
      <c r="D15" s="480" t="str">
        <f ca="1">IF(ROWS($1:1)&gt;COUNT(Dong5),"",OFFSET(TH!F$1,SMALL(Dong5,ROWS($1:1)),))</f>
        <v>Ứng vốn - LA</v>
      </c>
      <c r="E15" s="387" t="str">
        <f ca="1">IF(ROWS($1:1)&gt;COUNT(Dong5),"",IF(OFFSET(TH!N$1,SMALL(Dong5,ROWS($1:1)),)=$E$7,OFFSET(TH!O$1,SMALL(Dong5,ROWS($1:1)),),OFFSET(TH!N$1,SMALL(Dong5,ROWS($1:1)),)))</f>
        <v>1121</v>
      </c>
      <c r="F15" s="481">
        <f ca="1">IF(ROWS($1:1)&gt;COUNT(Dong5),0,IF(OFFSET(TH!N$1,SMALL(Dong5,ROWS($1:1)),)=$E$7,OFFSET(TH!M$1,SMALL(Dong5,ROWS($1:1)),),0))</f>
        <v>110000000</v>
      </c>
      <c r="G15" s="479">
        <f ca="1">IF(ROWS($1:1)&gt;COUNT(Dong5),0,IF(OFFSET(TH!O$1,SMALL(Dong5,ROWS($1:1)),)=$E$7,OFFSET(TH!M$1,SMALL(Dong5,ROWS($1:1)),),0))</f>
        <v>0</v>
      </c>
      <c r="H15" s="482">
        <f ca="1">IF(D15&lt;&gt;"",MAX(H14+F15-G15-I14,0),0)</f>
        <v>110000000</v>
      </c>
      <c r="I15" s="482">
        <f ca="1">IF(D15&lt;&gt;"",MAX(I14+G15-H14-F15,0),0)</f>
        <v>0</v>
      </c>
    </row>
    <row r="16" spans="1:9" s="18" customFormat="1" ht="18" customHeight="1">
      <c r="A16" s="387">
        <f ca="1">IF(ROWS($1:2)&gt;COUNT(Dong5),"",OFFSET(TH!C$1,SMALL(Dong5,ROWS($1:2)),))</f>
        <v>42403</v>
      </c>
      <c r="B16" s="387" t="str">
        <f ca="1">IF(ROWS($1:2)&gt;COUNT(Dong5),"",OFFSET(TH!D$1,SMALL(Dong5,ROWS($1:2)),))</f>
        <v>T02</v>
      </c>
      <c r="C16" s="387">
        <f ca="1">IF(ROWS($1:2)&gt;COUNT(Dong5),"",OFFSET(TH!E$1,SMALL(Dong5,ROWS($1:2)),))</f>
        <v>42403</v>
      </c>
      <c r="D16" s="480" t="str">
        <f ca="1">IF(ROWS($1:2)&gt;COUNT(Dong5),"",OFFSET(TH!F$1,SMALL(Dong5,ROWS($1:2)),))</f>
        <v>Thu hoàn trả vốn mượn</v>
      </c>
      <c r="E16" s="387" t="str">
        <f ca="1">IF(ROWS($1:2)&gt;COUNT(Dong5),"",IF(OFFSET(TH!N$1,SMALL(Dong5,ROWS($1:2)),)=$E$7,OFFSET(TH!O$1,SMALL(Dong5,ROWS($1:2)),),OFFSET(TH!N$1,SMALL(Dong5,ROWS($1:2)),)))</f>
        <v>1111</v>
      </c>
      <c r="F16" s="481">
        <f ca="1">IF(ROWS($1:2)&gt;COUNT(Dong5),0,IF(OFFSET(TH!N$1,SMALL(Dong5,ROWS($1:2)),)=$E$7,OFFSET(TH!M$1,SMALL(Dong5,ROWS($1:2)),),0))</f>
        <v>0</v>
      </c>
      <c r="G16" s="479">
        <f ca="1">IF(ROWS($1:2)&gt;COUNT(Dong5),0,IF(OFFSET(TH!O$1,SMALL(Dong5,ROWS($1:2)),)=$E$7,OFFSET(TH!M$1,SMALL(Dong5,ROWS($1:2)),),0))</f>
        <v>110000000</v>
      </c>
      <c r="H16" s="482">
        <f t="shared" ref="H16:H32" ca="1" si="0">IF(D16&lt;&gt;"",MAX(H15+F16-G16-I15,0),0)</f>
        <v>0</v>
      </c>
      <c r="I16" s="482">
        <f t="shared" ref="I16:I32" ca="1" si="1">IF(D16&lt;&gt;"",MAX(I15+G16-H15-F16,0),0)</f>
        <v>0</v>
      </c>
    </row>
    <row r="17" spans="1:9" s="18" customFormat="1" ht="18" customHeight="1">
      <c r="A17" s="387">
        <f ca="1">IF(ROWS($1:3)&gt;COUNT(Dong5),"",OFFSET(TH!C$1,SMALL(Dong5,ROWS($1:3)),))</f>
        <v>42425</v>
      </c>
      <c r="B17" s="387" t="str">
        <f ca="1">IF(ROWS($1:3)&gt;COUNT(Dong5),"",OFFSET(TH!D$1,SMALL(Dong5,ROWS($1:3)),))</f>
        <v>GBC</v>
      </c>
      <c r="C17" s="387">
        <f ca="1">IF(ROWS($1:3)&gt;COUNT(Dong5),"",OFFSET(TH!E$1,SMALL(Dong5,ROWS($1:3)),))</f>
        <v>42425</v>
      </c>
      <c r="D17" s="480" t="str">
        <f ca="1">IF(ROWS($1:3)&gt;COUNT(Dong5),"",OFFSET(TH!F$1,SMALL(Dong5,ROWS($1:3)),))</f>
        <v>Ứng vốn - LA</v>
      </c>
      <c r="E17" s="387" t="str">
        <f ca="1">IF(ROWS($1:3)&gt;COUNT(Dong5),"",IF(OFFSET(TH!N$1,SMALL(Dong5,ROWS($1:3)),)=$E$7,OFFSET(TH!O$1,SMALL(Dong5,ROWS($1:3)),),OFFSET(TH!N$1,SMALL(Dong5,ROWS($1:3)),)))</f>
        <v>1121</v>
      </c>
      <c r="F17" s="481">
        <f ca="1">IF(ROWS($1:3)&gt;COUNT(Dong5),0,IF(OFFSET(TH!N$1,SMALL(Dong5,ROWS($1:3)),)=$E$7,OFFSET(TH!M$1,SMALL(Dong5,ROWS($1:3)),),0))</f>
        <v>0</v>
      </c>
      <c r="G17" s="479">
        <f ca="1">IF(ROWS($1:3)&gt;COUNT(Dong5),0,IF(OFFSET(TH!O$1,SMALL(Dong5,ROWS($1:3)),)=$E$7,OFFSET(TH!M$1,SMALL(Dong5,ROWS($1:3)),),0))</f>
        <v>5000000</v>
      </c>
      <c r="H17" s="482">
        <f t="shared" ca="1" si="0"/>
        <v>0</v>
      </c>
      <c r="I17" s="482">
        <f t="shared" ca="1" si="1"/>
        <v>5000000</v>
      </c>
    </row>
    <row r="18" spans="1:9" s="18" customFormat="1" ht="18" customHeight="1">
      <c r="A18" s="387">
        <f ca="1">IF(ROWS($1:4)&gt;COUNT(Dong5),"",OFFSET(TH!C$1,SMALL(Dong5,ROWS($1:4)),))</f>
        <v>42425</v>
      </c>
      <c r="B18" s="387" t="str">
        <f ca="1">IF(ROWS($1:4)&gt;COUNT(Dong5),"",OFFSET(TH!D$1,SMALL(Dong5,ROWS($1:4)),))</f>
        <v>C30</v>
      </c>
      <c r="C18" s="387">
        <f ca="1">IF(ROWS($1:4)&gt;COUNT(Dong5),"",OFFSET(TH!E$1,SMALL(Dong5,ROWS($1:4)),))</f>
        <v>42425</v>
      </c>
      <c r="D18" s="480" t="str">
        <f ca="1">IF(ROWS($1:4)&gt;COUNT(Dong5),"",OFFSET(TH!F$1,SMALL(Dong5,ROWS($1:4)),))</f>
        <v>Trả vốn mượn</v>
      </c>
      <c r="E18" s="387" t="str">
        <f ca="1">IF(ROWS($1:4)&gt;COUNT(Dong5),"",IF(OFFSET(TH!N$1,SMALL(Dong5,ROWS($1:4)),)=$E$7,OFFSET(TH!O$1,SMALL(Dong5,ROWS($1:4)),),OFFSET(TH!N$1,SMALL(Dong5,ROWS($1:4)),)))</f>
        <v>1111</v>
      </c>
      <c r="F18" s="481">
        <f ca="1">IF(ROWS($1:4)&gt;COUNT(Dong5),0,IF(OFFSET(TH!N$1,SMALL(Dong5,ROWS($1:4)),)=$E$7,OFFSET(TH!M$1,SMALL(Dong5,ROWS($1:4)),),0))</f>
        <v>5000000</v>
      </c>
      <c r="G18" s="479">
        <f ca="1">IF(ROWS($1:4)&gt;COUNT(Dong5),0,IF(OFFSET(TH!O$1,SMALL(Dong5,ROWS($1:4)),)=$E$7,OFFSET(TH!M$1,SMALL(Dong5,ROWS($1:4)),),0))</f>
        <v>0</v>
      </c>
      <c r="H18" s="482">
        <f t="shared" ca="1" si="0"/>
        <v>0</v>
      </c>
      <c r="I18" s="482">
        <f t="shared" ca="1" si="1"/>
        <v>0</v>
      </c>
    </row>
    <row r="19" spans="1:9" s="18" customFormat="1" ht="18" customHeight="1">
      <c r="A19" s="387">
        <f ca="1">IF(ROWS($1:5)&gt;COUNT(Dong5),"",OFFSET(TH!C$1,SMALL(Dong5,ROWS($1:5)),))</f>
        <v>42448</v>
      </c>
      <c r="B19" s="387" t="str">
        <f ca="1">IF(ROWS($1:5)&gt;COUNT(Dong5),"",OFFSET(TH!D$1,SMALL(Dong5,ROWS($1:5)),))</f>
        <v>GBN</v>
      </c>
      <c r="C19" s="387">
        <f ca="1">IF(ROWS($1:5)&gt;COUNT(Dong5),"",OFFSET(TH!E$1,SMALL(Dong5,ROWS($1:5)),))</f>
        <v>42448</v>
      </c>
      <c r="D19" s="480" t="str">
        <f ca="1">IF(ROWS($1:5)&gt;COUNT(Dong5),"",OFFSET(TH!F$1,SMALL(Dong5,ROWS($1:5)),))</f>
        <v>Ứng vốn - LA</v>
      </c>
      <c r="E19" s="387" t="str">
        <f ca="1">IF(ROWS($1:5)&gt;COUNT(Dong5),"",IF(OFFSET(TH!N$1,SMALL(Dong5,ROWS($1:5)),)=$E$7,OFFSET(TH!O$1,SMALL(Dong5,ROWS($1:5)),),OFFSET(TH!N$1,SMALL(Dong5,ROWS($1:5)),)))</f>
        <v>1121</v>
      </c>
      <c r="F19" s="481">
        <f ca="1">IF(ROWS($1:5)&gt;COUNT(Dong5),0,IF(OFFSET(TH!N$1,SMALL(Dong5,ROWS($1:5)),)=$E$7,OFFSET(TH!M$1,SMALL(Dong5,ROWS($1:5)),),0))</f>
        <v>50000000</v>
      </c>
      <c r="G19" s="479">
        <f ca="1">IF(ROWS($1:5)&gt;COUNT(Dong5),0,IF(OFFSET(TH!O$1,SMALL(Dong5,ROWS($1:5)),)=$E$7,OFFSET(TH!M$1,SMALL(Dong5,ROWS($1:5)),),0))</f>
        <v>0</v>
      </c>
      <c r="H19" s="482">
        <f t="shared" ca="1" si="0"/>
        <v>50000000</v>
      </c>
      <c r="I19" s="482">
        <f t="shared" ca="1" si="1"/>
        <v>0</v>
      </c>
    </row>
    <row r="20" spans="1:9" s="18" customFormat="1" ht="18" customHeight="1">
      <c r="A20" s="387">
        <f ca="1">IF(ROWS($1:6)&gt;COUNT(Dong5),"",OFFSET(TH!C$1,SMALL(Dong5,ROWS($1:6)),))</f>
        <v>42448</v>
      </c>
      <c r="B20" s="387" t="str">
        <f ca="1">IF(ROWS($1:6)&gt;COUNT(Dong5),"",OFFSET(TH!D$1,SMALL(Dong5,ROWS($1:6)),))</f>
        <v>T04</v>
      </c>
      <c r="C20" s="387">
        <f ca="1">IF(ROWS($1:6)&gt;COUNT(Dong5),"",OFFSET(TH!E$1,SMALL(Dong5,ROWS($1:6)),))</f>
        <v>42448</v>
      </c>
      <c r="D20" s="480" t="str">
        <f ca="1">IF(ROWS($1:6)&gt;COUNT(Dong5),"",OFFSET(TH!F$1,SMALL(Dong5,ROWS($1:6)),))</f>
        <v>Thu vốn mượn</v>
      </c>
      <c r="E20" s="387" t="str">
        <f ca="1">IF(ROWS($1:6)&gt;COUNT(Dong5),"",IF(OFFSET(TH!N$1,SMALL(Dong5,ROWS($1:6)),)=$E$7,OFFSET(TH!O$1,SMALL(Dong5,ROWS($1:6)),),OFFSET(TH!N$1,SMALL(Dong5,ROWS($1:6)),)))</f>
        <v>1111</v>
      </c>
      <c r="F20" s="481">
        <f ca="1">IF(ROWS($1:6)&gt;COUNT(Dong5),0,IF(OFFSET(TH!N$1,SMALL(Dong5,ROWS($1:6)),)=$E$7,OFFSET(TH!M$1,SMALL(Dong5,ROWS($1:6)),),0))</f>
        <v>0</v>
      </c>
      <c r="G20" s="479">
        <f ca="1">IF(ROWS($1:6)&gt;COUNT(Dong5),0,IF(OFFSET(TH!O$1,SMALL(Dong5,ROWS($1:6)),)=$E$7,OFFSET(TH!M$1,SMALL(Dong5,ROWS($1:6)),),0))</f>
        <v>50000000</v>
      </c>
      <c r="H20" s="482">
        <f t="shared" ca="1" si="0"/>
        <v>0</v>
      </c>
      <c r="I20" s="482">
        <f t="shared" ca="1" si="1"/>
        <v>0</v>
      </c>
    </row>
    <row r="21" spans="1:9" s="18" customFormat="1" ht="18" customHeight="1">
      <c r="A21" s="387">
        <f ca="1">IF(ROWS($1:7)&gt;COUNT(Dong5),"",OFFSET(TH!C$1,SMALL(Dong5,ROWS($1:7)),))</f>
        <v>42481</v>
      </c>
      <c r="B21" s="387" t="str">
        <f ca="1">IF(ROWS($1:7)&gt;COUNT(Dong5),"",OFFSET(TH!D$1,SMALL(Dong5,ROWS($1:7)),))</f>
        <v>GBC</v>
      </c>
      <c r="C21" s="387">
        <f ca="1">IF(ROWS($1:7)&gt;COUNT(Dong5),"",OFFSET(TH!E$1,SMALL(Dong5,ROWS($1:7)),))</f>
        <v>42481</v>
      </c>
      <c r="D21" s="480" t="str">
        <f ca="1">IF(ROWS($1:7)&gt;COUNT(Dong5),"",OFFSET(TH!F$1,SMALL(Dong5,ROWS($1:7)),)&amp;" - "&amp;OFFSET(TH!H$1,SMALL(Dong5,ROWS($1:7)),))</f>
        <v>Ứng vốn - Cty TNHH Hải Sản An Lạc</v>
      </c>
      <c r="E21" s="387" t="str">
        <f ca="1">IF(ROWS($1:7)&gt;COUNT(Dong5),"",IF(OFFSET(TH!N$1,SMALL(Dong5,ROWS($1:7)),)=$E$7,OFFSET(TH!O$1,SMALL(Dong5,ROWS($1:7)),),OFFSET(TH!N$1,SMALL(Dong5,ROWS($1:7)),)))</f>
        <v>1121</v>
      </c>
      <c r="F21" s="481">
        <f ca="1">IF(ROWS($1:7)&gt;COUNT(Dong5),0,IF(OFFSET(TH!N$1,SMALL(Dong5,ROWS($1:7)),)=$E$7,OFFSET(TH!M$1,SMALL(Dong5,ROWS($1:7)),),0))</f>
        <v>0</v>
      </c>
      <c r="G21" s="479">
        <f ca="1">IF(ROWS($1:7)&gt;COUNT(Dong5),0,IF(OFFSET(TH!O$1,SMALL(Dong5,ROWS($1:7)),)=$E$7,OFFSET(TH!M$1,SMALL(Dong5,ROWS($1:7)),),0))</f>
        <v>40000000</v>
      </c>
      <c r="H21" s="482">
        <f t="shared" ca="1" si="0"/>
        <v>0</v>
      </c>
      <c r="I21" s="482">
        <f t="shared" ca="1" si="1"/>
        <v>40000000</v>
      </c>
    </row>
    <row r="22" spans="1:9" s="18" customFormat="1" ht="18" customHeight="1">
      <c r="A22" s="387">
        <f ca="1">IF(ROWS($1:8)&gt;COUNT(Dong5),"",OFFSET(TH!C$1,SMALL(Dong5,ROWS($1:8)),))</f>
        <v>42481</v>
      </c>
      <c r="B22" s="387" t="str">
        <f ca="1">IF(ROWS($1:8)&gt;COUNT(Dong5),"",OFFSET(TH!D$1,SMALL(Dong5,ROWS($1:8)),))</f>
        <v>C18</v>
      </c>
      <c r="C22" s="387">
        <f ca="1">IF(ROWS($1:8)&gt;COUNT(Dong5),"",OFFSET(TH!E$1,SMALL(Dong5,ROWS($1:8)),))</f>
        <v>42481</v>
      </c>
      <c r="D22" s="480" t="str">
        <f ca="1">IF(ROWS($1:8)&gt;COUNT(Dong5),"",OFFSET(TH!F$1,SMALL(Dong5,ROWS($1:8)),)&amp;" - "&amp;OFFSET(TH!H$1,SMALL(Dong5,ROWS($1:8)),))</f>
        <v>Trả vốn mượn - Cty TNHH Hải Sản An Lạc</v>
      </c>
      <c r="E22" s="387" t="str">
        <f ca="1">IF(ROWS($1:8)&gt;COUNT(Dong5),"",IF(OFFSET(TH!N$1,SMALL(Dong5,ROWS($1:8)),)=$E$7,OFFSET(TH!O$1,SMALL(Dong5,ROWS($1:8)),),OFFSET(TH!N$1,SMALL(Dong5,ROWS($1:8)),)))</f>
        <v>1111</v>
      </c>
      <c r="F22" s="481">
        <f ca="1">IF(ROWS($1:8)&gt;COUNT(Dong5),0,IF(OFFSET(TH!N$1,SMALL(Dong5,ROWS($1:8)),)=$E$7,OFFSET(TH!M$1,SMALL(Dong5,ROWS($1:8)),),0))</f>
        <v>40000000</v>
      </c>
      <c r="G22" s="479">
        <f ca="1">IF(ROWS($1:8)&gt;COUNT(Dong5),0,IF(OFFSET(TH!O$1,SMALL(Dong5,ROWS($1:8)),)=$E$7,OFFSET(TH!M$1,SMALL(Dong5,ROWS($1:8)),),0))</f>
        <v>0</v>
      </c>
      <c r="H22" s="482">
        <f t="shared" ca="1" si="0"/>
        <v>0</v>
      </c>
      <c r="I22" s="482">
        <f t="shared" ca="1" si="1"/>
        <v>0</v>
      </c>
    </row>
    <row r="23" spans="1:9" s="18" customFormat="1" ht="18" customHeight="1">
      <c r="A23" s="387">
        <f ca="1">IF(ROWS($1:9)&gt;COUNT(Dong5),"",OFFSET(TH!C$1,SMALL(Dong5,ROWS($1:9)),))</f>
        <v>42494</v>
      </c>
      <c r="B23" s="387" t="str">
        <f ca="1">IF(ROWS($1:9)&gt;COUNT(Dong5),"",OFFSET(TH!D$1,SMALL(Dong5,ROWS($1:9)),))</f>
        <v>GBC</v>
      </c>
      <c r="C23" s="387">
        <f ca="1">IF(ROWS($1:9)&gt;COUNT(Dong5),"",OFFSET(TH!E$1,SMALL(Dong5,ROWS($1:9)),))</f>
        <v>42494</v>
      </c>
      <c r="D23" s="480" t="str">
        <f ca="1">IF(ROWS($1:9)&gt;COUNT(Dong5),"",OFFSET(TH!F$1,SMALL(Dong5,ROWS($1:9)),)&amp;" - "&amp;OFFSET(TH!H$1,SMALL(Dong5,ROWS($1:9)),))</f>
        <v>Ứng vốn - Cty TNHH Hải Sản An Lạc</v>
      </c>
      <c r="E23" s="387" t="str">
        <f ca="1">IF(ROWS($1:9)&gt;COUNT(Dong5),"",IF(OFFSET(TH!N$1,SMALL(Dong5,ROWS($1:9)),)=$E$7,OFFSET(TH!O$1,SMALL(Dong5,ROWS($1:9)),),OFFSET(TH!N$1,SMALL(Dong5,ROWS($1:9)),)))</f>
        <v>1121</v>
      </c>
      <c r="F23" s="481">
        <f ca="1">IF(ROWS($1:9)&gt;COUNT(Dong5),0,IF(OFFSET(TH!N$1,SMALL(Dong5,ROWS($1:9)),)=$E$7,OFFSET(TH!M$1,SMALL(Dong5,ROWS($1:9)),),0))</f>
        <v>0</v>
      </c>
      <c r="G23" s="479">
        <f ca="1">IF(ROWS($1:9)&gt;COUNT(Dong5),0,IF(OFFSET(TH!O$1,SMALL(Dong5,ROWS($1:9)),)=$E$7,OFFSET(TH!M$1,SMALL(Dong5,ROWS($1:9)),),0))</f>
        <v>95000000</v>
      </c>
      <c r="H23" s="482">
        <f t="shared" ca="1" si="0"/>
        <v>0</v>
      </c>
      <c r="I23" s="482">
        <f t="shared" ca="1" si="1"/>
        <v>95000000</v>
      </c>
    </row>
    <row r="24" spans="1:9" s="18" customFormat="1" ht="18" customHeight="1">
      <c r="A24" s="387">
        <f ca="1">IF(ROWS($1:10)&gt;COUNT(Dong5),"",OFFSET(TH!C$1,SMALL(Dong5,ROWS($1:10)),))</f>
        <v>42494</v>
      </c>
      <c r="B24" s="387" t="str">
        <f ca="1">IF(ROWS($1:10)&gt;COUNT(Dong5),"",OFFSET(TH!D$1,SMALL(Dong5,ROWS($1:10)),))</f>
        <v>C25</v>
      </c>
      <c r="C24" s="387">
        <f ca="1">IF(ROWS($1:10)&gt;COUNT(Dong5),"",OFFSET(TH!E$1,SMALL(Dong5,ROWS($1:10)),))</f>
        <v>42494</v>
      </c>
      <c r="D24" s="480" t="str">
        <f ca="1">IF(ROWS($1:10)&gt;COUNT(Dong5),"",OFFSET(TH!F$1,SMALL(Dong5,ROWS($1:10)),)&amp;" - "&amp;OFFSET(TH!H$1,SMALL(Dong5,ROWS($1:10)),))</f>
        <v>Trả vốn mượn - Cty TNHH Hải Sản An Lạc</v>
      </c>
      <c r="E24" s="387" t="str">
        <f ca="1">IF(ROWS($1:10)&gt;COUNT(Dong5),"",IF(OFFSET(TH!N$1,SMALL(Dong5,ROWS($1:10)),)=$E$7,OFFSET(TH!O$1,SMALL(Dong5,ROWS($1:10)),),OFFSET(TH!N$1,SMALL(Dong5,ROWS($1:10)),)))</f>
        <v>1111</v>
      </c>
      <c r="F24" s="481">
        <f ca="1">IF(ROWS($1:10)&gt;COUNT(Dong5),0,IF(OFFSET(TH!N$1,SMALL(Dong5,ROWS($1:10)),)=$E$7,OFFSET(TH!M$1,SMALL(Dong5,ROWS($1:10)),),0))</f>
        <v>95000000</v>
      </c>
      <c r="G24" s="479">
        <f ca="1">IF(ROWS($1:10)&gt;COUNT(Dong5),0,IF(OFFSET(TH!O$1,SMALL(Dong5,ROWS($1:10)),)=$E$7,OFFSET(TH!M$1,SMALL(Dong5,ROWS($1:10)),),0))</f>
        <v>0</v>
      </c>
      <c r="H24" s="482">
        <f t="shared" ca="1" si="0"/>
        <v>0</v>
      </c>
      <c r="I24" s="482">
        <f t="shared" ca="1" si="1"/>
        <v>0</v>
      </c>
    </row>
    <row r="25" spans="1:9" s="18" customFormat="1" ht="18" customHeight="1">
      <c r="A25" s="387">
        <f ca="1">IF(ROWS($1:11)&gt;COUNT(Dong5),"",OFFSET(TH!C$1,SMALL(Dong5,ROWS($1:11)),))</f>
        <v>42509</v>
      </c>
      <c r="B25" s="387" t="str">
        <f ca="1">IF(ROWS($1:11)&gt;COUNT(Dong5),"",OFFSET(TH!D$1,SMALL(Dong5,ROWS($1:11)),))</f>
        <v>GBC</v>
      </c>
      <c r="C25" s="387">
        <f ca="1">IF(ROWS($1:11)&gt;COUNT(Dong5),"",OFFSET(TH!E$1,SMALL(Dong5,ROWS($1:11)),))</f>
        <v>42509</v>
      </c>
      <c r="D25" s="480" t="str">
        <f ca="1">IF(ROWS($1:11)&gt;COUNT(Dong5),"",OFFSET(TH!F$1,SMALL(Dong5,ROWS($1:11)),))</f>
        <v>Ứng vốn</v>
      </c>
      <c r="E25" s="387" t="str">
        <f ca="1">IF(ROWS($1:11)&gt;COUNT(Dong5),"",IF(OFFSET(TH!N$1,SMALL(Dong5,ROWS($1:11)),)=$E$7,OFFSET(TH!O$1,SMALL(Dong5,ROWS($1:11)),),OFFSET(TH!N$1,SMALL(Dong5,ROWS($1:11)),)))</f>
        <v>1121</v>
      </c>
      <c r="F25" s="481">
        <f ca="1">IF(ROWS($1:11)&gt;COUNT(Dong5),0,IF(OFFSET(TH!N$1,SMALL(Dong5,ROWS($1:11)),)=$E$7,OFFSET(TH!M$1,SMALL(Dong5,ROWS($1:11)),),0))</f>
        <v>0</v>
      </c>
      <c r="G25" s="479">
        <f ca="1">IF(ROWS($1:11)&gt;COUNT(Dong5),0,IF(OFFSET(TH!O$1,SMALL(Dong5,ROWS($1:11)),)=$E$7,OFFSET(TH!M$1,SMALL(Dong5,ROWS($1:11)),),0))</f>
        <v>14000000</v>
      </c>
      <c r="H25" s="482">
        <f t="shared" ca="1" si="0"/>
        <v>0</v>
      </c>
      <c r="I25" s="482">
        <f t="shared" ca="1" si="1"/>
        <v>14000000</v>
      </c>
    </row>
    <row r="26" spans="1:9" s="18" customFormat="1" ht="18" customHeight="1">
      <c r="A26" s="387">
        <f ca="1">IF(ROWS($1:12)&gt;COUNT(Dong5),"",OFFSET(TH!C$1,SMALL(Dong5,ROWS($1:12)),))</f>
        <v>42509</v>
      </c>
      <c r="B26" s="387" t="str">
        <f ca="1">IF(ROWS($1:12)&gt;COUNT(Dong5),"",OFFSET(TH!D$1,SMALL(Dong5,ROWS($1:12)),))</f>
        <v>C32</v>
      </c>
      <c r="C26" s="387">
        <f ca="1">IF(ROWS($1:12)&gt;COUNT(Dong5),"",OFFSET(TH!E$1,SMALL(Dong5,ROWS($1:12)),))</f>
        <v>42509</v>
      </c>
      <c r="D26" s="480" t="str">
        <f ca="1">IF(ROWS($1:12)&gt;COUNT(Dong5),"",OFFSET(TH!F$1,SMALL(Dong5,ROWS($1:12)),))</f>
        <v>Trả vốn mượn</v>
      </c>
      <c r="E26" s="387" t="str">
        <f ca="1">IF(ROWS($1:12)&gt;COUNT(Dong5),"",IF(OFFSET(TH!N$1,SMALL(Dong5,ROWS($1:12)),)=$E$7,OFFSET(TH!O$1,SMALL(Dong5,ROWS($1:12)),),OFFSET(TH!N$1,SMALL(Dong5,ROWS($1:12)),)))</f>
        <v>1111</v>
      </c>
      <c r="F26" s="481">
        <f ca="1">IF(ROWS($1:12)&gt;COUNT(Dong5),0,IF(OFFSET(TH!N$1,SMALL(Dong5,ROWS($1:12)),)=$E$7,OFFSET(TH!M$1,SMALL(Dong5,ROWS($1:12)),),0))</f>
        <v>14000000</v>
      </c>
      <c r="G26" s="479">
        <f ca="1">IF(ROWS($1:12)&gt;COUNT(Dong5),0,IF(OFFSET(TH!O$1,SMALL(Dong5,ROWS($1:12)),)=$E$7,OFFSET(TH!M$1,SMALL(Dong5,ROWS($1:12)),),0))</f>
        <v>0</v>
      </c>
      <c r="H26" s="482">
        <f t="shared" ca="1" si="0"/>
        <v>0</v>
      </c>
      <c r="I26" s="482">
        <f t="shared" ca="1" si="1"/>
        <v>0</v>
      </c>
    </row>
    <row r="27" spans="1:9" s="18" customFormat="1" ht="18" customHeight="1">
      <c r="A27" s="387">
        <f ca="1">IF(ROWS($1:13)&gt;COUNT(Dong5),"",OFFSET(TH!C$1,SMALL(Dong5,ROWS($1:13)),))</f>
        <v>42515</v>
      </c>
      <c r="B27" s="387" t="str">
        <f ca="1">IF(ROWS($1:13)&gt;COUNT(Dong5),"",OFFSET(TH!D$1,SMALL(Dong5,ROWS($1:13)),))</f>
        <v>GBC</v>
      </c>
      <c r="C27" s="387">
        <f ca="1">IF(ROWS($1:13)&gt;COUNT(Dong5),"",OFFSET(TH!E$1,SMALL(Dong5,ROWS($1:13)),))</f>
        <v>42515</v>
      </c>
      <c r="D27" s="480" t="str">
        <f ca="1">IF(ROWS($1:13)&gt;COUNT(Dong5),"",OFFSET(TH!F$1,SMALL(Dong5,ROWS($1:13)),))</f>
        <v>Ứng vốn</v>
      </c>
      <c r="E27" s="387" t="str">
        <f ca="1">IF(ROWS($1:13)&gt;COUNT(Dong5),"",IF(OFFSET(TH!N$1,SMALL(Dong5,ROWS($1:13)),)=$E$7,OFFSET(TH!O$1,SMALL(Dong5,ROWS($1:13)),),OFFSET(TH!N$1,SMALL(Dong5,ROWS($1:13)),)))</f>
        <v>1121</v>
      </c>
      <c r="F27" s="481">
        <f ca="1">IF(ROWS($1:13)&gt;COUNT(Dong5),0,IF(OFFSET(TH!N$1,SMALL(Dong5,ROWS($1:13)),)=$E$7,OFFSET(TH!M$1,SMALL(Dong5,ROWS($1:13)),),0))</f>
        <v>0</v>
      </c>
      <c r="G27" s="479">
        <f ca="1">IF(ROWS($1:13)&gt;COUNT(Dong5),0,IF(OFFSET(TH!O$1,SMALL(Dong5,ROWS($1:13)),)=$E$7,OFFSET(TH!M$1,SMALL(Dong5,ROWS($1:13)),),0))</f>
        <v>85000000</v>
      </c>
      <c r="H27" s="482">
        <f t="shared" ca="1" si="0"/>
        <v>0</v>
      </c>
      <c r="I27" s="482">
        <f t="shared" ca="1" si="1"/>
        <v>85000000</v>
      </c>
    </row>
    <row r="28" spans="1:9" s="18" customFormat="1" ht="18" customHeight="1">
      <c r="A28" s="387">
        <f ca="1">IF(ROWS($1:14)&gt;COUNT(Dong5),"",OFFSET(TH!C$1,SMALL(Dong5,ROWS($1:14)),))</f>
        <v>42515</v>
      </c>
      <c r="B28" s="387" t="str">
        <f ca="1">IF(ROWS($1:14)&gt;COUNT(Dong5),"",OFFSET(TH!D$1,SMALL(Dong5,ROWS($1:14)),))</f>
        <v>C34</v>
      </c>
      <c r="C28" s="387">
        <f ca="1">IF(ROWS($1:14)&gt;COUNT(Dong5),"",OFFSET(TH!E$1,SMALL(Dong5,ROWS($1:14)),))</f>
        <v>42515</v>
      </c>
      <c r="D28" s="480" t="str">
        <f ca="1">IF(ROWS($1:14)&gt;COUNT(Dong5),"",OFFSET(TH!F$1,SMALL(Dong5,ROWS($1:14)),))</f>
        <v>Trả vốn mượn</v>
      </c>
      <c r="E28" s="387" t="str">
        <f ca="1">IF(ROWS($1:14)&gt;COUNT(Dong5),"",IF(OFFSET(TH!N$1,SMALL(Dong5,ROWS($1:14)),)=$E$7,OFFSET(TH!O$1,SMALL(Dong5,ROWS($1:14)),),OFFSET(TH!N$1,SMALL(Dong5,ROWS($1:14)),)))</f>
        <v>1111</v>
      </c>
      <c r="F28" s="481">
        <f ca="1">IF(ROWS($1:14)&gt;COUNT(Dong5),0,IF(OFFSET(TH!N$1,SMALL(Dong5,ROWS($1:14)),)=$E$7,OFFSET(TH!M$1,SMALL(Dong5,ROWS($1:14)),),0))</f>
        <v>85000000</v>
      </c>
      <c r="G28" s="479">
        <f ca="1">IF(ROWS($1:14)&gt;COUNT(Dong5),0,IF(OFFSET(TH!O$1,SMALL(Dong5,ROWS($1:14)),)=$E$7,OFFSET(TH!M$1,SMALL(Dong5,ROWS($1:14)),),0))</f>
        <v>0</v>
      </c>
      <c r="H28" s="482">
        <f t="shared" ca="1" si="0"/>
        <v>0</v>
      </c>
      <c r="I28" s="482">
        <f t="shared" ca="1" si="1"/>
        <v>0</v>
      </c>
    </row>
    <row r="29" spans="1:9" s="18" customFormat="1" ht="18" customHeight="1">
      <c r="A29" s="387">
        <f ca="1">IF(ROWS($1:15)&gt;COUNT(Dong5),"",OFFSET(TH!C$1,SMALL(Dong5,ROWS($1:15)),))</f>
        <v>42538</v>
      </c>
      <c r="B29" s="387" t="str">
        <f ca="1">IF(ROWS($1:15)&gt;COUNT(Dong5),"",OFFSET(TH!D$1,SMALL(Dong5,ROWS($1:15)),))</f>
        <v>GBC</v>
      </c>
      <c r="C29" s="387">
        <f ca="1">IF(ROWS($1:15)&gt;COUNT(Dong5),"",OFFSET(TH!E$1,SMALL(Dong5,ROWS($1:15)),))</f>
        <v>42538</v>
      </c>
      <c r="D29" s="480" t="str">
        <f ca="1">IF(ROWS($1:15)&gt;COUNT(Dong5),"",OFFSET(TH!F$1,SMALL(Dong5,ROWS($1:15)),))</f>
        <v>Ứng vốn</v>
      </c>
      <c r="E29" s="387" t="str">
        <f ca="1">IF(ROWS($1:15)&gt;COUNT(Dong5),"",IF(OFFSET(TH!N$1,SMALL(Dong5,ROWS($1:15)),)=$E$7,OFFSET(TH!O$1,SMALL(Dong5,ROWS($1:15)),),OFFSET(TH!N$1,SMALL(Dong5,ROWS($1:15)),)))</f>
        <v>1121</v>
      </c>
      <c r="F29" s="481">
        <f ca="1">IF(ROWS($1:15)&gt;COUNT(Dong5),0,IF(OFFSET(TH!N$1,SMALL(Dong5,ROWS($1:15)),)=$E$7,OFFSET(TH!M$1,SMALL(Dong5,ROWS($1:15)),),0))</f>
        <v>0</v>
      </c>
      <c r="G29" s="479">
        <f ca="1">IF(ROWS($1:15)&gt;COUNT(Dong5),0,IF(OFFSET(TH!O$1,SMALL(Dong5,ROWS($1:15)),)=$E$7,OFFSET(TH!M$1,SMALL(Dong5,ROWS($1:15)),),0))</f>
        <v>1975000000</v>
      </c>
      <c r="H29" s="482">
        <f t="shared" ca="1" si="0"/>
        <v>0</v>
      </c>
      <c r="I29" s="482">
        <f t="shared" ca="1" si="1"/>
        <v>1975000000</v>
      </c>
    </row>
    <row r="30" spans="1:9" s="18" customFormat="1" ht="18" customHeight="1">
      <c r="A30" s="387">
        <f ca="1">IF(ROWS($1:16)&gt;COUNT(Dong5),"",OFFSET(TH!C$1,SMALL(Dong5,ROWS($1:16)),))</f>
        <v>42543</v>
      </c>
      <c r="B30" s="387" t="str">
        <f ca="1">IF(ROWS($1:16)&gt;COUNT(Dong5),"",OFFSET(TH!D$1,SMALL(Dong5,ROWS($1:16)),))</f>
        <v>GBN</v>
      </c>
      <c r="C30" s="387">
        <f ca="1">IF(ROWS($1:16)&gt;COUNT(Dong5),"",OFFSET(TH!E$1,SMALL(Dong5,ROWS($1:16)),))</f>
        <v>42543</v>
      </c>
      <c r="D30" s="480" t="str">
        <f ca="1">IF(ROWS($1:16)&gt;COUNT(Dong5),"",OFFSET(TH!F$1,SMALL(Dong5,ROWS($1:16)),))</f>
        <v>Hoàn vốn AL - Q4</v>
      </c>
      <c r="E30" s="387" t="str">
        <f ca="1">IF(ROWS($1:16)&gt;COUNT(Dong5),"",IF(OFFSET(TH!N$1,SMALL(Dong5,ROWS($1:16)),)=$E$7,OFFSET(TH!O$1,SMALL(Dong5,ROWS($1:16)),),OFFSET(TH!N$1,SMALL(Dong5,ROWS($1:16)),)))</f>
        <v>1121</v>
      </c>
      <c r="F30" s="481">
        <f ca="1">IF(ROWS($1:16)&gt;COUNT(Dong5),0,IF(OFFSET(TH!N$1,SMALL(Dong5,ROWS($1:16)),)=$E$7,OFFSET(TH!M$1,SMALL(Dong5,ROWS($1:16)),),0))</f>
        <v>8000000</v>
      </c>
      <c r="G30" s="479">
        <f ca="1">IF(ROWS($1:16)&gt;COUNT(Dong5),0,IF(OFFSET(TH!O$1,SMALL(Dong5,ROWS($1:16)),)=$E$7,OFFSET(TH!M$1,SMALL(Dong5,ROWS($1:16)),),0))</f>
        <v>0</v>
      </c>
      <c r="H30" s="482">
        <f t="shared" ca="1" si="0"/>
        <v>0</v>
      </c>
      <c r="I30" s="482">
        <f t="shared" ca="1" si="1"/>
        <v>1967000000</v>
      </c>
    </row>
    <row r="31" spans="1:9" s="18" customFormat="1" ht="18" customHeight="1">
      <c r="A31" s="387">
        <f ca="1">IF(ROWS($1:17)&gt;COUNT(Dong5),"",OFFSET(TH!C$1,SMALL(Dong5,ROWS($1:17)),))</f>
        <v>42543</v>
      </c>
      <c r="B31" s="387" t="str">
        <f ca="1">IF(ROWS($1:17)&gt;COUNT(Dong5),"",OFFSET(TH!D$1,SMALL(Dong5,ROWS($1:17)),))</f>
        <v>GBN</v>
      </c>
      <c r="C31" s="387">
        <f ca="1">IF(ROWS($1:17)&gt;COUNT(Dong5),"",OFFSET(TH!E$1,SMALL(Dong5,ROWS($1:17)),))</f>
        <v>42543</v>
      </c>
      <c r="D31" s="480" t="str">
        <f ca="1">IF(ROWS($1:17)&gt;COUNT(Dong5),"",OFFSET(TH!F$1,SMALL(Dong5,ROWS($1:17)),))</f>
        <v>Hoàn vốn AL - Q11</v>
      </c>
      <c r="E31" s="387" t="str">
        <f ca="1">IF(ROWS($1:17)&gt;COUNT(Dong5),"",IF(OFFSET(TH!N$1,SMALL(Dong5,ROWS($1:17)),)=$E$7,OFFSET(TH!O$1,SMALL(Dong5,ROWS($1:17)),),OFFSET(TH!N$1,SMALL(Dong5,ROWS($1:17)),)))</f>
        <v>1121</v>
      </c>
      <c r="F31" s="481">
        <f ca="1">IF(ROWS($1:17)&gt;COUNT(Dong5),0,IF(OFFSET(TH!N$1,SMALL(Dong5,ROWS($1:17)),)=$E$7,OFFSET(TH!M$1,SMALL(Dong5,ROWS($1:17)),),0))</f>
        <v>7000000</v>
      </c>
      <c r="G31" s="479">
        <f ca="1">IF(ROWS($1:17)&gt;COUNT(Dong5),0,IF(OFFSET(TH!O$1,SMALL(Dong5,ROWS($1:17)),)=$E$7,OFFSET(TH!M$1,SMALL(Dong5,ROWS($1:17)),),0))</f>
        <v>0</v>
      </c>
      <c r="H31" s="482">
        <f t="shared" ca="1" si="0"/>
        <v>0</v>
      </c>
      <c r="I31" s="482">
        <f t="shared" ca="1" si="1"/>
        <v>1960000000</v>
      </c>
    </row>
    <row r="32" spans="1:9" s="18" customFormat="1" ht="18" customHeight="1">
      <c r="A32" s="387">
        <f ca="1">IF(ROWS($1:18)&gt;COUNT(Dong5),"",OFFSET(TH!C$1,SMALL(Dong5,ROWS($1:18)),))</f>
        <v>42544</v>
      </c>
      <c r="B32" s="387" t="str">
        <f ca="1">IF(ROWS($1:18)&gt;COUNT(Dong5),"",OFFSET(TH!D$1,SMALL(Dong5,ROWS($1:18)),))</f>
        <v>C47</v>
      </c>
      <c r="C32" s="387">
        <f ca="1">IF(ROWS($1:18)&gt;COUNT(Dong5),"",OFFSET(TH!E$1,SMALL(Dong5,ROWS($1:18)),))</f>
        <v>42544</v>
      </c>
      <c r="D32" s="480" t="str">
        <f ca="1">IF(ROWS($1:18)&gt;COUNT(Dong5),"",OFFSET(TH!F$1,SMALL(Dong5,ROWS($1:18)),))</f>
        <v>Hoàn vốn mượn</v>
      </c>
      <c r="E32" s="387" t="str">
        <f ca="1">IF(ROWS($1:18)&gt;COUNT(Dong5),"",IF(OFFSET(TH!N$1,SMALL(Dong5,ROWS($1:18)),)=$E$7,OFFSET(TH!O$1,SMALL(Dong5,ROWS($1:18)),),OFFSET(TH!N$1,SMALL(Dong5,ROWS($1:18)),)))</f>
        <v>1111</v>
      </c>
      <c r="F32" s="481">
        <f ca="1">IF(ROWS($1:18)&gt;COUNT(Dong5),0,IF(OFFSET(TH!N$1,SMALL(Dong5,ROWS($1:18)),)=$E$7,OFFSET(TH!M$1,SMALL(Dong5,ROWS($1:18)),),0))</f>
        <v>1960000000</v>
      </c>
      <c r="G32" s="479">
        <f ca="1">IF(ROWS($1:18)&gt;COUNT(Dong5),0,IF(OFFSET(TH!O$1,SMALL(Dong5,ROWS($1:18)),)=$E$7,OFFSET(TH!M$1,SMALL(Dong5,ROWS($1:18)),),0))</f>
        <v>0</v>
      </c>
      <c r="H32" s="482">
        <f t="shared" ca="1" si="0"/>
        <v>0</v>
      </c>
      <c r="I32" s="482">
        <f t="shared" ca="1" si="1"/>
        <v>0</v>
      </c>
    </row>
    <row r="33" spans="1:9" s="18" customFormat="1" ht="18" customHeight="1">
      <c r="A33" s="387">
        <f ca="1">IF(ROWS($1:19)&gt;COUNT(Dong5),"",OFFSET(TH!C$1,SMALL(Dong5,ROWS($1:19)),))</f>
        <v>42549</v>
      </c>
      <c r="B33" s="387" t="str">
        <f ca="1">IF(ROWS($1:19)&gt;COUNT(Dong5),"",OFFSET(TH!D$1,SMALL(Dong5,ROWS($1:19)),))</f>
        <v>GBC</v>
      </c>
      <c r="C33" s="387">
        <f ca="1">IF(ROWS($1:19)&gt;COUNT(Dong5),"",OFFSET(TH!E$1,SMALL(Dong5,ROWS($1:19)),))</f>
        <v>42549</v>
      </c>
      <c r="D33" s="480" t="str">
        <f ca="1">IF(ROWS($1:19)&gt;COUNT(Dong5),"",OFFSET(TH!F$1,SMALL(Dong5,ROWS($1:19)),))</f>
        <v>Ứng vốn</v>
      </c>
      <c r="E33" s="387" t="str">
        <f ca="1">IF(ROWS($1:19)&gt;COUNT(Dong5),"",IF(OFFSET(TH!N$1,SMALL(Dong5,ROWS($1:19)),)=$E$7,OFFSET(TH!O$1,SMALL(Dong5,ROWS($1:19)),),OFFSET(TH!N$1,SMALL(Dong5,ROWS($1:19)),)))</f>
        <v>1121</v>
      </c>
      <c r="F33" s="481">
        <f ca="1">IF(ROWS($1:19)&gt;COUNT(Dong5),0,IF(OFFSET(TH!N$1,SMALL(Dong5,ROWS($1:19)),)=$E$7,OFFSET(TH!M$1,SMALL(Dong5,ROWS($1:19)),),0))</f>
        <v>0</v>
      </c>
      <c r="G33" s="479">
        <f ca="1">IF(ROWS($1:19)&gt;COUNT(Dong5),0,IF(OFFSET(TH!O$1,SMALL(Dong5,ROWS($1:19)),)=$E$7,OFFSET(TH!M$1,SMALL(Dong5,ROWS($1:19)),),0))</f>
        <v>31000000</v>
      </c>
      <c r="H33" s="482">
        <f t="shared" ref="H33:H46" ca="1" si="2">IF(D33&lt;&gt;"",MAX(H32+F33-G33-I32,0),0)</f>
        <v>0</v>
      </c>
      <c r="I33" s="482">
        <f t="shared" ref="I33:I46" ca="1" si="3">IF(D33&lt;&gt;"",MAX(I32+G33-H32-F33,0),0)</f>
        <v>31000000</v>
      </c>
    </row>
    <row r="34" spans="1:9" s="18" customFormat="1" ht="18" customHeight="1">
      <c r="A34" s="387">
        <f ca="1">IF(ROWS($1:20)&gt;COUNT(Dong5),"",OFFSET(TH!C$1,SMALL(Dong5,ROWS($1:20)),))</f>
        <v>42549</v>
      </c>
      <c r="B34" s="387" t="str">
        <f ca="1">IF(ROWS($1:20)&gt;COUNT(Dong5),"",OFFSET(TH!D$1,SMALL(Dong5,ROWS($1:20)),))</f>
        <v>C52</v>
      </c>
      <c r="C34" s="387">
        <f ca="1">IF(ROWS($1:20)&gt;COUNT(Dong5),"",OFFSET(TH!E$1,SMALL(Dong5,ROWS($1:20)),))</f>
        <v>42549</v>
      </c>
      <c r="D34" s="480" t="str">
        <f ca="1">IF(ROWS($1:20)&gt;COUNT(Dong5),"",OFFSET(TH!F$1,SMALL(Dong5,ROWS($1:20)),))</f>
        <v>Hoàn trả vốn mượn</v>
      </c>
      <c r="E34" s="387" t="str">
        <f ca="1">IF(ROWS($1:20)&gt;COUNT(Dong5),"",IF(OFFSET(TH!N$1,SMALL(Dong5,ROWS($1:20)),)=$E$7,OFFSET(TH!O$1,SMALL(Dong5,ROWS($1:20)),),OFFSET(TH!N$1,SMALL(Dong5,ROWS($1:20)),)))</f>
        <v>1111</v>
      </c>
      <c r="F34" s="481">
        <f ca="1">IF(ROWS($1:20)&gt;COUNT(Dong5),0,IF(OFFSET(TH!N$1,SMALL(Dong5,ROWS($1:20)),)=$E$7,OFFSET(TH!M$1,SMALL(Dong5,ROWS($1:20)),),0))</f>
        <v>31000000</v>
      </c>
      <c r="G34" s="479">
        <f ca="1">IF(ROWS($1:20)&gt;COUNT(Dong5),0,IF(OFFSET(TH!O$1,SMALL(Dong5,ROWS($1:20)),)=$E$7,OFFSET(TH!M$1,SMALL(Dong5,ROWS($1:20)),),0))</f>
        <v>0</v>
      </c>
      <c r="H34" s="482">
        <f t="shared" ca="1" si="2"/>
        <v>0</v>
      </c>
      <c r="I34" s="482">
        <f t="shared" ca="1" si="3"/>
        <v>0</v>
      </c>
    </row>
    <row r="35" spans="1:9" s="18" customFormat="1" ht="18" customHeight="1">
      <c r="A35" s="387">
        <f ca="1">IF(ROWS($1:21)&gt;COUNT(Dong5),"",OFFSET(TH!C$1,SMALL(Dong5,ROWS($1:21)),))</f>
        <v>42551</v>
      </c>
      <c r="B35" s="387" t="str">
        <f ca="1">IF(ROWS($1:21)&gt;COUNT(Dong5),"",OFFSET(TH!D$1,SMALL(Dong5,ROWS($1:21)),))</f>
        <v>CTGS</v>
      </c>
      <c r="C35" s="387">
        <f ca="1">IF(ROWS($1:21)&gt;COUNT(Dong5),"",OFFSET(TH!E$1,SMALL(Dong5,ROWS($1:21)),))</f>
        <v>42551</v>
      </c>
      <c r="D35" s="480" t="str">
        <f ca="1">IF(ROWS($1:21)&gt;COUNT(Dong5),"",OFFSET(TH!F$1,SMALL(Dong5,ROWS($1:21)),))</f>
        <v>Hoàn thuế GTGT</v>
      </c>
      <c r="E35" s="387" t="str">
        <f ca="1">IF(ROWS($1:21)&gt;COUNT(Dong5),"",IF(OFFSET(TH!N$1,SMALL(Dong5,ROWS($1:21)),)=$E$7,OFFSET(TH!O$1,SMALL(Dong5,ROWS($1:21)),),OFFSET(TH!N$1,SMALL(Dong5,ROWS($1:21)),)))</f>
        <v>1332</v>
      </c>
      <c r="F35" s="481">
        <f ca="1">IF(ROWS($1:21)&gt;COUNT(Dong5),0,IF(OFFSET(TH!N$1,SMALL(Dong5,ROWS($1:21)),)=$E$7,OFFSET(TH!M$1,SMALL(Dong5,ROWS($1:21)),),0))</f>
        <v>1219554047</v>
      </c>
      <c r="G35" s="479">
        <f ca="1">IF(ROWS($1:21)&gt;COUNT(Dong5),0,IF(OFFSET(TH!O$1,SMALL(Dong5,ROWS($1:21)),)=$E$7,OFFSET(TH!M$1,SMALL(Dong5,ROWS($1:21)),),0))</f>
        <v>0</v>
      </c>
      <c r="H35" s="482">
        <f t="shared" ca="1" si="2"/>
        <v>1219554047</v>
      </c>
      <c r="I35" s="482">
        <f t="shared" ca="1" si="3"/>
        <v>0</v>
      </c>
    </row>
    <row r="36" spans="1:9" s="18" customFormat="1" ht="18" customHeight="1">
      <c r="A36" s="387" t="str">
        <f ca="1">IF(ROWS($1:22)&gt;COUNT(Dong5),"",OFFSET(TH!C$1,SMALL(Dong5,ROWS($1:22)),))</f>
        <v/>
      </c>
      <c r="B36" s="387" t="str">
        <f ca="1">IF(ROWS($1:22)&gt;COUNT(Dong5),"",OFFSET(TH!D$1,SMALL(Dong5,ROWS($1:22)),))</f>
        <v/>
      </c>
      <c r="C36" s="387" t="str">
        <f ca="1">IF(ROWS($1:22)&gt;COUNT(Dong5),"",OFFSET(TH!E$1,SMALL(Dong5,ROWS($1:22)),))</f>
        <v/>
      </c>
      <c r="D36" s="480" t="str">
        <f ca="1">IF(ROWS($1:22)&gt;COUNT(Dong5),"",OFFSET(TH!F$1,SMALL(Dong5,ROWS($1:22)),))</f>
        <v/>
      </c>
      <c r="E36" s="387" t="str">
        <f ca="1">IF(ROWS($1:22)&gt;COUNT(Dong5),"",IF(OFFSET(TH!N$1,SMALL(Dong5,ROWS($1:22)),)=$E$7,OFFSET(TH!O$1,SMALL(Dong5,ROWS($1:22)),),OFFSET(TH!N$1,SMALL(Dong5,ROWS($1:22)),)))</f>
        <v/>
      </c>
      <c r="F36" s="481">
        <f ca="1">IF(ROWS($1:22)&gt;COUNT(Dong5),0,IF(OFFSET(TH!N$1,SMALL(Dong5,ROWS($1:22)),)=$E$7,OFFSET(TH!M$1,SMALL(Dong5,ROWS($1:22)),),0))</f>
        <v>0</v>
      </c>
      <c r="G36" s="479">
        <f ca="1">IF(ROWS($1:22)&gt;COUNT(Dong5),0,IF(OFFSET(TH!O$1,SMALL(Dong5,ROWS($1:22)),)=$E$7,OFFSET(TH!M$1,SMALL(Dong5,ROWS($1:22)),),0))</f>
        <v>0</v>
      </c>
      <c r="H36" s="482">
        <f t="shared" ca="1" si="2"/>
        <v>0</v>
      </c>
      <c r="I36" s="482">
        <f t="shared" ca="1" si="3"/>
        <v>0</v>
      </c>
    </row>
    <row r="37" spans="1:9" s="18" customFormat="1" ht="18" customHeight="1">
      <c r="A37" s="387" t="str">
        <f ca="1">IF(ROWS($1:23)&gt;COUNT(Dong5),"",OFFSET(TH!C$1,SMALL(Dong5,ROWS($1:23)),))</f>
        <v/>
      </c>
      <c r="B37" s="387" t="str">
        <f ca="1">IF(ROWS($1:23)&gt;COUNT(Dong5),"",OFFSET(TH!D$1,SMALL(Dong5,ROWS($1:23)),))</f>
        <v/>
      </c>
      <c r="C37" s="387" t="str">
        <f ca="1">IF(ROWS($1:23)&gt;COUNT(Dong5),"",OFFSET(TH!E$1,SMALL(Dong5,ROWS($1:23)),))</f>
        <v/>
      </c>
      <c r="D37" s="480" t="str">
        <f ca="1">IF(ROWS($1:23)&gt;COUNT(Dong5),"",OFFSET(TH!F$1,SMALL(Dong5,ROWS($1:23)),))</f>
        <v/>
      </c>
      <c r="E37" s="387" t="str">
        <f ca="1">IF(ROWS($1:23)&gt;COUNT(Dong5),"",IF(OFFSET(TH!N$1,SMALL(Dong5,ROWS($1:23)),)=$E$7,OFFSET(TH!O$1,SMALL(Dong5,ROWS($1:23)),),OFFSET(TH!N$1,SMALL(Dong5,ROWS($1:23)),)))</f>
        <v/>
      </c>
      <c r="F37" s="481">
        <f ca="1">IF(ROWS($1:23)&gt;COUNT(Dong5),0,IF(OFFSET(TH!N$1,SMALL(Dong5,ROWS($1:23)),)=$E$7,OFFSET(TH!M$1,SMALL(Dong5,ROWS($1:23)),),0))</f>
        <v>0</v>
      </c>
      <c r="G37" s="479">
        <f ca="1">IF(ROWS($1:23)&gt;COUNT(Dong5),0,IF(OFFSET(TH!O$1,SMALL(Dong5,ROWS($1:23)),)=$E$7,OFFSET(TH!M$1,SMALL(Dong5,ROWS($1:23)),),0))</f>
        <v>0</v>
      </c>
      <c r="H37" s="482">
        <f t="shared" ca="1" si="2"/>
        <v>0</v>
      </c>
      <c r="I37" s="482">
        <f t="shared" ca="1" si="3"/>
        <v>0</v>
      </c>
    </row>
    <row r="38" spans="1:9" s="18" customFormat="1" ht="18" customHeight="1">
      <c r="A38" s="387" t="str">
        <f ca="1">IF(ROWS($1:24)&gt;COUNT(Dong5),"",OFFSET(TH!C$1,SMALL(Dong5,ROWS($1:24)),))</f>
        <v/>
      </c>
      <c r="B38" s="387" t="str">
        <f ca="1">IF(ROWS($1:24)&gt;COUNT(Dong5),"",OFFSET(TH!D$1,SMALL(Dong5,ROWS($1:24)),))</f>
        <v/>
      </c>
      <c r="C38" s="387" t="str">
        <f ca="1">IF(ROWS($1:24)&gt;COUNT(Dong5),"",OFFSET(TH!E$1,SMALL(Dong5,ROWS($1:24)),))</f>
        <v/>
      </c>
      <c r="D38" s="480" t="str">
        <f ca="1">IF(ROWS($1:24)&gt;COUNT(Dong5),"",OFFSET(TH!F$1,SMALL(Dong5,ROWS($1:24)),))</f>
        <v/>
      </c>
      <c r="E38" s="387" t="str">
        <f ca="1">IF(ROWS($1:24)&gt;COUNT(Dong5),"",IF(OFFSET(TH!N$1,SMALL(Dong5,ROWS($1:24)),)=$E$7,OFFSET(TH!O$1,SMALL(Dong5,ROWS($1:24)),),OFFSET(TH!N$1,SMALL(Dong5,ROWS($1:24)),)))</f>
        <v/>
      </c>
      <c r="F38" s="481">
        <f ca="1">IF(ROWS($1:24)&gt;COUNT(Dong5),0,IF(OFFSET(TH!N$1,SMALL(Dong5,ROWS($1:24)),)=$E$7,OFFSET(TH!M$1,SMALL(Dong5,ROWS($1:24)),),0))</f>
        <v>0</v>
      </c>
      <c r="G38" s="479">
        <f ca="1">IF(ROWS($1:24)&gt;COUNT(Dong5),0,IF(OFFSET(TH!O$1,SMALL(Dong5,ROWS($1:24)),)=$E$7,OFFSET(TH!M$1,SMALL(Dong5,ROWS($1:24)),),0))</f>
        <v>0</v>
      </c>
      <c r="H38" s="482">
        <f t="shared" ca="1" si="2"/>
        <v>0</v>
      </c>
      <c r="I38" s="482">
        <f t="shared" ca="1" si="3"/>
        <v>0</v>
      </c>
    </row>
    <row r="39" spans="1:9" s="18" customFormat="1" ht="18" customHeight="1">
      <c r="A39" s="387" t="str">
        <f ca="1">IF(ROWS($1:25)&gt;COUNT(Dong5),"",OFFSET(TH!C$1,SMALL(Dong5,ROWS($1:25)),))</f>
        <v/>
      </c>
      <c r="B39" s="387" t="str">
        <f ca="1">IF(ROWS($1:25)&gt;COUNT(Dong5),"",OFFSET(TH!D$1,SMALL(Dong5,ROWS($1:25)),))</f>
        <v/>
      </c>
      <c r="C39" s="387" t="str">
        <f ca="1">IF(ROWS($1:25)&gt;COUNT(Dong5),"",OFFSET(TH!E$1,SMALL(Dong5,ROWS($1:25)),))</f>
        <v/>
      </c>
      <c r="D39" s="480" t="str">
        <f ca="1">IF(ROWS($1:25)&gt;COUNT(Dong5),"",OFFSET(TH!F$1,SMALL(Dong5,ROWS($1:25)),))</f>
        <v/>
      </c>
      <c r="E39" s="387" t="str">
        <f ca="1">IF(ROWS($1:25)&gt;COUNT(Dong5),"",IF(OFFSET(TH!N$1,SMALL(Dong5,ROWS($1:25)),)=$E$7,OFFSET(TH!O$1,SMALL(Dong5,ROWS($1:25)),),OFFSET(TH!N$1,SMALL(Dong5,ROWS($1:25)),)))</f>
        <v/>
      </c>
      <c r="F39" s="481">
        <f ca="1">IF(ROWS($1:25)&gt;COUNT(Dong5),0,IF(OFFSET(TH!N$1,SMALL(Dong5,ROWS($1:25)),)=$E$7,OFFSET(TH!M$1,SMALL(Dong5,ROWS($1:25)),),0))</f>
        <v>0</v>
      </c>
      <c r="G39" s="479">
        <f ca="1">IF(ROWS($1:25)&gt;COUNT(Dong5),0,IF(OFFSET(TH!O$1,SMALL(Dong5,ROWS($1:25)),)=$E$7,OFFSET(TH!M$1,SMALL(Dong5,ROWS($1:25)),),0))</f>
        <v>0</v>
      </c>
      <c r="H39" s="482">
        <f t="shared" ca="1" si="2"/>
        <v>0</v>
      </c>
      <c r="I39" s="482">
        <f t="shared" ca="1" si="3"/>
        <v>0</v>
      </c>
    </row>
    <row r="40" spans="1:9" s="18" customFormat="1" ht="18" customHeight="1">
      <c r="A40" s="387" t="str">
        <f ca="1">IF(ROWS($1:26)&gt;COUNT(Dong5),"",OFFSET(TH!C$1,SMALL(Dong5,ROWS($1:26)),))</f>
        <v/>
      </c>
      <c r="B40" s="387" t="str">
        <f ca="1">IF(ROWS($1:26)&gt;COUNT(Dong5),"",OFFSET(TH!D$1,SMALL(Dong5,ROWS($1:26)),))</f>
        <v/>
      </c>
      <c r="C40" s="387" t="str">
        <f ca="1">IF(ROWS($1:26)&gt;COUNT(Dong5),"",OFFSET(TH!E$1,SMALL(Dong5,ROWS($1:26)),))</f>
        <v/>
      </c>
      <c r="D40" s="480" t="str">
        <f ca="1">IF(ROWS($1:26)&gt;COUNT(Dong5),"",OFFSET(TH!F$1,SMALL(Dong5,ROWS($1:26)),))</f>
        <v/>
      </c>
      <c r="E40" s="387" t="str">
        <f ca="1">IF(ROWS($1:26)&gt;COUNT(Dong5),"",IF(OFFSET(TH!N$1,SMALL(Dong5,ROWS($1:26)),)=$E$7,OFFSET(TH!O$1,SMALL(Dong5,ROWS($1:26)),),OFFSET(TH!N$1,SMALL(Dong5,ROWS($1:26)),)))</f>
        <v/>
      </c>
      <c r="F40" s="481">
        <f ca="1">IF(ROWS($1:26)&gt;COUNT(Dong5),0,IF(OFFSET(TH!N$1,SMALL(Dong5,ROWS($1:26)),)=$E$7,OFFSET(TH!M$1,SMALL(Dong5,ROWS($1:26)),),0))</f>
        <v>0</v>
      </c>
      <c r="G40" s="479">
        <f ca="1">IF(ROWS($1:26)&gt;COUNT(Dong5),0,IF(OFFSET(TH!O$1,SMALL(Dong5,ROWS($1:26)),)=$E$7,OFFSET(TH!M$1,SMALL(Dong5,ROWS($1:26)),),0))</f>
        <v>0</v>
      </c>
      <c r="H40" s="482">
        <f t="shared" ca="1" si="2"/>
        <v>0</v>
      </c>
      <c r="I40" s="482">
        <f t="shared" ca="1" si="3"/>
        <v>0</v>
      </c>
    </row>
    <row r="41" spans="1:9" s="18" customFormat="1" ht="18" customHeight="1">
      <c r="A41" s="387" t="str">
        <f ca="1">IF(ROWS($1:27)&gt;COUNT(Dong5),"",OFFSET(TH!C$1,SMALL(Dong5,ROWS($1:27)),))</f>
        <v/>
      </c>
      <c r="B41" s="387" t="str">
        <f ca="1">IF(ROWS($1:27)&gt;COUNT(Dong5),"",OFFSET(TH!D$1,SMALL(Dong5,ROWS($1:27)),))</f>
        <v/>
      </c>
      <c r="C41" s="387" t="str">
        <f ca="1">IF(ROWS($1:27)&gt;COUNT(Dong5),"",OFFSET(TH!E$1,SMALL(Dong5,ROWS($1:27)),))</f>
        <v/>
      </c>
      <c r="D41" s="480" t="str">
        <f ca="1">IF(ROWS($1:27)&gt;COUNT(Dong5),"",OFFSET(TH!F$1,SMALL(Dong5,ROWS($1:27)),))</f>
        <v/>
      </c>
      <c r="E41" s="387" t="str">
        <f ca="1">IF(ROWS($1:27)&gt;COUNT(Dong5),"",IF(OFFSET(TH!N$1,SMALL(Dong5,ROWS($1:27)),)=$E$7,OFFSET(TH!O$1,SMALL(Dong5,ROWS($1:27)),),OFFSET(TH!N$1,SMALL(Dong5,ROWS($1:27)),)))</f>
        <v/>
      </c>
      <c r="F41" s="481">
        <f ca="1">IF(ROWS($1:27)&gt;COUNT(Dong5),0,IF(OFFSET(TH!N$1,SMALL(Dong5,ROWS($1:27)),)=$E$7,OFFSET(TH!M$1,SMALL(Dong5,ROWS($1:27)),),0))</f>
        <v>0</v>
      </c>
      <c r="G41" s="479">
        <f ca="1">IF(ROWS($1:27)&gt;COUNT(Dong5),0,IF(OFFSET(TH!O$1,SMALL(Dong5,ROWS($1:27)),)=$E$7,OFFSET(TH!M$1,SMALL(Dong5,ROWS($1:27)),),0))</f>
        <v>0</v>
      </c>
      <c r="H41" s="482">
        <f t="shared" ca="1" si="2"/>
        <v>0</v>
      </c>
      <c r="I41" s="482">
        <f t="shared" ca="1" si="3"/>
        <v>0</v>
      </c>
    </row>
    <row r="42" spans="1:9" s="18" customFormat="1" ht="18" customHeight="1">
      <c r="A42" s="387" t="str">
        <f ca="1">IF(ROWS($1:28)&gt;COUNT(Dong5),"",OFFSET(TH!C$1,SMALL(Dong5,ROWS($1:28)),))</f>
        <v/>
      </c>
      <c r="B42" s="387" t="str">
        <f ca="1">IF(ROWS($1:28)&gt;COUNT(Dong5),"",OFFSET(TH!D$1,SMALL(Dong5,ROWS($1:28)),))</f>
        <v/>
      </c>
      <c r="C42" s="387" t="str">
        <f ca="1">IF(ROWS($1:28)&gt;COUNT(Dong5),"",OFFSET(TH!E$1,SMALL(Dong5,ROWS($1:28)),))</f>
        <v/>
      </c>
      <c r="D42" s="480" t="str">
        <f ca="1">IF(ROWS($1:28)&gt;COUNT(Dong5),"",OFFSET(TH!F$1,SMALL(Dong5,ROWS($1:28)),))</f>
        <v/>
      </c>
      <c r="E42" s="387" t="str">
        <f ca="1">IF(ROWS($1:28)&gt;COUNT(Dong5),"",IF(OFFSET(TH!N$1,SMALL(Dong5,ROWS($1:28)),)=$E$7,OFFSET(TH!O$1,SMALL(Dong5,ROWS($1:28)),),OFFSET(TH!N$1,SMALL(Dong5,ROWS($1:28)),)))</f>
        <v/>
      </c>
      <c r="F42" s="481">
        <f ca="1">IF(ROWS($1:28)&gt;COUNT(Dong5),0,IF(OFFSET(TH!N$1,SMALL(Dong5,ROWS($1:28)),)=$E$7,OFFSET(TH!M$1,SMALL(Dong5,ROWS($1:28)),),0))</f>
        <v>0</v>
      </c>
      <c r="G42" s="479">
        <f ca="1">IF(ROWS($1:28)&gt;COUNT(Dong5),0,IF(OFFSET(TH!O$1,SMALL(Dong5,ROWS($1:28)),)=$E$7,OFFSET(TH!M$1,SMALL(Dong5,ROWS($1:28)),),0))</f>
        <v>0</v>
      </c>
      <c r="H42" s="482">
        <f t="shared" ca="1" si="2"/>
        <v>0</v>
      </c>
      <c r="I42" s="482">
        <f t="shared" ca="1" si="3"/>
        <v>0</v>
      </c>
    </row>
    <row r="43" spans="1:9" s="18" customFormat="1" ht="18" customHeight="1">
      <c r="A43" s="387" t="str">
        <f ca="1">IF(ROWS($1:29)&gt;COUNT(Dong5),"",OFFSET(TH!C$1,SMALL(Dong5,ROWS($1:29)),))</f>
        <v/>
      </c>
      <c r="B43" s="387" t="str">
        <f ca="1">IF(ROWS($1:29)&gt;COUNT(Dong5),"",OFFSET(TH!D$1,SMALL(Dong5,ROWS($1:29)),))</f>
        <v/>
      </c>
      <c r="C43" s="387" t="str">
        <f ca="1">IF(ROWS($1:29)&gt;COUNT(Dong5),"",OFFSET(TH!E$1,SMALL(Dong5,ROWS($1:29)),))</f>
        <v/>
      </c>
      <c r="D43" s="480" t="str">
        <f ca="1">IF(ROWS($1:29)&gt;COUNT(Dong5),"",OFFSET(TH!F$1,SMALL(Dong5,ROWS($1:29)),))</f>
        <v/>
      </c>
      <c r="E43" s="387" t="str">
        <f ca="1">IF(ROWS($1:29)&gt;COUNT(Dong5),"",IF(OFFSET(TH!N$1,SMALL(Dong5,ROWS($1:29)),)=$E$7,OFFSET(TH!O$1,SMALL(Dong5,ROWS($1:29)),),OFFSET(TH!N$1,SMALL(Dong5,ROWS($1:29)),)))</f>
        <v/>
      </c>
      <c r="F43" s="481">
        <f ca="1">IF(ROWS($1:29)&gt;COUNT(Dong5),0,IF(OFFSET(TH!N$1,SMALL(Dong5,ROWS($1:29)),)=$E$7,OFFSET(TH!M$1,SMALL(Dong5,ROWS($1:29)),),0))</f>
        <v>0</v>
      </c>
      <c r="G43" s="479">
        <f ca="1">IF(ROWS($1:29)&gt;COUNT(Dong5),0,IF(OFFSET(TH!O$1,SMALL(Dong5,ROWS($1:29)),)=$E$7,OFFSET(TH!M$1,SMALL(Dong5,ROWS($1:29)),),0))</f>
        <v>0</v>
      </c>
      <c r="H43" s="482">
        <f t="shared" ca="1" si="2"/>
        <v>0</v>
      </c>
      <c r="I43" s="482">
        <f t="shared" ca="1" si="3"/>
        <v>0</v>
      </c>
    </row>
    <row r="44" spans="1:9" s="18" customFormat="1" ht="18" customHeight="1">
      <c r="A44" s="387" t="str">
        <f ca="1">IF(ROWS($1:30)&gt;COUNT(Dong5),"",OFFSET(TH!C$1,SMALL(Dong5,ROWS($1:30)),))</f>
        <v/>
      </c>
      <c r="B44" s="387" t="str">
        <f ca="1">IF(ROWS($1:30)&gt;COUNT(Dong5),"",OFFSET(TH!D$1,SMALL(Dong5,ROWS($1:30)),))</f>
        <v/>
      </c>
      <c r="C44" s="387" t="str">
        <f ca="1">IF(ROWS($1:30)&gt;COUNT(Dong5),"",OFFSET(TH!E$1,SMALL(Dong5,ROWS($1:30)),))</f>
        <v/>
      </c>
      <c r="D44" s="480" t="str">
        <f ca="1">IF(ROWS($1:30)&gt;COUNT(Dong5),"",OFFSET(TH!F$1,SMALL(Dong5,ROWS($1:30)),))</f>
        <v/>
      </c>
      <c r="E44" s="387" t="str">
        <f ca="1">IF(ROWS($1:30)&gt;COUNT(Dong5),"",IF(OFFSET(TH!N$1,SMALL(Dong5,ROWS($1:30)),)=$E$7,OFFSET(TH!O$1,SMALL(Dong5,ROWS($1:30)),),OFFSET(TH!N$1,SMALL(Dong5,ROWS($1:30)),)))</f>
        <v/>
      </c>
      <c r="F44" s="481">
        <f ca="1">IF(ROWS($1:30)&gt;COUNT(Dong5),0,IF(OFFSET(TH!N$1,SMALL(Dong5,ROWS($1:30)),)=$E$7,OFFSET(TH!M$1,SMALL(Dong5,ROWS($1:30)),),0))</f>
        <v>0</v>
      </c>
      <c r="G44" s="479">
        <f ca="1">IF(ROWS($1:30)&gt;COUNT(Dong5),0,IF(OFFSET(TH!O$1,SMALL(Dong5,ROWS($1:30)),)=$E$7,OFFSET(TH!M$1,SMALL(Dong5,ROWS($1:30)),),0))</f>
        <v>0</v>
      </c>
      <c r="H44" s="482">
        <f t="shared" ca="1" si="2"/>
        <v>0</v>
      </c>
      <c r="I44" s="482">
        <f t="shared" ca="1" si="3"/>
        <v>0</v>
      </c>
    </row>
    <row r="45" spans="1:9" s="18" customFormat="1" ht="18" customHeight="1">
      <c r="A45" s="387" t="str">
        <f ca="1">IF(ROWS($1:31)&gt;COUNT(Dong5),"",OFFSET(TH!C$1,SMALL(Dong5,ROWS($1:31)),))</f>
        <v/>
      </c>
      <c r="B45" s="387" t="str">
        <f ca="1">IF(ROWS($1:31)&gt;COUNT(Dong5),"",OFFSET(TH!D$1,SMALL(Dong5,ROWS($1:31)),))</f>
        <v/>
      </c>
      <c r="C45" s="387" t="str">
        <f ca="1">IF(ROWS($1:31)&gt;COUNT(Dong5),"",OFFSET(TH!E$1,SMALL(Dong5,ROWS($1:31)),))</f>
        <v/>
      </c>
      <c r="D45" s="480" t="str">
        <f ca="1">IF(ROWS($1:31)&gt;COUNT(Dong5),"",OFFSET(TH!F$1,SMALL(Dong5,ROWS($1:31)),))</f>
        <v/>
      </c>
      <c r="E45" s="387" t="str">
        <f ca="1">IF(ROWS($1:31)&gt;COUNT(Dong5),"",IF(OFFSET(TH!N$1,SMALL(Dong5,ROWS($1:31)),)=$E$7,OFFSET(TH!O$1,SMALL(Dong5,ROWS($1:31)),),OFFSET(TH!N$1,SMALL(Dong5,ROWS($1:31)),)))</f>
        <v/>
      </c>
      <c r="F45" s="481">
        <f ca="1">IF(ROWS($1:31)&gt;COUNT(Dong5),0,IF(OFFSET(TH!N$1,SMALL(Dong5,ROWS($1:31)),)=$E$7,OFFSET(TH!M$1,SMALL(Dong5,ROWS($1:31)),),0))</f>
        <v>0</v>
      </c>
      <c r="G45" s="479">
        <f ca="1">IF(ROWS($1:31)&gt;COUNT(Dong5),0,IF(OFFSET(TH!O$1,SMALL(Dong5,ROWS($1:31)),)=$E$7,OFFSET(TH!M$1,SMALL(Dong5,ROWS($1:31)),),0))</f>
        <v>0</v>
      </c>
      <c r="H45" s="482">
        <f t="shared" ca="1" si="2"/>
        <v>0</v>
      </c>
      <c r="I45" s="482">
        <f t="shared" ca="1" si="3"/>
        <v>0</v>
      </c>
    </row>
    <row r="46" spans="1:9" s="18" customFormat="1" ht="18" customHeight="1">
      <c r="A46" s="387" t="str">
        <f ca="1">IF(ROWS($1:32)&gt;COUNT(Dong5),"",OFFSET(TH!C$1,SMALL(Dong5,ROWS($1:32)),))</f>
        <v/>
      </c>
      <c r="B46" s="387" t="str">
        <f ca="1">IF(ROWS($1:32)&gt;COUNT(Dong5),"",OFFSET(TH!D$1,SMALL(Dong5,ROWS($1:32)),))</f>
        <v/>
      </c>
      <c r="C46" s="387" t="str">
        <f ca="1">IF(ROWS($1:32)&gt;COUNT(Dong5),"",OFFSET(TH!E$1,SMALL(Dong5,ROWS($1:32)),))</f>
        <v/>
      </c>
      <c r="D46" s="480" t="str">
        <f ca="1">IF(ROWS($1:32)&gt;COUNT(Dong5),"",OFFSET(TH!F$1,SMALL(Dong5,ROWS($1:32)),))</f>
        <v/>
      </c>
      <c r="E46" s="387" t="str">
        <f ca="1">IF(ROWS($1:32)&gt;COUNT(Dong5),"",IF(OFFSET(TH!N$1,SMALL(Dong5,ROWS($1:32)),)=$E$7,OFFSET(TH!O$1,SMALL(Dong5,ROWS($1:32)),),OFFSET(TH!N$1,SMALL(Dong5,ROWS($1:32)),)))</f>
        <v/>
      </c>
      <c r="F46" s="481">
        <f ca="1">IF(ROWS($1:32)&gt;COUNT(Dong5),0,IF(OFFSET(TH!N$1,SMALL(Dong5,ROWS($1:32)),)=$E$7,OFFSET(TH!M$1,SMALL(Dong5,ROWS($1:32)),),0))</f>
        <v>0</v>
      </c>
      <c r="G46" s="479">
        <f ca="1">IF(ROWS($1:32)&gt;COUNT(Dong5),0,IF(OFFSET(TH!O$1,SMALL(Dong5,ROWS($1:32)),)=$E$7,OFFSET(TH!M$1,SMALL(Dong5,ROWS($1:32)),),0))</f>
        <v>0</v>
      </c>
      <c r="H46" s="482">
        <f t="shared" ca="1" si="2"/>
        <v>0</v>
      </c>
      <c r="I46" s="482">
        <f t="shared" ca="1" si="3"/>
        <v>0</v>
      </c>
    </row>
    <row r="47" spans="1:9" s="18" customFormat="1" ht="18" customHeight="1">
      <c r="A47" s="387" t="str">
        <f ca="1">IF(ROWS($1:33)&gt;COUNT(Dong5),"",OFFSET(TH!C$1,SMALL(Dong5,ROWS($1:33)),))</f>
        <v/>
      </c>
      <c r="B47" s="387" t="str">
        <f ca="1">IF(ROWS($1:33)&gt;COUNT(Dong5),"",OFFSET(TH!D$1,SMALL(Dong5,ROWS($1:33)),))</f>
        <v/>
      </c>
      <c r="C47" s="387" t="str">
        <f ca="1">IF(ROWS($1:33)&gt;COUNT(Dong5),"",OFFSET(TH!E$1,SMALL(Dong5,ROWS($1:33)),))</f>
        <v/>
      </c>
      <c r="D47" s="480" t="str">
        <f ca="1">IF(ROWS($1:33)&gt;COUNT(Dong5),"",OFFSET(TH!F$1,SMALL(Dong5,ROWS($1:33)),))</f>
        <v/>
      </c>
      <c r="E47" s="387" t="str">
        <f ca="1">IF(ROWS($1:33)&gt;COUNT(Dong5),"",IF(OFFSET(TH!N$1,SMALL(Dong5,ROWS($1:33)),)=$E$7,OFFSET(TH!O$1,SMALL(Dong5,ROWS($1:33)),),OFFSET(TH!N$1,SMALL(Dong5,ROWS($1:33)),)))</f>
        <v/>
      </c>
      <c r="F47" s="481">
        <f ca="1">IF(ROWS($1:33)&gt;COUNT(Dong5),0,IF(OFFSET(TH!N$1,SMALL(Dong5,ROWS($1:33)),)=$E$7,OFFSET(TH!M$1,SMALL(Dong5,ROWS($1:33)),),0))</f>
        <v>0</v>
      </c>
      <c r="G47" s="479">
        <f ca="1">IF(ROWS($1:33)&gt;COUNT(Dong5),0,IF(OFFSET(TH!O$1,SMALL(Dong5,ROWS($1:33)),)=$E$7,OFFSET(TH!M$1,SMALL(Dong5,ROWS($1:33)),),0))</f>
        <v>0</v>
      </c>
      <c r="H47" s="482">
        <f ca="1">IF(D47&lt;&gt;"",MAX(H46+F47-G47-I46,0),0)</f>
        <v>0</v>
      </c>
      <c r="I47" s="482">
        <f ca="1">IF(D47&lt;&gt;"",MAX(I46+G47-H46-F47,0),0)</f>
        <v>0</v>
      </c>
    </row>
    <row r="48" spans="1:9" s="18" customFormat="1" ht="18" customHeight="1">
      <c r="A48" s="387" t="str">
        <f ca="1">IF(ROWS($1:34)&gt;COUNT(Dong5),"",OFFSET(TH!C$1,SMALL(Dong5,ROWS($1:34)),))</f>
        <v/>
      </c>
      <c r="B48" s="387" t="str">
        <f ca="1">IF(ROWS($1:34)&gt;COUNT(Dong5),"",OFFSET(TH!D$1,SMALL(Dong5,ROWS($1:34)),))</f>
        <v/>
      </c>
      <c r="C48" s="387" t="str">
        <f ca="1">IF(ROWS($1:34)&gt;COUNT(Dong5),"",OFFSET(TH!E$1,SMALL(Dong5,ROWS($1:34)),))</f>
        <v/>
      </c>
      <c r="D48" s="480" t="str">
        <f ca="1">IF(ROWS($1:34)&gt;COUNT(Dong5),"",OFFSET(TH!F$1,SMALL(Dong5,ROWS($1:34)),))</f>
        <v/>
      </c>
      <c r="E48" s="387" t="str">
        <f ca="1">IF(ROWS($1:34)&gt;COUNT(Dong5),"",IF(OFFSET(TH!N$1,SMALL(Dong5,ROWS($1:34)),)=$E$7,OFFSET(TH!O$1,SMALL(Dong5,ROWS($1:34)),),OFFSET(TH!N$1,SMALL(Dong5,ROWS($1:34)),)))</f>
        <v/>
      </c>
      <c r="F48" s="481">
        <f ca="1">IF(ROWS($1:34)&gt;COUNT(Dong5),0,IF(OFFSET(TH!N$1,SMALL(Dong5,ROWS($1:34)),)=$E$7,OFFSET(TH!M$1,SMALL(Dong5,ROWS($1:34)),),0))</f>
        <v>0</v>
      </c>
      <c r="G48" s="479">
        <f ca="1">IF(ROWS($1:34)&gt;COUNT(Dong5),0,IF(OFFSET(TH!O$1,SMALL(Dong5,ROWS($1:34)),)=$E$7,OFFSET(TH!M$1,SMALL(Dong5,ROWS($1:34)),),0))</f>
        <v>0</v>
      </c>
      <c r="H48" s="482">
        <f ca="1">IF(D48&lt;&gt;"",MAX(H47+F48-G48-I47,0),0)</f>
        <v>0</v>
      </c>
      <c r="I48" s="482">
        <f ca="1">IF(D48&lt;&gt;"",MAX(I47+G48-H47-F48,0),0)</f>
        <v>0</v>
      </c>
    </row>
    <row r="49" spans="1:9" s="18" customFormat="1" ht="18" customHeight="1">
      <c r="A49" s="387" t="str">
        <f ca="1">IF(ROWS($1:35)&gt;COUNT(Dong5),"",OFFSET(TH!C$1,SMALL(Dong5,ROWS($1:35)),))</f>
        <v/>
      </c>
      <c r="B49" s="387" t="str">
        <f ca="1">IF(ROWS($1:35)&gt;COUNT(Dong5),"",OFFSET(TH!D$1,SMALL(Dong5,ROWS($1:35)),))</f>
        <v/>
      </c>
      <c r="C49" s="387" t="str">
        <f ca="1">IF(ROWS($1:35)&gt;COUNT(Dong5),"",OFFSET(TH!E$1,SMALL(Dong5,ROWS($1:35)),))</f>
        <v/>
      </c>
      <c r="D49" s="480" t="str">
        <f ca="1">IF(ROWS($1:35)&gt;COUNT(Dong5),"",OFFSET(TH!F$1,SMALL(Dong5,ROWS($1:35)),))</f>
        <v/>
      </c>
      <c r="E49" s="387" t="str">
        <f ca="1">IF(ROWS($1:35)&gt;COUNT(Dong5),"",IF(OFFSET(TH!N$1,SMALL(Dong5,ROWS($1:35)),)=$E$7,OFFSET(TH!O$1,SMALL(Dong5,ROWS($1:35)),),OFFSET(TH!N$1,SMALL(Dong5,ROWS($1:35)),)))</f>
        <v/>
      </c>
      <c r="F49" s="481">
        <f ca="1">IF(ROWS($1:35)&gt;COUNT(Dong5),0,IF(OFFSET(TH!N$1,SMALL(Dong5,ROWS($1:35)),)=$E$7,OFFSET(TH!M$1,SMALL(Dong5,ROWS($1:35)),),0))</f>
        <v>0</v>
      </c>
      <c r="G49" s="479">
        <f ca="1">IF(ROWS($1:35)&gt;COUNT(Dong5),0,IF(OFFSET(TH!O$1,SMALL(Dong5,ROWS($1:35)),)=$E$7,OFFSET(TH!M$1,SMALL(Dong5,ROWS($1:35)),),0))</f>
        <v>0</v>
      </c>
      <c r="H49" s="482">
        <f ca="1">IF(D49&lt;&gt;"",MAX(H48+F49-G49-I48,0),0)</f>
        <v>0</v>
      </c>
      <c r="I49" s="482">
        <f ca="1">IF(D49&lt;&gt;"",MAX(I48+G49-H48-F49,0),0)</f>
        <v>0</v>
      </c>
    </row>
    <row r="50" spans="1:9" s="18" customFormat="1" ht="18" customHeight="1">
      <c r="A50" s="387" t="str">
        <f ca="1">IF(ROWS($1:36)&gt;COUNT(Dong5),"",OFFSET(TH!C$1,SMALL(Dong5,ROWS($1:36)),))</f>
        <v/>
      </c>
      <c r="B50" s="387" t="str">
        <f ca="1">IF(ROWS($1:36)&gt;COUNT(Dong5),"",OFFSET(TH!D$1,SMALL(Dong5,ROWS($1:36)),))</f>
        <v/>
      </c>
      <c r="C50" s="387" t="str">
        <f ca="1">IF(ROWS($1:36)&gt;COUNT(Dong5),"",OFFSET(TH!E$1,SMALL(Dong5,ROWS($1:36)),))</f>
        <v/>
      </c>
      <c r="D50" s="480" t="str">
        <f ca="1">IF(ROWS($1:36)&gt;COUNT(Dong5),"",OFFSET(TH!F$1,SMALL(Dong5,ROWS($1:36)),))</f>
        <v/>
      </c>
      <c r="E50" s="387" t="str">
        <f ca="1">IF(ROWS($1:36)&gt;COUNT(Dong5),"",IF(OFFSET(TH!N$1,SMALL(Dong5,ROWS($1:36)),)=$E$7,OFFSET(TH!O$1,SMALL(Dong5,ROWS($1:36)),),OFFSET(TH!N$1,SMALL(Dong5,ROWS($1:36)),)))</f>
        <v/>
      </c>
      <c r="F50" s="481">
        <f ca="1">IF(ROWS($1:36)&gt;COUNT(Dong5),0,IF(OFFSET(TH!N$1,SMALL(Dong5,ROWS($1:36)),)=$E$7,OFFSET(TH!M$1,SMALL(Dong5,ROWS($1:36)),),0))</f>
        <v>0</v>
      </c>
      <c r="G50" s="479">
        <f ca="1">IF(ROWS($1:36)&gt;COUNT(Dong5),0,IF(OFFSET(TH!O$1,SMALL(Dong5,ROWS($1:36)),)=$E$7,OFFSET(TH!M$1,SMALL(Dong5,ROWS($1:36)),),0))</f>
        <v>0</v>
      </c>
      <c r="H50" s="482">
        <f ca="1">IF(D50&lt;&gt;"",MAX(H49+F50-G50-I49,0),0)</f>
        <v>0</v>
      </c>
      <c r="I50" s="482">
        <f ca="1">IF(D50&lt;&gt;"",MAX(I49+G50-H49-F50,0),0)</f>
        <v>0</v>
      </c>
    </row>
    <row r="51" spans="1:9" s="18" customFormat="1" ht="18" customHeight="1">
      <c r="A51" s="387"/>
      <c r="B51" s="388"/>
      <c r="C51" s="387"/>
      <c r="D51" s="467" t="s">
        <v>238</v>
      </c>
      <c r="E51" s="388" t="s">
        <v>26</v>
      </c>
      <c r="F51" s="483">
        <f ca="1">SUM(F15:F50)</f>
        <v>3624554047</v>
      </c>
      <c r="G51" s="483">
        <f ca="1">SUM(G15:G50)</f>
        <v>2405000000</v>
      </c>
      <c r="H51" s="483" t="s">
        <v>26</v>
      </c>
      <c r="I51" s="483" t="s">
        <v>26</v>
      </c>
    </row>
    <row r="52" spans="1:9" s="18" customFormat="1" ht="18" customHeight="1">
      <c r="A52" s="484"/>
      <c r="B52" s="472"/>
      <c r="C52" s="484"/>
      <c r="D52" s="471" t="s">
        <v>13</v>
      </c>
      <c r="E52" s="472" t="s">
        <v>26</v>
      </c>
      <c r="F52" s="485" t="s">
        <v>26</v>
      </c>
      <c r="G52" s="485" t="s">
        <v>26</v>
      </c>
      <c r="H52" s="486">
        <f ca="1">MAX(H14+F51-G51-I14,0)</f>
        <v>1219554047</v>
      </c>
      <c r="I52" s="486">
        <f ca="1">MAX(I14+G51-F51-H14,0)</f>
        <v>0</v>
      </c>
    </row>
    <row r="53" spans="1:9" s="18" customFormat="1" ht="9.75" customHeight="1">
      <c r="A53" s="422"/>
      <c r="B53" s="422"/>
      <c r="C53" s="422"/>
      <c r="E53" s="422"/>
    </row>
    <row r="54" spans="1:9" s="18" customFormat="1" ht="12.75">
      <c r="A54" s="422"/>
      <c r="B54" s="422"/>
      <c r="C54" s="487" t="s">
        <v>361</v>
      </c>
      <c r="E54" s="422"/>
    </row>
    <row r="55" spans="1:9" s="18" customFormat="1" ht="12.75">
      <c r="A55" s="422"/>
      <c r="B55" s="422"/>
      <c r="C55" s="28" t="s">
        <v>280</v>
      </c>
      <c r="E55" s="422"/>
    </row>
    <row r="56" spans="1:9" s="18" customFormat="1" ht="13.5" customHeight="1">
      <c r="A56" s="422"/>
      <c r="B56" s="422"/>
      <c r="C56" s="422"/>
      <c r="E56" s="1094" t="s">
        <v>281</v>
      </c>
      <c r="F56" s="1094"/>
      <c r="G56" s="1094"/>
      <c r="H56" s="1094"/>
      <c r="I56" s="1094"/>
    </row>
    <row r="57" spans="1:9" s="18" customFormat="1" ht="12.75">
      <c r="A57" s="1094" t="s">
        <v>14</v>
      </c>
      <c r="B57" s="1094"/>
      <c r="C57" s="1094"/>
      <c r="D57" s="1094"/>
      <c r="E57" s="1094" t="s">
        <v>15</v>
      </c>
      <c r="F57" s="1094"/>
      <c r="G57" s="1094"/>
      <c r="H57" s="1094"/>
      <c r="I57" s="1094"/>
    </row>
    <row r="58" spans="1:9" s="18" customFormat="1" ht="12.75">
      <c r="A58" s="1094" t="s">
        <v>16</v>
      </c>
      <c r="B58" s="1094"/>
      <c r="C58" s="1094"/>
      <c r="D58" s="1094"/>
      <c r="E58" s="1094" t="s">
        <v>16</v>
      </c>
      <c r="F58" s="1094"/>
      <c r="G58" s="1094"/>
      <c r="H58" s="1094"/>
      <c r="I58" s="1094"/>
    </row>
    <row r="59" spans="1:9" s="18" customFormat="1" ht="12.75">
      <c r="A59" s="422"/>
      <c r="B59" s="422"/>
      <c r="C59" s="422"/>
      <c r="E59" s="422"/>
    </row>
    <row r="60" spans="1:9">
      <c r="D60" s="286"/>
      <c r="F60" s="287"/>
    </row>
    <row r="65" spans="1:4">
      <c r="A65" s="1095" t="s">
        <v>337</v>
      </c>
      <c r="B65" s="1095"/>
      <c r="C65" s="1095"/>
      <c r="D65" s="1095"/>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31" activePane="bottomLeft" state="frozen"/>
      <selection activeCell="B1" sqref="B1:B2"/>
      <selection pane="bottomLeft" activeCell="K30" sqref="K30"/>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213</v>
      </c>
      <c r="C1" s="113"/>
      <c r="D1" s="103"/>
      <c r="E1" s="103"/>
      <c r="F1" s="103"/>
      <c r="G1" s="103"/>
      <c r="I1" s="105"/>
      <c r="L1" s="106" t="str">
        <f>+IF(LEFT($U$4,1)="T","Mẫu số 01 - TT","Mẫu số 02 - TT")</f>
        <v>Mẫu số 02 - TT</v>
      </c>
      <c r="N1" s="107"/>
      <c r="O1" s="107"/>
      <c r="P1" s="108"/>
      <c r="Q1" s="109"/>
      <c r="R1" s="109"/>
      <c r="S1" s="109"/>
      <c r="T1" s="109"/>
      <c r="U1" s="109"/>
      <c r="V1" s="110"/>
      <c r="W1" s="109"/>
    </row>
    <row r="2" spans="1:23" ht="13.5" customHeight="1">
      <c r="B2" s="113" t="s">
        <v>214</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201</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216</v>
      </c>
      <c r="R3" s="368"/>
      <c r="S3" s="369" t="s">
        <v>321</v>
      </c>
      <c r="T3" s="368"/>
      <c r="U3" s="369" t="s">
        <v>202</v>
      </c>
      <c r="V3" s="116"/>
      <c r="W3" s="117" t="s">
        <v>202</v>
      </c>
    </row>
    <row r="4" spans="1:23" ht="21.75">
      <c r="B4" s="113"/>
      <c r="C4" s="103"/>
      <c r="D4" s="103"/>
      <c r="E4" s="103"/>
      <c r="G4" s="120"/>
      <c r="H4" s="121" t="str">
        <f>IF(LEFT($U$4,1)="T","PHIẾU THU","PHIẾU CHI")</f>
        <v>PHIẾU CHI</v>
      </c>
      <c r="J4" s="120"/>
      <c r="K4" s="122"/>
      <c r="M4" s="122"/>
      <c r="N4" s="122"/>
      <c r="O4" s="122"/>
      <c r="P4" s="123"/>
      <c r="Q4" s="150">
        <v>2016</v>
      </c>
      <c r="R4" s="124"/>
      <c r="S4" s="367">
        <v>1</v>
      </c>
      <c r="T4" s="124"/>
      <c r="U4" s="151" t="s">
        <v>4</v>
      </c>
      <c r="V4" s="152"/>
      <c r="W4" s="153">
        <v>49</v>
      </c>
    </row>
    <row r="5" spans="1:23">
      <c r="B5" s="113"/>
      <c r="C5" s="103"/>
      <c r="D5" s="103"/>
      <c r="E5" s="103"/>
      <c r="G5" s="120"/>
      <c r="H5" s="125" t="str">
        <f>IF(ISNA(VLOOKUP($M$7,TM,3,0)),"","Ngày  "&amp;DAY(VLOOKUP($M$7,TM,3,0))&amp;"  tháng  "&amp;MONTH(VLOOKUP($M$7,TM,3,0))&amp;"  năm  "&amp;$Q$4)</f>
        <v>Ngày  31  tháng  3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01</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C49</v>
      </c>
      <c r="N7" s="131"/>
      <c r="O7" s="131"/>
      <c r="P7" s="132"/>
      <c r="Q7" s="128"/>
      <c r="R7" s="128"/>
      <c r="S7" s="128"/>
      <c r="T7" s="128"/>
      <c r="U7" s="128"/>
      <c r="V7" s="128"/>
      <c r="W7" s="128"/>
    </row>
    <row r="8" spans="1:23" ht="13.5">
      <c r="A8" s="128"/>
      <c r="B8" s="128"/>
      <c r="C8" s="128"/>
      <c r="D8" s="128"/>
      <c r="E8" s="126"/>
      <c r="F8" s="126"/>
      <c r="G8" s="126"/>
      <c r="H8" s="126"/>
      <c r="I8" s="126"/>
      <c r="J8" s="128"/>
      <c r="K8" s="136"/>
      <c r="L8" s="130" t="s">
        <v>203</v>
      </c>
      <c r="M8" s="137" t="str">
        <f>IF($U$4="T","1111",IF($U$4="C",IF(ISNA(VLOOKUP($M$7,TM,15,0)),"",VLOOKUP($M$7,TM,14,0)),""))</f>
        <v>642</v>
      </c>
      <c r="N8" s="131"/>
      <c r="O8" s="131"/>
      <c r="P8" s="138"/>
      <c r="Q8" s="128"/>
      <c r="R8" s="128"/>
      <c r="S8" s="128"/>
      <c r="T8" s="128"/>
      <c r="U8" s="128"/>
      <c r="V8" s="128"/>
      <c r="W8" s="128"/>
    </row>
    <row r="9" spans="1:23" ht="13.5">
      <c r="A9" s="128"/>
      <c r="B9" s="128"/>
      <c r="C9" s="128"/>
      <c r="D9" s="128"/>
      <c r="E9" s="126"/>
      <c r="F9" s="126"/>
      <c r="G9" s="126"/>
      <c r="H9" s="126"/>
      <c r="I9" s="126"/>
      <c r="J9" s="128"/>
      <c r="K9" s="136"/>
      <c r="L9" s="134" t="s">
        <v>204</v>
      </c>
      <c r="M9" s="137" t="str">
        <f>IF($U$4="C","1111",IF($U$4="T",IF(ISNA(VLOOKUP($M$7,TM,14,0)),"",VLOOKUP($M$7,TM,15,0)),""))</f>
        <v>1111</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và tên người nhận tiền : Cty TNHH MTV Cấp Thoát Nước Trà Vinh</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chi : Tiền nước tháng 3/2016</v>
      </c>
      <c r="E12" s="139"/>
      <c r="F12" s="139"/>
      <c r="G12" s="139"/>
      <c r="H12" s="139"/>
      <c r="I12" s="139"/>
      <c r="J12" s="139"/>
      <c r="K12" s="139"/>
      <c r="L12" s="139"/>
      <c r="M12" s="139"/>
      <c r="N12" s="139"/>
      <c r="O12" s="139"/>
    </row>
    <row r="13" spans="1:23">
      <c r="C13" s="104" t="s">
        <v>219</v>
      </c>
      <c r="D13" s="141">
        <f ca="1">SUMIF(TM,$M$7,TH)</f>
        <v>11616150</v>
      </c>
      <c r="E13" s="104" t="s">
        <v>205</v>
      </c>
      <c r="F13" s="141"/>
      <c r="G13" s="141"/>
      <c r="P13" s="104"/>
    </row>
    <row r="14" spans="1:23">
      <c r="C14" s="104" t="str">
        <f ca="1">"Viết bằng chữ: " &amp;[1]!VND('IN-TC'!D13, TRUE)</f>
        <v>Viết bằng chữ: Mười một triệu, sáu trăm mười sáu ngàn, một trăm năm mươi đồng</v>
      </c>
      <c r="P14" s="119"/>
    </row>
    <row r="15" spans="1:23">
      <c r="C15" s="139" t="str">
        <f>"Kèm theo :     " &amp;IF(OR(ISNA(VLOOKUP($M$7,TM,7,0)),VLOOKUP($M$7,TM,7,0)=""),"                           ",IF(VLOOKUP($M$7,TM,7,0)&lt;&gt;"","    HĐ  "&amp;(VLOOKUP($M$7,TM,7,0)))) &amp; "     chứng từ gốc. "</f>
        <v xml:space="preserve">Kèm theo :         HĐ  0092762     chứng từ gốc. </v>
      </c>
      <c r="D15" s="139"/>
      <c r="F15" s="139"/>
      <c r="G15" s="139"/>
      <c r="H15" s="139"/>
      <c r="I15" s="139"/>
      <c r="J15" s="139"/>
      <c r="K15" s="139"/>
      <c r="L15" s="139"/>
      <c r="M15" s="139"/>
      <c r="N15" s="139"/>
      <c r="O15" s="139"/>
      <c r="P15" s="142"/>
    </row>
    <row r="16" spans="1:23">
      <c r="K16" s="143"/>
      <c r="L16" s="143"/>
      <c r="M16" s="158" t="str">
        <f>H5</f>
        <v>Ngày  31  tháng  3  năm  2016</v>
      </c>
      <c r="N16" s="143"/>
      <c r="O16" s="143"/>
      <c r="P16" s="104"/>
    </row>
    <row r="17" spans="1:23">
      <c r="C17" s="144" t="s">
        <v>206</v>
      </c>
      <c r="D17" s="145"/>
      <c r="E17" s="144" t="s">
        <v>15</v>
      </c>
      <c r="F17" s="145"/>
      <c r="G17" s="145"/>
      <c r="H17" s="144" t="str">
        <f>IF($U$4="C","Thủ quỹ","Người nộp tiền")</f>
        <v>Thủ quỹ</v>
      </c>
      <c r="J17" s="144" t="s">
        <v>207</v>
      </c>
      <c r="K17" s="145"/>
      <c r="M17" s="146" t="str">
        <f>IF($U$4="T","Thủ quỹ","Người nhận tiền")</f>
        <v>Người nhận tiền</v>
      </c>
      <c r="N17" s="147"/>
      <c r="O17" s="147"/>
      <c r="P17" s="104"/>
    </row>
    <row r="18" spans="1:23">
      <c r="A18" s="145"/>
      <c r="B18" s="145"/>
      <c r="C18" s="148" t="s">
        <v>208</v>
      </c>
      <c r="E18" s="148" t="s">
        <v>209</v>
      </c>
      <c r="H18" s="148" t="s">
        <v>209</v>
      </c>
      <c r="I18" s="145"/>
      <c r="J18" s="148" t="s">
        <v>209</v>
      </c>
      <c r="L18" s="145"/>
      <c r="M18" s="148" t="s">
        <v>209</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13" t="s">
        <v>183</v>
      </c>
      <c r="H24" s="413" t="str">
        <f>IF($U$4="T","","Phạm Thị Đông")</f>
        <v>Phạm Thị Đông</v>
      </c>
      <c r="J24" s="413" t="s">
        <v>337</v>
      </c>
      <c r="M24" s="413" t="str">
        <f>IF($U$4="C","","Phạm Thị Đông")</f>
        <v/>
      </c>
      <c r="P24" s="104"/>
    </row>
    <row r="25" spans="1:23">
      <c r="B25" s="104" t="s">
        <v>210</v>
      </c>
      <c r="P25" s="104"/>
    </row>
    <row r="26" spans="1:23">
      <c r="B26" s="139"/>
      <c r="C26" s="139" t="s">
        <v>211</v>
      </c>
      <c r="D26" s="139"/>
      <c r="E26" s="139"/>
      <c r="F26" s="139"/>
      <c r="G26" s="139"/>
      <c r="H26" s="139"/>
      <c r="I26" s="139"/>
      <c r="J26" s="139"/>
      <c r="K26" s="139"/>
      <c r="L26" s="139"/>
      <c r="M26" s="139"/>
      <c r="N26" s="139"/>
      <c r="O26" s="139"/>
      <c r="P26" s="104"/>
    </row>
    <row r="27" spans="1:23">
      <c r="B27" s="139"/>
      <c r="C27" s="139" t="s">
        <v>212</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P120"/>
  <sheetViews>
    <sheetView topLeftCell="A10" zoomScale="90" workbookViewId="0">
      <pane ySplit="4" topLeftCell="A80" activePane="bottomLeft" state="frozen"/>
      <selection activeCell="A10" sqref="A10"/>
      <selection pane="bottomLeft" activeCell="B99" sqref="B99"/>
    </sheetView>
  </sheetViews>
  <sheetFormatPr defaultRowHeight="15"/>
  <cols>
    <col min="1" max="2" width="8.7109375" style="162" customWidth="1"/>
    <col min="3" max="4" width="6.5703125" style="162" customWidth="1"/>
    <col min="5" max="5" width="34.5703125" style="162" customWidth="1"/>
    <col min="6" max="6" width="6.28515625" style="162" customWidth="1"/>
    <col min="7" max="9" width="14.42578125" style="162" customWidth="1"/>
    <col min="10" max="10" width="6.28515625" style="162" customWidth="1"/>
    <col min="11" max="11" width="2.140625" style="162" customWidth="1"/>
    <col min="12" max="12" width="10" style="162" customWidth="1"/>
    <col min="13" max="13" width="3.28515625" style="162" customWidth="1"/>
    <col min="14" max="15" width="5" style="162" hidden="1" customWidth="1"/>
    <col min="16" max="16" width="9.140625" style="162" hidden="1" customWidth="1"/>
    <col min="17" max="16384" width="9.140625" style="162"/>
  </cols>
  <sheetData>
    <row r="1" spans="1:15" s="3" customFormat="1" ht="16.5" customHeight="1">
      <c r="A1" s="189" t="s">
        <v>213</v>
      </c>
      <c r="B1" s="2"/>
      <c r="C1" s="2"/>
      <c r="D1" s="2"/>
      <c r="E1" s="2"/>
      <c r="G1" s="1098" t="s">
        <v>223</v>
      </c>
      <c r="H1" s="1098"/>
      <c r="I1" s="1098"/>
      <c r="J1" s="1098"/>
    </row>
    <row r="2" spans="1:15" s="3" customFormat="1" ht="16.5" customHeight="1">
      <c r="A2" s="139" t="s">
        <v>214</v>
      </c>
      <c r="B2" s="16"/>
      <c r="C2" s="16"/>
      <c r="D2" s="16"/>
      <c r="E2" s="16"/>
      <c r="G2" s="1099" t="s">
        <v>224</v>
      </c>
      <c r="H2" s="1099"/>
      <c r="I2" s="1099"/>
      <c r="J2" s="1099"/>
    </row>
    <row r="3" spans="1:15" s="3" customFormat="1" ht="16.5" customHeight="1">
      <c r="A3" s="4"/>
      <c r="B3" s="16"/>
      <c r="C3" s="160"/>
      <c r="D3" s="160"/>
      <c r="E3" s="16"/>
      <c r="G3" s="1099"/>
      <c r="H3" s="1099"/>
      <c r="I3" s="1099"/>
      <c r="J3" s="1099"/>
    </row>
    <row r="4" spans="1:15" s="3" customFormat="1" ht="6.75" customHeight="1">
      <c r="A4" s="16"/>
      <c r="B4" s="16"/>
      <c r="C4" s="16"/>
      <c r="D4" s="16"/>
      <c r="E4" s="16"/>
      <c r="G4" s="161"/>
      <c r="H4" s="161"/>
      <c r="I4" s="161"/>
      <c r="J4" s="161"/>
    </row>
    <row r="5" spans="1:15" ht="24.75" customHeight="1">
      <c r="A5" s="1108" t="s">
        <v>225</v>
      </c>
      <c r="B5" s="1108"/>
      <c r="C5" s="1108"/>
      <c r="D5" s="1108"/>
      <c r="E5" s="1108"/>
      <c r="F5" s="1108"/>
      <c r="G5" s="1108"/>
      <c r="H5" s="1108"/>
      <c r="I5" s="1108"/>
      <c r="J5" s="1108"/>
    </row>
    <row r="6" spans="1:15" ht="14.25" customHeight="1">
      <c r="A6" s="1110" t="str">
        <f>$L$11&amp;" / 2015"</f>
        <v>Quý II / 2015</v>
      </c>
      <c r="B6" s="1110"/>
      <c r="C6" s="1110"/>
      <c r="D6" s="1110"/>
      <c r="E6" s="1110"/>
      <c r="F6" s="1110"/>
      <c r="G6" s="1110"/>
      <c r="H6" s="1110"/>
      <c r="I6" s="1110"/>
      <c r="J6" s="1110"/>
    </row>
    <row r="7" spans="1:15">
      <c r="A7" s="1109" t="s">
        <v>226</v>
      </c>
      <c r="B7" s="1109"/>
      <c r="C7" s="1109"/>
      <c r="D7" s="1109"/>
      <c r="E7" s="1109"/>
      <c r="F7" s="1109"/>
      <c r="G7" s="1109"/>
      <c r="H7" s="1109"/>
      <c r="I7" s="1109"/>
      <c r="J7" s="1109"/>
    </row>
    <row r="8" spans="1:15">
      <c r="A8" s="1109" t="s">
        <v>227</v>
      </c>
      <c r="B8" s="1109"/>
      <c r="C8" s="1109"/>
      <c r="D8" s="1109"/>
      <c r="E8" s="1109"/>
      <c r="F8" s="1109"/>
      <c r="G8" s="1109"/>
      <c r="H8" s="1109"/>
      <c r="I8" s="1109"/>
      <c r="J8" s="1109"/>
    </row>
    <row r="9" spans="1:15">
      <c r="A9" s="163"/>
      <c r="I9" s="163" t="s">
        <v>228</v>
      </c>
    </row>
    <row r="10" spans="1:15" ht="33" customHeight="1" thickBot="1">
      <c r="A10" s="1111" t="s">
        <v>27</v>
      </c>
      <c r="B10" s="1111" t="s">
        <v>229</v>
      </c>
      <c r="C10" s="1113" t="s">
        <v>230</v>
      </c>
      <c r="D10" s="1113"/>
      <c r="E10" s="1113" t="s">
        <v>0</v>
      </c>
      <c r="F10" s="1111" t="s">
        <v>19</v>
      </c>
      <c r="G10" s="1113" t="s">
        <v>28</v>
      </c>
      <c r="H10" s="1113"/>
      <c r="I10" s="1113" t="s">
        <v>231</v>
      </c>
      <c r="J10" s="1113" t="s">
        <v>232</v>
      </c>
      <c r="L10" s="190"/>
      <c r="N10" s="1109" t="s">
        <v>242</v>
      </c>
      <c r="O10" s="1109"/>
    </row>
    <row r="11" spans="1:15" ht="24" customHeight="1" thickBot="1">
      <c r="A11" s="1112"/>
      <c r="B11" s="1112"/>
      <c r="C11" s="164" t="s">
        <v>233</v>
      </c>
      <c r="D11" s="164" t="s">
        <v>234</v>
      </c>
      <c r="E11" s="1113"/>
      <c r="F11" s="1112"/>
      <c r="G11" s="164" t="s">
        <v>29</v>
      </c>
      <c r="H11" s="164" t="s">
        <v>30</v>
      </c>
      <c r="I11" s="1113"/>
      <c r="J11" s="1113"/>
      <c r="L11" s="236" t="s">
        <v>973</v>
      </c>
      <c r="N11" s="237">
        <f>IF(L11="Quý I",1,IF(L11="Quý II",4,IF(L11="Quý III",7,IF(L11="Quý IV",10,""))))</f>
        <v>4</v>
      </c>
      <c r="O11" s="238">
        <f>IF(L11="Quý I",3,IF(L11="Quý II",6,IF(L11="Quý III",9,IF(L11="Quý IV",12,""))))</f>
        <v>6</v>
      </c>
    </row>
    <row r="12" spans="1:15" s="165" customFormat="1" ht="11.25" customHeight="1">
      <c r="A12" s="166" t="s">
        <v>2</v>
      </c>
      <c r="B12" s="166" t="s">
        <v>3</v>
      </c>
      <c r="C12" s="166" t="s">
        <v>4</v>
      </c>
      <c r="D12" s="166" t="s">
        <v>5</v>
      </c>
      <c r="E12" s="166" t="s">
        <v>6</v>
      </c>
      <c r="F12" s="166" t="s">
        <v>235</v>
      </c>
      <c r="G12" s="166">
        <v>1</v>
      </c>
      <c r="H12" s="166">
        <v>2</v>
      </c>
      <c r="I12" s="166">
        <v>3</v>
      </c>
      <c r="J12" s="166" t="s">
        <v>236</v>
      </c>
    </row>
    <row r="13" spans="1:15" s="167" customFormat="1" ht="19.5" customHeight="1">
      <c r="A13" s="168"/>
      <c r="B13" s="168"/>
      <c r="C13" s="168"/>
      <c r="D13" s="168"/>
      <c r="E13" s="168" t="s">
        <v>237</v>
      </c>
      <c r="F13" s="169"/>
      <c r="G13" s="170"/>
      <c r="H13" s="168"/>
      <c r="I13" s="191">
        <f>IF($L$11="All",CDPS!$C$10,CDPS!$C$10+SUMIF(_N111,"x",TH)-SUMIF(_C111,"x",TH))</f>
        <v>777012143</v>
      </c>
      <c r="J13" s="168"/>
    </row>
    <row r="14" spans="1:15" ht="19.5" customHeight="1">
      <c r="A14" s="171">
        <f ca="1">IF(ROWS($1:1)&gt;COUNT(Dong1),"",OFFSET(TH!C$1,SMALL(Dong1,ROWS($1:1)),))</f>
        <v>42462</v>
      </c>
      <c r="B14" s="171">
        <f ca="1">IF(ROWS($1:1)&gt;COUNT(Dong1),"",OFFSET(TH!E$1,SMALL(Dong1,ROWS($1:1)),))</f>
        <v>42358</v>
      </c>
      <c r="C14" s="172" t="str">
        <f ca="1">IF(ROWS($1:1)&gt;COUNT(Dong1),"",IF(OFFSET(TH!N$1,SMALL(Dong1,ROWS($1:1)),)="1111",OFFSET(TH!D$1,SMALL(Dong1,ROWS($1:1)),),""))</f>
        <v/>
      </c>
      <c r="D14" s="173" t="str">
        <f ca="1">IF(ROWS($1:1)&gt;COUNT(Dong1),"",IF(OFFSET(TH!O$1,SMALL(Dong1,ROWS($1:1)),)="1111",OFFSET(TH!D$1,SMALL(Dong1,ROWS($1:1)),),""))</f>
        <v>C01</v>
      </c>
      <c r="E14" s="442" t="str">
        <f ca="1">IF(ROWS($1:1)&gt;COUNT(Dong1),"",OFFSET(TH!F$1,SMALL(Dong1,ROWS($1:1)),))</f>
        <v>Sơn 79A &amp; A901</v>
      </c>
      <c r="F14" s="175" t="str">
        <f ca="1">IF(ROWS($1:1)&gt;COUNT(Dong1),"",IF(OFFSET(TH!O$1,SMALL(Dong1,ROWS($1:1)),)="1111",OFFSET(TH!N$1,SMALL(Dong1,ROWS($1:1)),),OFFSET(TH!O$1,SMALL(Dong1,ROWS($1:1)),)))</f>
        <v>2412</v>
      </c>
      <c r="G14" s="176">
        <f ca="1">IF(ROWS($1:1)&gt;COUNT(Dong1),"",IF(OFFSET(TH!N$1,SMALL(Dong1,ROWS($1:1)),)="1111",OFFSET(TH!M$1,SMALL(Dong1,ROWS($1:1)),),0))</f>
        <v>0</v>
      </c>
      <c r="H14" s="174">
        <f ca="1">IF(ROWS($1:1)&gt;COUNT(Dong1),"",IF(OFFSET(TH!O$1,SMALL(Dong1,ROWS($1:1)),)="1111",OFFSET(TH!M$1,SMALL(Dong1,ROWS($1:1)),),0))</f>
        <v>10087000</v>
      </c>
      <c r="I14" s="172">
        <f ca="1">IF(E14&lt;&gt;"",I13+G14-H14,0)</f>
        <v>766925143</v>
      </c>
      <c r="J14" s="177"/>
    </row>
    <row r="15" spans="1:15" ht="19.5" customHeight="1">
      <c r="A15" s="171">
        <f ca="1">IF(ROWS($1:2)&gt;COUNT(Dong1),"",OFFSET(TH!C$1,SMALL(Dong1,ROWS($1:2)),))</f>
        <v>42462</v>
      </c>
      <c r="B15" s="171">
        <f ca="1">IF(ROWS($1:2)&gt;COUNT(Dong1),"",OFFSET(TH!E$1,SMALL(Dong1,ROWS($1:2)),))</f>
        <v>42358</v>
      </c>
      <c r="C15" s="172" t="str">
        <f ca="1">IF(ROWS($1:2)&gt;COUNT(Dong1),"",IF(OFFSET(TH!N$1,SMALL(Dong1,ROWS($1:2)),)="1111",OFFSET(TH!D$1,SMALL(Dong1,ROWS($1:2)),),""))</f>
        <v/>
      </c>
      <c r="D15" s="173" t="str">
        <f ca="1">IF(ROWS($1:2)&gt;COUNT(Dong1),"",IF(OFFSET(TH!O$1,SMALL(Dong1,ROWS($1:2)),)="1111",OFFSET(TH!D$1,SMALL(Dong1,ROWS($1:2)),),""))</f>
        <v>C01</v>
      </c>
      <c r="E15" s="442" t="str">
        <f ca="1">IF(ROWS($1:2)&gt;COUNT(Dong1),"",OFFSET(TH!F$1,SMALL(Dong1,ROWS($1:2)),))</f>
        <v>VAT Sơn 79A &amp; A901</v>
      </c>
      <c r="F15" s="175" t="str">
        <f ca="1">IF(ROWS($1:2)&gt;COUNT(Dong1),"",IF(OFFSET(TH!O$1,SMALL(Dong1,ROWS($1:2)),)="1111",OFFSET(TH!N$1,SMALL(Dong1,ROWS($1:2)),),OFFSET(TH!O$1,SMALL(Dong1,ROWS($1:2)),)))</f>
        <v>1332</v>
      </c>
      <c r="G15" s="176">
        <f ca="1">IF(ROWS($1:2)&gt;COUNT(Dong1),"",IF(OFFSET(TH!N$1,SMALL(Dong1,ROWS($1:2)),)="1111",OFFSET(TH!M$1,SMALL(Dong1,ROWS($1:2)),),0))</f>
        <v>0</v>
      </c>
      <c r="H15" s="174">
        <f ca="1">IF(ROWS($1:2)&gt;COUNT(Dong1),"",IF(OFFSET(TH!O$1,SMALL(Dong1,ROWS($1:2)),)="1111",OFFSET(TH!M$1,SMALL(Dong1,ROWS($1:2)),),0))</f>
        <v>1008700</v>
      </c>
      <c r="I15" s="172">
        <f t="shared" ref="I15:I78" ca="1" si="0">IF(E15&lt;&gt;"",I14+G15-H15,0)</f>
        <v>765916443</v>
      </c>
      <c r="J15" s="177"/>
    </row>
    <row r="16" spans="1:15" ht="19.5" customHeight="1">
      <c r="A16" s="171">
        <f ca="1">IF(ROWS($1:3)&gt;COUNT(Dong1),"",OFFSET(TH!C$1,SMALL(Dong1,ROWS($1:3)),))</f>
        <v>42462</v>
      </c>
      <c r="B16" s="171">
        <f ca="1">IF(ROWS($1:3)&gt;COUNT(Dong1),"",OFFSET(TH!E$1,SMALL(Dong1,ROWS($1:3)),))</f>
        <v>42361</v>
      </c>
      <c r="C16" s="172" t="str">
        <f ca="1">IF(ROWS($1:3)&gt;COUNT(Dong1),"",IF(OFFSET(TH!N$1,SMALL(Dong1,ROWS($1:3)),)="1111",OFFSET(TH!D$1,SMALL(Dong1,ROWS($1:3)),),""))</f>
        <v/>
      </c>
      <c r="D16" s="173" t="str">
        <f ca="1">IF(ROWS($1:3)&gt;COUNT(Dong1),"",IF(OFFSET(TH!O$1,SMALL(Dong1,ROWS($1:3)),)="1111",OFFSET(TH!D$1,SMALL(Dong1,ROWS($1:3)),),""))</f>
        <v>C02</v>
      </c>
      <c r="E16" s="442" t="str">
        <f ca="1">IF(ROWS($1:3)&gt;COUNT(Dong1),"",OFFSET(TH!F$1,SMALL(Dong1,ROWS($1:3)),))</f>
        <v>Bồn 1000L</v>
      </c>
      <c r="F16" s="175" t="str">
        <f ca="1">IF(ROWS($1:3)&gt;COUNT(Dong1),"",IF(OFFSET(TH!O$1,SMALL(Dong1,ROWS($1:3)),)="1111",OFFSET(TH!N$1,SMALL(Dong1,ROWS($1:3)),),OFFSET(TH!O$1,SMALL(Dong1,ROWS($1:3)),)))</f>
        <v>2412</v>
      </c>
      <c r="G16" s="176">
        <f ca="1">IF(ROWS($1:3)&gt;COUNT(Dong1),"",IF(OFFSET(TH!N$1,SMALL(Dong1,ROWS($1:3)),)="1111",OFFSET(TH!M$1,SMALL(Dong1,ROWS($1:3)),),0))</f>
        <v>0</v>
      </c>
      <c r="H16" s="174">
        <f ca="1">IF(ROWS($1:3)&gt;COUNT(Dong1),"",IF(OFFSET(TH!O$1,SMALL(Dong1,ROWS($1:3)),)="1111",OFFSET(TH!M$1,SMALL(Dong1,ROWS($1:3)),),0))</f>
        <v>16730000</v>
      </c>
      <c r="I16" s="172">
        <f t="shared" ca="1" si="0"/>
        <v>749186443</v>
      </c>
      <c r="J16" s="177"/>
    </row>
    <row r="17" spans="1:10" ht="19.5" customHeight="1">
      <c r="A17" s="171">
        <f ca="1">IF(ROWS($1:4)&gt;COUNT(Dong1),"",OFFSET(TH!C$1,SMALL(Dong1,ROWS($1:4)),))</f>
        <v>42462</v>
      </c>
      <c r="B17" s="171">
        <f ca="1">IF(ROWS($1:4)&gt;COUNT(Dong1),"",OFFSET(TH!E$1,SMALL(Dong1,ROWS($1:4)),))</f>
        <v>42361</v>
      </c>
      <c r="C17" s="172" t="str">
        <f ca="1">IF(ROWS($1:4)&gt;COUNT(Dong1),"",IF(OFFSET(TH!N$1,SMALL(Dong1,ROWS($1:4)),)="1111",OFFSET(TH!D$1,SMALL(Dong1,ROWS($1:4)),),""))</f>
        <v/>
      </c>
      <c r="D17" s="173" t="str">
        <f ca="1">IF(ROWS($1:4)&gt;COUNT(Dong1),"",IF(OFFSET(TH!O$1,SMALL(Dong1,ROWS($1:4)),)="1111",OFFSET(TH!D$1,SMALL(Dong1,ROWS($1:4)),),""))</f>
        <v>C02</v>
      </c>
      <c r="E17" s="442" t="str">
        <f ca="1">IF(ROWS($1:4)&gt;COUNT(Dong1),"",OFFSET(TH!F$1,SMALL(Dong1,ROWS($1:4)),))</f>
        <v>VAT Bồn 1000L</v>
      </c>
      <c r="F17" s="175" t="str">
        <f ca="1">IF(ROWS($1:4)&gt;COUNT(Dong1),"",IF(OFFSET(TH!O$1,SMALL(Dong1,ROWS($1:4)),)="1111",OFFSET(TH!N$1,SMALL(Dong1,ROWS($1:4)),),OFFSET(TH!O$1,SMALL(Dong1,ROWS($1:4)),)))</f>
        <v>1332</v>
      </c>
      <c r="G17" s="176">
        <f ca="1">IF(ROWS($1:4)&gt;COUNT(Dong1),"",IF(OFFSET(TH!N$1,SMALL(Dong1,ROWS($1:4)),)="1111",OFFSET(TH!M$1,SMALL(Dong1,ROWS($1:4)),),0))</f>
        <v>0</v>
      </c>
      <c r="H17" s="174">
        <f ca="1">IF(ROWS($1:4)&gt;COUNT(Dong1),"",IF(OFFSET(TH!O$1,SMALL(Dong1,ROWS($1:4)),)="1111",OFFSET(TH!M$1,SMALL(Dong1,ROWS($1:4)),),0))</f>
        <v>1673000</v>
      </c>
      <c r="I17" s="172">
        <f t="shared" ca="1" si="0"/>
        <v>747513443</v>
      </c>
      <c r="J17" s="177"/>
    </row>
    <row r="18" spans="1:10" ht="19.5" customHeight="1">
      <c r="A18" s="171">
        <f ca="1">IF(ROWS($1:5)&gt;COUNT(Dong1),"",OFFSET(TH!C$1,SMALL(Dong1,ROWS($1:5)),))</f>
        <v>42462</v>
      </c>
      <c r="B18" s="171">
        <f ca="1">IF(ROWS($1:5)&gt;COUNT(Dong1),"",OFFSET(TH!E$1,SMALL(Dong1,ROWS($1:5)),))</f>
        <v>42363</v>
      </c>
      <c r="C18" s="172" t="str">
        <f ca="1">IF(ROWS($1:5)&gt;COUNT(Dong1),"",IF(OFFSET(TH!N$1,SMALL(Dong1,ROWS($1:5)),)="1111",OFFSET(TH!D$1,SMALL(Dong1,ROWS($1:5)),),""))</f>
        <v/>
      </c>
      <c r="D18" s="173" t="str">
        <f ca="1">IF(ROWS($1:5)&gt;COUNT(Dong1),"",IF(OFFSET(TH!O$1,SMALL(Dong1,ROWS($1:5)),)="1111",OFFSET(TH!D$1,SMALL(Dong1,ROWS($1:5)),),""))</f>
        <v>C03</v>
      </c>
      <c r="E18" s="442" t="str">
        <f ca="1">IF(ROWS($1:5)&gt;COUNT(Dong1),"",OFFSET(TH!F$1,SMALL(Dong1,ROWS($1:5)),))</f>
        <v>Cầu C504 VTNT</v>
      </c>
      <c r="F18" s="175" t="str">
        <f ca="1">IF(ROWS($1:5)&gt;COUNT(Dong1),"",IF(OFFSET(TH!O$1,SMALL(Dong1,ROWS($1:5)),)="1111",OFFSET(TH!N$1,SMALL(Dong1,ROWS($1:5)),),OFFSET(TH!O$1,SMALL(Dong1,ROWS($1:5)),)))</f>
        <v>2412</v>
      </c>
      <c r="G18" s="176">
        <f ca="1">IF(ROWS($1:5)&gt;COUNT(Dong1),"",IF(OFFSET(TH!N$1,SMALL(Dong1,ROWS($1:5)),)="1111",OFFSET(TH!M$1,SMALL(Dong1,ROWS($1:5)),),0))</f>
        <v>0</v>
      </c>
      <c r="H18" s="174">
        <f ca="1">IF(ROWS($1:5)&gt;COUNT(Dong1),"",IF(OFFSET(TH!O$1,SMALL(Dong1,ROWS($1:5)),)="1111",OFFSET(TH!M$1,SMALL(Dong1,ROWS($1:5)),),0))</f>
        <v>18000000</v>
      </c>
      <c r="I18" s="172">
        <f t="shared" ca="1" si="0"/>
        <v>729513443</v>
      </c>
      <c r="J18" s="177"/>
    </row>
    <row r="19" spans="1:10" ht="19.5" customHeight="1">
      <c r="A19" s="171">
        <f ca="1">IF(ROWS($1:6)&gt;COUNT(Dong1),"",OFFSET(TH!C$1,SMALL(Dong1,ROWS($1:6)),))</f>
        <v>42462</v>
      </c>
      <c r="B19" s="171">
        <f ca="1">IF(ROWS($1:6)&gt;COUNT(Dong1),"",OFFSET(TH!E$1,SMALL(Dong1,ROWS($1:6)),))</f>
        <v>42363</v>
      </c>
      <c r="C19" s="172" t="str">
        <f ca="1">IF(ROWS($1:6)&gt;COUNT(Dong1),"",IF(OFFSET(TH!N$1,SMALL(Dong1,ROWS($1:6)),)="1111",OFFSET(TH!D$1,SMALL(Dong1,ROWS($1:6)),),""))</f>
        <v/>
      </c>
      <c r="D19" s="173" t="str">
        <f ca="1">IF(ROWS($1:6)&gt;COUNT(Dong1),"",IF(OFFSET(TH!O$1,SMALL(Dong1,ROWS($1:6)),)="1111",OFFSET(TH!D$1,SMALL(Dong1,ROWS($1:6)),),""))</f>
        <v>C03</v>
      </c>
      <c r="E19" s="442" t="str">
        <f ca="1">IF(ROWS($1:6)&gt;COUNT(Dong1),"",OFFSET(TH!F$1,SMALL(Dong1,ROWS($1:6)),))</f>
        <v>VAT Cầu C504 VTNT</v>
      </c>
      <c r="F19" s="175" t="str">
        <f ca="1">IF(ROWS($1:6)&gt;COUNT(Dong1),"",IF(OFFSET(TH!O$1,SMALL(Dong1,ROWS($1:6)),)="1111",OFFSET(TH!N$1,SMALL(Dong1,ROWS($1:6)),),OFFSET(TH!O$1,SMALL(Dong1,ROWS($1:6)),)))</f>
        <v>1332</v>
      </c>
      <c r="G19" s="176">
        <f ca="1">IF(ROWS($1:6)&gt;COUNT(Dong1),"",IF(OFFSET(TH!N$1,SMALL(Dong1,ROWS($1:6)),)="1111",OFFSET(TH!M$1,SMALL(Dong1,ROWS($1:6)),),0))</f>
        <v>0</v>
      </c>
      <c r="H19" s="174">
        <f ca="1">IF(ROWS($1:6)&gt;COUNT(Dong1),"",IF(OFFSET(TH!O$1,SMALL(Dong1,ROWS($1:6)),)="1111",OFFSET(TH!M$1,SMALL(Dong1,ROWS($1:6)),),0))</f>
        <v>1800000</v>
      </c>
      <c r="I19" s="172">
        <f t="shared" ca="1" si="0"/>
        <v>727713443</v>
      </c>
      <c r="J19" s="177"/>
    </row>
    <row r="20" spans="1:10" ht="19.5" customHeight="1">
      <c r="A20" s="171">
        <f ca="1">IF(ROWS($1:7)&gt;COUNT(Dong1),"",OFFSET(TH!C$1,SMALL(Dong1,ROWS($1:7)),))</f>
        <v>42462</v>
      </c>
      <c r="B20" s="171">
        <f ca="1">IF(ROWS($1:7)&gt;COUNT(Dong1),"",OFFSET(TH!E$1,SMALL(Dong1,ROWS($1:7)),))</f>
        <v>42377</v>
      </c>
      <c r="C20" s="172" t="str">
        <f ca="1">IF(ROWS($1:7)&gt;COUNT(Dong1),"",IF(OFFSET(TH!N$1,SMALL(Dong1,ROWS($1:7)),)="1111",OFFSET(TH!D$1,SMALL(Dong1,ROWS($1:7)),),""))</f>
        <v/>
      </c>
      <c r="D20" s="173" t="str">
        <f ca="1">IF(ROWS($1:7)&gt;COUNT(Dong1),"",IF(OFFSET(TH!O$1,SMALL(Dong1,ROWS($1:7)),)="1111",OFFSET(TH!D$1,SMALL(Dong1,ROWS($1:7)),),""))</f>
        <v>C04</v>
      </c>
      <c r="E20" s="442" t="str">
        <f ca="1">IF(ROWS($1:7)&gt;COUNT(Dong1),"",OFFSET(TH!F$1,SMALL(Dong1,ROWS($1:7)),))</f>
        <v>Sơn ngoại thất</v>
      </c>
      <c r="F20" s="175" t="str">
        <f ca="1">IF(ROWS($1:7)&gt;COUNT(Dong1),"",IF(OFFSET(TH!O$1,SMALL(Dong1,ROWS($1:7)),)="1111",OFFSET(TH!N$1,SMALL(Dong1,ROWS($1:7)),),OFFSET(TH!O$1,SMALL(Dong1,ROWS($1:7)),)))</f>
        <v>2412</v>
      </c>
      <c r="G20" s="176">
        <f ca="1">IF(ROWS($1:7)&gt;COUNT(Dong1),"",IF(OFFSET(TH!N$1,SMALL(Dong1,ROWS($1:7)),)="1111",OFFSET(TH!M$1,SMALL(Dong1,ROWS($1:7)),),0))</f>
        <v>0</v>
      </c>
      <c r="H20" s="174">
        <f ca="1">IF(ROWS($1:7)&gt;COUNT(Dong1),"",IF(OFFSET(TH!O$1,SMALL(Dong1,ROWS($1:7)),)="1111",OFFSET(TH!M$1,SMALL(Dong1,ROWS($1:7)),),0))</f>
        <v>17792215</v>
      </c>
      <c r="I20" s="172">
        <f t="shared" ca="1" si="0"/>
        <v>709921228</v>
      </c>
      <c r="J20" s="177"/>
    </row>
    <row r="21" spans="1:10" ht="19.5" customHeight="1">
      <c r="A21" s="171">
        <f ca="1">IF(ROWS($1:8)&gt;COUNT(Dong1),"",OFFSET(TH!C$1,SMALL(Dong1,ROWS($1:8)),))</f>
        <v>42462</v>
      </c>
      <c r="B21" s="171">
        <f ca="1">IF(ROWS($1:8)&gt;COUNT(Dong1),"",OFFSET(TH!E$1,SMALL(Dong1,ROWS($1:8)),))</f>
        <v>42377</v>
      </c>
      <c r="C21" s="172" t="str">
        <f ca="1">IF(ROWS($1:8)&gt;COUNT(Dong1),"",IF(OFFSET(TH!N$1,SMALL(Dong1,ROWS($1:8)),)="1111",OFFSET(TH!D$1,SMALL(Dong1,ROWS($1:8)),),""))</f>
        <v/>
      </c>
      <c r="D21" s="173" t="str">
        <f ca="1">IF(ROWS($1:8)&gt;COUNT(Dong1),"",IF(OFFSET(TH!O$1,SMALL(Dong1,ROWS($1:8)),)="1111",OFFSET(TH!D$1,SMALL(Dong1,ROWS($1:8)),),""))</f>
        <v>C04</v>
      </c>
      <c r="E21" s="442" t="str">
        <f ca="1">IF(ROWS($1:8)&gt;COUNT(Dong1),"",OFFSET(TH!F$1,SMALL(Dong1,ROWS($1:8)),))</f>
        <v>VAT Sơn ngoại thất</v>
      </c>
      <c r="F21" s="175" t="str">
        <f ca="1">IF(ROWS($1:8)&gt;COUNT(Dong1),"",IF(OFFSET(TH!O$1,SMALL(Dong1,ROWS($1:8)),)="1111",OFFSET(TH!N$1,SMALL(Dong1,ROWS($1:8)),),OFFSET(TH!O$1,SMALL(Dong1,ROWS($1:8)),)))</f>
        <v>1332</v>
      </c>
      <c r="G21" s="176">
        <f ca="1">IF(ROWS($1:8)&gt;COUNT(Dong1),"",IF(OFFSET(TH!N$1,SMALL(Dong1,ROWS($1:8)),)="1111",OFFSET(TH!M$1,SMALL(Dong1,ROWS($1:8)),),0))</f>
        <v>0</v>
      </c>
      <c r="H21" s="174">
        <f ca="1">IF(ROWS($1:8)&gt;COUNT(Dong1),"",IF(OFFSET(TH!O$1,SMALL(Dong1,ROWS($1:8)),)="1111",OFFSET(TH!M$1,SMALL(Dong1,ROWS($1:8)),),0))</f>
        <v>1779222</v>
      </c>
      <c r="I21" s="172">
        <f t="shared" ca="1" si="0"/>
        <v>708142006</v>
      </c>
      <c r="J21" s="177"/>
    </row>
    <row r="22" spans="1:10" ht="19.5" customHeight="1">
      <c r="A22" s="171">
        <f ca="1">IF(ROWS($1:9)&gt;COUNT(Dong1),"",OFFSET(TH!C$1,SMALL(Dong1,ROWS($1:9)),))</f>
        <v>42462</v>
      </c>
      <c r="B22" s="171">
        <f ca="1">IF(ROWS($1:9)&gt;COUNT(Dong1),"",OFFSET(TH!E$1,SMALL(Dong1,ROWS($1:9)),))</f>
        <v>42378</v>
      </c>
      <c r="C22" s="172" t="str">
        <f ca="1">IF(ROWS($1:9)&gt;COUNT(Dong1),"",IF(OFFSET(TH!N$1,SMALL(Dong1,ROWS($1:9)),)="1111",OFFSET(TH!D$1,SMALL(Dong1,ROWS($1:9)),),""))</f>
        <v/>
      </c>
      <c r="D22" s="173" t="str">
        <f ca="1">IF(ROWS($1:9)&gt;COUNT(Dong1),"",IF(OFFSET(TH!O$1,SMALL(Dong1,ROWS($1:9)),)="1111",OFFSET(TH!D$1,SMALL(Dong1,ROWS($1:9)),),""))</f>
        <v>C05</v>
      </c>
      <c r="E22" s="442" t="str">
        <f ca="1">IF(ROWS($1:9)&gt;COUNT(Dong1),"",OFFSET(TH!F$1,SMALL(Dong1,ROWS($1:9)),))</f>
        <v>Sơn nội thất</v>
      </c>
      <c r="F22" s="175" t="str">
        <f ca="1">IF(ROWS($1:9)&gt;COUNT(Dong1),"",IF(OFFSET(TH!O$1,SMALL(Dong1,ROWS($1:9)),)="1111",OFFSET(TH!N$1,SMALL(Dong1,ROWS($1:9)),),OFFSET(TH!O$1,SMALL(Dong1,ROWS($1:9)),)))</f>
        <v>2412</v>
      </c>
      <c r="G22" s="176">
        <f ca="1">IF(ROWS($1:9)&gt;COUNT(Dong1),"",IF(OFFSET(TH!N$1,SMALL(Dong1,ROWS($1:9)),)="1111",OFFSET(TH!M$1,SMALL(Dong1,ROWS($1:9)),),0))</f>
        <v>0</v>
      </c>
      <c r="H22" s="174">
        <f ca="1">IF(ROWS($1:9)&gt;COUNT(Dong1),"",IF(OFFSET(TH!O$1,SMALL(Dong1,ROWS($1:9)),)="1111",OFFSET(TH!M$1,SMALL(Dong1,ROWS($1:9)),),0))</f>
        <v>17347890</v>
      </c>
      <c r="I22" s="172">
        <f t="shared" ca="1" si="0"/>
        <v>690794116</v>
      </c>
      <c r="J22" s="177"/>
    </row>
    <row r="23" spans="1:10" ht="19.5" customHeight="1">
      <c r="A23" s="171">
        <f ca="1">IF(ROWS($1:10)&gt;COUNT(Dong1),"",OFFSET(TH!C$1,SMALL(Dong1,ROWS($1:10)),))</f>
        <v>42462</v>
      </c>
      <c r="B23" s="171">
        <f ca="1">IF(ROWS($1:10)&gt;COUNT(Dong1),"",OFFSET(TH!E$1,SMALL(Dong1,ROWS($1:10)),))</f>
        <v>42378</v>
      </c>
      <c r="C23" s="172" t="str">
        <f ca="1">IF(ROWS($1:10)&gt;COUNT(Dong1),"",IF(OFFSET(TH!N$1,SMALL(Dong1,ROWS($1:10)),)="1111",OFFSET(TH!D$1,SMALL(Dong1,ROWS($1:10)),),""))</f>
        <v/>
      </c>
      <c r="D23" s="173" t="str">
        <f ca="1">IF(ROWS($1:10)&gt;COUNT(Dong1),"",IF(OFFSET(TH!O$1,SMALL(Dong1,ROWS($1:10)),)="1111",OFFSET(TH!D$1,SMALL(Dong1,ROWS($1:10)),),""))</f>
        <v>C05</v>
      </c>
      <c r="E23" s="442" t="str">
        <f ca="1">IF(ROWS($1:10)&gt;COUNT(Dong1),"",OFFSET(TH!F$1,SMALL(Dong1,ROWS($1:10)),))</f>
        <v>VAT Sơn nội thất</v>
      </c>
      <c r="F23" s="175" t="str">
        <f ca="1">IF(ROWS($1:10)&gt;COUNT(Dong1),"",IF(OFFSET(TH!O$1,SMALL(Dong1,ROWS($1:10)),)="1111",OFFSET(TH!N$1,SMALL(Dong1,ROWS($1:10)),),OFFSET(TH!O$1,SMALL(Dong1,ROWS($1:10)),)))</f>
        <v>1332</v>
      </c>
      <c r="G23" s="176">
        <f ca="1">IF(ROWS($1:10)&gt;COUNT(Dong1),"",IF(OFFSET(TH!N$1,SMALL(Dong1,ROWS($1:10)),)="1111",OFFSET(TH!M$1,SMALL(Dong1,ROWS($1:10)),),0))</f>
        <v>0</v>
      </c>
      <c r="H23" s="174">
        <f ca="1">IF(ROWS($1:10)&gt;COUNT(Dong1),"",IF(OFFSET(TH!O$1,SMALL(Dong1,ROWS($1:10)),)="1111",OFFSET(TH!M$1,SMALL(Dong1,ROWS($1:10)),),0))</f>
        <v>1734789</v>
      </c>
      <c r="I23" s="172">
        <f t="shared" ca="1" si="0"/>
        <v>689059327</v>
      </c>
      <c r="J23" s="177"/>
    </row>
    <row r="24" spans="1:10" ht="19.5" customHeight="1">
      <c r="A24" s="171">
        <f ca="1">IF(ROWS($1:11)&gt;COUNT(Dong1),"",OFFSET(TH!C$1,SMALL(Dong1,ROWS($1:11)),))</f>
        <v>42462</v>
      </c>
      <c r="B24" s="171">
        <f ca="1">IF(ROWS($1:11)&gt;COUNT(Dong1),"",OFFSET(TH!E$1,SMALL(Dong1,ROWS($1:11)),))</f>
        <v>42379</v>
      </c>
      <c r="C24" s="172" t="str">
        <f ca="1">IF(ROWS($1:11)&gt;COUNT(Dong1),"",IF(OFFSET(TH!N$1,SMALL(Dong1,ROWS($1:11)),)="1111",OFFSET(TH!D$1,SMALL(Dong1,ROWS($1:11)),),""))</f>
        <v/>
      </c>
      <c r="D24" s="173" t="str">
        <f ca="1">IF(ROWS($1:11)&gt;COUNT(Dong1),"",IF(OFFSET(TH!O$1,SMALL(Dong1,ROWS($1:11)),)="1111",OFFSET(TH!D$1,SMALL(Dong1,ROWS($1:11)),),""))</f>
        <v>C06</v>
      </c>
      <c r="E24" s="442" t="str">
        <f ca="1">IF(ROWS($1:11)&gt;COUNT(Dong1),"",OFFSET(TH!F$1,SMALL(Dong1,ROWS($1:11)),))</f>
        <v>Sơn ngoại thất</v>
      </c>
      <c r="F24" s="175" t="str">
        <f ca="1">IF(ROWS($1:11)&gt;COUNT(Dong1),"",IF(OFFSET(TH!O$1,SMALL(Dong1,ROWS($1:11)),)="1111",OFFSET(TH!N$1,SMALL(Dong1,ROWS($1:11)),),OFFSET(TH!O$1,SMALL(Dong1,ROWS($1:11)),)))</f>
        <v>2412</v>
      </c>
      <c r="G24" s="176">
        <f ca="1">IF(ROWS($1:11)&gt;COUNT(Dong1),"",IF(OFFSET(TH!N$1,SMALL(Dong1,ROWS($1:11)),)="1111",OFFSET(TH!M$1,SMALL(Dong1,ROWS($1:11)),),0))</f>
        <v>0</v>
      </c>
      <c r="H24" s="174">
        <f ca="1">IF(ROWS($1:11)&gt;COUNT(Dong1),"",IF(OFFSET(TH!O$1,SMALL(Dong1,ROWS($1:11)),)="1111",OFFSET(TH!M$1,SMALL(Dong1,ROWS($1:11)),),0))</f>
        <v>17840000</v>
      </c>
      <c r="I24" s="172">
        <f t="shared" ca="1" si="0"/>
        <v>671219327</v>
      </c>
      <c r="J24" s="177"/>
    </row>
    <row r="25" spans="1:10" ht="19.5" customHeight="1">
      <c r="A25" s="171">
        <f ca="1">IF(ROWS($1:12)&gt;COUNT(Dong1),"",OFFSET(TH!C$1,SMALL(Dong1,ROWS($1:12)),))</f>
        <v>42462</v>
      </c>
      <c r="B25" s="171">
        <f ca="1">IF(ROWS($1:12)&gt;COUNT(Dong1),"",OFFSET(TH!E$1,SMALL(Dong1,ROWS($1:12)),))</f>
        <v>42379</v>
      </c>
      <c r="C25" s="172" t="str">
        <f ca="1">IF(ROWS($1:12)&gt;COUNT(Dong1),"",IF(OFFSET(TH!N$1,SMALL(Dong1,ROWS($1:12)),)="1111",OFFSET(TH!D$1,SMALL(Dong1,ROWS($1:12)),),""))</f>
        <v/>
      </c>
      <c r="D25" s="173" t="str">
        <f ca="1">IF(ROWS($1:12)&gt;COUNT(Dong1),"",IF(OFFSET(TH!O$1,SMALL(Dong1,ROWS($1:12)),)="1111",OFFSET(TH!D$1,SMALL(Dong1,ROWS($1:12)),),""))</f>
        <v>C06</v>
      </c>
      <c r="E25" s="442" t="str">
        <f ca="1">IF(ROWS($1:12)&gt;COUNT(Dong1),"",OFFSET(TH!F$1,SMALL(Dong1,ROWS($1:12)),))</f>
        <v>VAT Sơn ngoại thất</v>
      </c>
      <c r="F25" s="175" t="str">
        <f ca="1">IF(ROWS($1:12)&gt;COUNT(Dong1),"",IF(OFFSET(TH!O$1,SMALL(Dong1,ROWS($1:12)),)="1111",OFFSET(TH!N$1,SMALL(Dong1,ROWS($1:12)),),OFFSET(TH!O$1,SMALL(Dong1,ROWS($1:12)),)))</f>
        <v>1332</v>
      </c>
      <c r="G25" s="176">
        <f ca="1">IF(ROWS($1:12)&gt;COUNT(Dong1),"",IF(OFFSET(TH!N$1,SMALL(Dong1,ROWS($1:12)),)="1111",OFFSET(TH!M$1,SMALL(Dong1,ROWS($1:12)),),0))</f>
        <v>0</v>
      </c>
      <c r="H25" s="174">
        <f ca="1">IF(ROWS($1:12)&gt;COUNT(Dong1),"",IF(OFFSET(TH!O$1,SMALL(Dong1,ROWS($1:12)),)="1111",OFFSET(TH!M$1,SMALL(Dong1,ROWS($1:12)),),0))</f>
        <v>1784000</v>
      </c>
      <c r="I25" s="172">
        <f t="shared" ca="1" si="0"/>
        <v>669435327</v>
      </c>
      <c r="J25" s="177"/>
    </row>
    <row r="26" spans="1:10" ht="19.5" customHeight="1">
      <c r="A26" s="171">
        <f ca="1">IF(ROWS($1:13)&gt;COUNT(Dong1),"",OFFSET(TH!C$1,SMALL(Dong1,ROWS($1:13)),))</f>
        <v>42462</v>
      </c>
      <c r="B26" s="171">
        <f ca="1">IF(ROWS($1:13)&gt;COUNT(Dong1),"",OFFSET(TH!E$1,SMALL(Dong1,ROWS($1:13)),))</f>
        <v>42388</v>
      </c>
      <c r="C26" s="172" t="str">
        <f ca="1">IF(ROWS($1:13)&gt;COUNT(Dong1),"",IF(OFFSET(TH!N$1,SMALL(Dong1,ROWS($1:13)),)="1111",OFFSET(TH!D$1,SMALL(Dong1,ROWS($1:13)),),""))</f>
        <v/>
      </c>
      <c r="D26" s="173" t="str">
        <f ca="1">IF(ROWS($1:13)&gt;COUNT(Dong1),"",IF(OFFSET(TH!O$1,SMALL(Dong1,ROWS($1:13)),)="1111",OFFSET(TH!D$1,SMALL(Dong1,ROWS($1:13)),),""))</f>
        <v>C07</v>
      </c>
      <c r="E26" s="442" t="str">
        <f ca="1">IF(ROWS($1:13)&gt;COUNT(Dong1),"",OFFSET(TH!F$1,SMALL(Dong1,ROWS($1:13)),))</f>
        <v>Vật dụng phòng khách</v>
      </c>
      <c r="F26" s="175" t="str">
        <f ca="1">IF(ROWS($1:13)&gt;COUNT(Dong1),"",IF(OFFSET(TH!O$1,SMALL(Dong1,ROWS($1:13)),)="1111",OFFSET(TH!N$1,SMALL(Dong1,ROWS($1:13)),),OFFSET(TH!O$1,SMALL(Dong1,ROWS($1:13)),)))</f>
        <v>2412</v>
      </c>
      <c r="G26" s="176">
        <f ca="1">IF(ROWS($1:13)&gt;COUNT(Dong1),"",IF(OFFSET(TH!N$1,SMALL(Dong1,ROWS($1:13)),)="1111",OFFSET(TH!M$1,SMALL(Dong1,ROWS($1:13)),),0))</f>
        <v>0</v>
      </c>
      <c r="H26" s="174">
        <f ca="1">IF(ROWS($1:13)&gt;COUNT(Dong1),"",IF(OFFSET(TH!O$1,SMALL(Dong1,ROWS($1:13)),)="1111",OFFSET(TH!M$1,SMALL(Dong1,ROWS($1:13)),),0))</f>
        <v>16263636</v>
      </c>
      <c r="I26" s="172">
        <f t="shared" ca="1" si="0"/>
        <v>653171691</v>
      </c>
      <c r="J26" s="177"/>
    </row>
    <row r="27" spans="1:10" ht="19.5" customHeight="1">
      <c r="A27" s="171">
        <f ca="1">IF(ROWS($1:14)&gt;COUNT(Dong1),"",OFFSET(TH!C$1,SMALL(Dong1,ROWS($1:14)),))</f>
        <v>42462</v>
      </c>
      <c r="B27" s="171">
        <f ca="1">IF(ROWS($1:14)&gt;COUNT(Dong1),"",OFFSET(TH!E$1,SMALL(Dong1,ROWS($1:14)),))</f>
        <v>42388</v>
      </c>
      <c r="C27" s="172" t="str">
        <f ca="1">IF(ROWS($1:14)&gt;COUNT(Dong1),"",IF(OFFSET(TH!N$1,SMALL(Dong1,ROWS($1:14)),)="1111",OFFSET(TH!D$1,SMALL(Dong1,ROWS($1:14)),),""))</f>
        <v/>
      </c>
      <c r="D27" s="173" t="str">
        <f ca="1">IF(ROWS($1:14)&gt;COUNT(Dong1),"",IF(OFFSET(TH!O$1,SMALL(Dong1,ROWS($1:14)),)="1111",OFFSET(TH!D$1,SMALL(Dong1,ROWS($1:14)),),""))</f>
        <v>C07</v>
      </c>
      <c r="E27" s="442" t="str">
        <f ca="1">IF(ROWS($1:14)&gt;COUNT(Dong1),"",OFFSET(TH!F$1,SMALL(Dong1,ROWS($1:14)),))</f>
        <v>VAT Vật dụng phòng khách</v>
      </c>
      <c r="F27" s="175" t="str">
        <f ca="1">IF(ROWS($1:14)&gt;COUNT(Dong1),"",IF(OFFSET(TH!O$1,SMALL(Dong1,ROWS($1:14)),)="1111",OFFSET(TH!N$1,SMALL(Dong1,ROWS($1:14)),),OFFSET(TH!O$1,SMALL(Dong1,ROWS($1:14)),)))</f>
        <v>1332</v>
      </c>
      <c r="G27" s="176">
        <f ca="1">IF(ROWS($1:14)&gt;COUNT(Dong1),"",IF(OFFSET(TH!N$1,SMALL(Dong1,ROWS($1:14)),)="1111",OFFSET(TH!M$1,SMALL(Dong1,ROWS($1:14)),),0))</f>
        <v>0</v>
      </c>
      <c r="H27" s="174">
        <f ca="1">IF(ROWS($1:14)&gt;COUNT(Dong1),"",IF(OFFSET(TH!O$1,SMALL(Dong1,ROWS($1:14)),)="1111",OFFSET(TH!M$1,SMALL(Dong1,ROWS($1:14)),),0))</f>
        <v>1626364</v>
      </c>
      <c r="I27" s="172">
        <f t="shared" ca="1" si="0"/>
        <v>651545327</v>
      </c>
      <c r="J27" s="177"/>
    </row>
    <row r="28" spans="1:10" ht="19.5" customHeight="1">
      <c r="A28" s="171">
        <f ca="1">IF(ROWS($1:15)&gt;COUNT(Dong1),"",OFFSET(TH!C$1,SMALL(Dong1,ROWS($1:15)),))</f>
        <v>42462</v>
      </c>
      <c r="B28" s="171">
        <f ca="1">IF(ROWS($1:15)&gt;COUNT(Dong1),"",OFFSET(TH!E$1,SMALL(Dong1,ROWS($1:15)),))</f>
        <v>42462</v>
      </c>
      <c r="C28" s="172" t="str">
        <f ca="1">IF(ROWS($1:15)&gt;COUNT(Dong1),"",IF(OFFSET(TH!N$1,SMALL(Dong1,ROWS($1:15)),)="1111",OFFSET(TH!D$1,SMALL(Dong1,ROWS($1:15)),),""))</f>
        <v/>
      </c>
      <c r="D28" s="173" t="str">
        <f ca="1">IF(ROWS($1:15)&gt;COUNT(Dong1),"",IF(OFFSET(TH!O$1,SMALL(Dong1,ROWS($1:15)),)="1111",OFFSET(TH!D$1,SMALL(Dong1,ROWS($1:15)),),""))</f>
        <v>C08</v>
      </c>
      <c r="E28" s="442" t="str">
        <f ca="1">IF(ROWS($1:15)&gt;COUNT(Dong1),"",OFFSET(TH!F$1,SMALL(Dong1,ROWS($1:15)),))</f>
        <v>Vật liệu điện</v>
      </c>
      <c r="F28" s="175" t="str">
        <f ca="1">IF(ROWS($1:15)&gt;COUNT(Dong1),"",IF(OFFSET(TH!O$1,SMALL(Dong1,ROWS($1:15)),)="1111",OFFSET(TH!N$1,SMALL(Dong1,ROWS($1:15)),),OFFSET(TH!O$1,SMALL(Dong1,ROWS($1:15)),)))</f>
        <v>2412</v>
      </c>
      <c r="G28" s="176">
        <f ca="1">IF(ROWS($1:15)&gt;COUNT(Dong1),"",IF(OFFSET(TH!N$1,SMALL(Dong1,ROWS($1:15)),)="1111",OFFSET(TH!M$1,SMALL(Dong1,ROWS($1:15)),),0))</f>
        <v>0</v>
      </c>
      <c r="H28" s="174">
        <f ca="1">IF(ROWS($1:15)&gt;COUNT(Dong1),"",IF(OFFSET(TH!O$1,SMALL(Dong1,ROWS($1:15)),)="1111",OFFSET(TH!M$1,SMALL(Dong1,ROWS($1:15)),),0))</f>
        <v>1935000</v>
      </c>
      <c r="I28" s="172">
        <f t="shared" ca="1" si="0"/>
        <v>649610327</v>
      </c>
      <c r="J28" s="177"/>
    </row>
    <row r="29" spans="1:10" ht="19.5" customHeight="1">
      <c r="A29" s="171">
        <f ca="1">IF(ROWS($1:16)&gt;COUNT(Dong1),"",OFFSET(TH!C$1,SMALL(Dong1,ROWS($1:16)),))</f>
        <v>42462</v>
      </c>
      <c r="B29" s="171">
        <f ca="1">IF(ROWS($1:16)&gt;COUNT(Dong1),"",OFFSET(TH!E$1,SMALL(Dong1,ROWS($1:16)),))</f>
        <v>42462</v>
      </c>
      <c r="C29" s="172" t="str">
        <f ca="1">IF(ROWS($1:16)&gt;COUNT(Dong1),"",IF(OFFSET(TH!N$1,SMALL(Dong1,ROWS($1:16)),)="1111",OFFSET(TH!D$1,SMALL(Dong1,ROWS($1:16)),),""))</f>
        <v/>
      </c>
      <c r="D29" s="173" t="str">
        <f ca="1">IF(ROWS($1:16)&gt;COUNT(Dong1),"",IF(OFFSET(TH!O$1,SMALL(Dong1,ROWS($1:16)),)="1111",OFFSET(TH!D$1,SMALL(Dong1,ROWS($1:16)),),""))</f>
        <v>C09</v>
      </c>
      <c r="E29" s="442" t="str">
        <f ca="1">IF(ROWS($1:16)&gt;COUNT(Dong1),"",OFFSET(TH!F$1,SMALL(Dong1,ROWS($1:16)),))</f>
        <v>Phí giao thông - Quý I / 2016</v>
      </c>
      <c r="F29" s="175" t="str">
        <f ca="1">IF(ROWS($1:16)&gt;COUNT(Dong1),"",IF(OFFSET(TH!O$1,SMALL(Dong1,ROWS($1:16)),)="1111",OFFSET(TH!N$1,SMALL(Dong1,ROWS($1:16)),),OFFSET(TH!O$1,SMALL(Dong1,ROWS($1:16)),)))</f>
        <v>642</v>
      </c>
      <c r="G29" s="176">
        <f ca="1">IF(ROWS($1:16)&gt;COUNT(Dong1),"",IF(OFFSET(TH!N$1,SMALL(Dong1,ROWS($1:16)),)="1111",OFFSET(TH!M$1,SMALL(Dong1,ROWS($1:16)),),0))</f>
        <v>0</v>
      </c>
      <c r="H29" s="174">
        <f ca="1">IF(ROWS($1:16)&gt;COUNT(Dong1),"",IF(OFFSET(TH!O$1,SMALL(Dong1,ROWS($1:16)),)="1111",OFFSET(TH!M$1,SMALL(Dong1,ROWS($1:16)),),0))</f>
        <v>2200000</v>
      </c>
      <c r="I29" s="172">
        <f t="shared" ca="1" si="0"/>
        <v>647410327</v>
      </c>
      <c r="J29" s="177"/>
    </row>
    <row r="30" spans="1:10" ht="19.5" customHeight="1">
      <c r="A30" s="171">
        <f ca="1">IF(ROWS($1:17)&gt;COUNT(Dong1),"",OFFSET(TH!C$1,SMALL(Dong1,ROWS($1:17)),))</f>
        <v>42462</v>
      </c>
      <c r="B30" s="171">
        <f ca="1">IF(ROWS($1:17)&gt;COUNT(Dong1),"",OFFSET(TH!E$1,SMALL(Dong1,ROWS($1:17)),))</f>
        <v>42462</v>
      </c>
      <c r="C30" s="172" t="str">
        <f ca="1">IF(ROWS($1:17)&gt;COUNT(Dong1),"",IF(OFFSET(TH!N$1,SMALL(Dong1,ROWS($1:17)),)="1111",OFFSET(TH!D$1,SMALL(Dong1,ROWS($1:17)),),""))</f>
        <v/>
      </c>
      <c r="D30" s="173" t="str">
        <f ca="1">IF(ROWS($1:17)&gt;COUNT(Dong1),"",IF(OFFSET(TH!O$1,SMALL(Dong1,ROWS($1:17)),)="1111",OFFSET(TH!D$1,SMALL(Dong1,ROWS($1:17)),),""))</f>
        <v>C09</v>
      </c>
      <c r="E30" s="442" t="str">
        <f ca="1">IF(ROWS($1:17)&gt;COUNT(Dong1),"",OFFSET(TH!F$1,SMALL(Dong1,ROWS($1:17)),))</f>
        <v>VAT Phí giao thông - Quý I / 2016</v>
      </c>
      <c r="F30" s="175" t="str">
        <f ca="1">IF(ROWS($1:17)&gt;COUNT(Dong1),"",IF(OFFSET(TH!O$1,SMALL(Dong1,ROWS($1:17)),)="1111",OFFSET(TH!N$1,SMALL(Dong1,ROWS($1:17)),),OFFSET(TH!O$1,SMALL(Dong1,ROWS($1:17)),)))</f>
        <v>1331</v>
      </c>
      <c r="G30" s="176">
        <f ca="1">IF(ROWS($1:17)&gt;COUNT(Dong1),"",IF(OFFSET(TH!N$1,SMALL(Dong1,ROWS($1:17)),)="1111",OFFSET(TH!M$1,SMALL(Dong1,ROWS($1:17)),),0))</f>
        <v>0</v>
      </c>
      <c r="H30" s="174">
        <f ca="1">IF(ROWS($1:17)&gt;COUNT(Dong1),"",IF(OFFSET(TH!O$1,SMALL(Dong1,ROWS($1:17)),)="1111",OFFSET(TH!M$1,SMALL(Dong1,ROWS($1:17)),),0))</f>
        <v>220000</v>
      </c>
      <c r="I30" s="172">
        <f t="shared" ca="1" si="0"/>
        <v>647190327</v>
      </c>
      <c r="J30" s="177"/>
    </row>
    <row r="31" spans="1:10" ht="19.5" customHeight="1">
      <c r="A31" s="171">
        <f ca="1">IF(ROWS($1:18)&gt;COUNT(Dong1),"",OFFSET(TH!C$1,SMALL(Dong1,ROWS($1:18)),))</f>
        <v>42467</v>
      </c>
      <c r="B31" s="171">
        <f ca="1">IF(ROWS($1:18)&gt;COUNT(Dong1),"",OFFSET(TH!E$1,SMALL(Dong1,ROWS($1:18)),))</f>
        <v>42467</v>
      </c>
      <c r="C31" s="172" t="str">
        <f ca="1">IF(ROWS($1:18)&gt;COUNT(Dong1),"",IF(OFFSET(TH!N$1,SMALL(Dong1,ROWS($1:18)),)="1111",OFFSET(TH!D$1,SMALL(Dong1,ROWS($1:18)),),""))</f>
        <v/>
      </c>
      <c r="D31" s="173" t="str">
        <f ca="1">IF(ROWS($1:18)&gt;COUNT(Dong1),"",IF(OFFSET(TH!O$1,SMALL(Dong1,ROWS($1:18)),)="1111",OFFSET(TH!D$1,SMALL(Dong1,ROWS($1:18)),),""))</f>
        <v>C10</v>
      </c>
      <c r="E31" s="442" t="str">
        <f ca="1">IF(ROWS($1:18)&gt;COUNT(Dong1),"",OFFSET(TH!F$1,SMALL(Dong1,ROWS($1:18)),))</f>
        <v>Vật liệu điện</v>
      </c>
      <c r="F31" s="175" t="str">
        <f ca="1">IF(ROWS($1:18)&gt;COUNT(Dong1),"",IF(OFFSET(TH!O$1,SMALL(Dong1,ROWS($1:18)),)="1111",OFFSET(TH!N$1,SMALL(Dong1,ROWS($1:18)),),OFFSET(TH!O$1,SMALL(Dong1,ROWS($1:18)),)))</f>
        <v>2412</v>
      </c>
      <c r="G31" s="176">
        <f ca="1">IF(ROWS($1:18)&gt;COUNT(Dong1),"",IF(OFFSET(TH!N$1,SMALL(Dong1,ROWS($1:18)),)="1111",OFFSET(TH!M$1,SMALL(Dong1,ROWS($1:18)),),0))</f>
        <v>0</v>
      </c>
      <c r="H31" s="174">
        <f ca="1">IF(ROWS($1:18)&gt;COUNT(Dong1),"",IF(OFFSET(TH!O$1,SMALL(Dong1,ROWS($1:18)),)="1111",OFFSET(TH!M$1,SMALL(Dong1,ROWS($1:18)),),0))</f>
        <v>1287000</v>
      </c>
      <c r="I31" s="172">
        <f t="shared" ca="1" si="0"/>
        <v>645903327</v>
      </c>
      <c r="J31" s="177"/>
    </row>
    <row r="32" spans="1:10" ht="19.5" customHeight="1">
      <c r="A32" s="171">
        <f ca="1">IF(ROWS($1:19)&gt;COUNT(Dong1),"",OFFSET(TH!C$1,SMALL(Dong1,ROWS($1:19)),))</f>
        <v>42470</v>
      </c>
      <c r="B32" s="171">
        <f ca="1">IF(ROWS($1:19)&gt;COUNT(Dong1),"",OFFSET(TH!E$1,SMALL(Dong1,ROWS($1:19)),))</f>
        <v>42470</v>
      </c>
      <c r="C32" s="172" t="str">
        <f ca="1">IF(ROWS($1:19)&gt;COUNT(Dong1),"",IF(OFFSET(TH!N$1,SMALL(Dong1,ROWS($1:19)),)="1111",OFFSET(TH!D$1,SMALL(Dong1,ROWS($1:19)),),""))</f>
        <v/>
      </c>
      <c r="D32" s="173" t="str">
        <f ca="1">IF(ROWS($1:19)&gt;COUNT(Dong1),"",IF(OFFSET(TH!O$1,SMALL(Dong1,ROWS($1:19)),)="1111",OFFSET(TH!D$1,SMALL(Dong1,ROWS($1:19)),),""))</f>
        <v>C11</v>
      </c>
      <c r="E32" s="442" t="str">
        <f ca="1">IF(ROWS($1:19)&gt;COUNT(Dong1),"",OFFSET(TH!F$1,SMALL(Dong1,ROWS($1:19)),))</f>
        <v>Phí dịch vụ bảo vệ T3/2016</v>
      </c>
      <c r="F32" s="175" t="str">
        <f ca="1">IF(ROWS($1:19)&gt;COUNT(Dong1),"",IF(OFFSET(TH!O$1,SMALL(Dong1,ROWS($1:19)),)="1111",OFFSET(TH!N$1,SMALL(Dong1,ROWS($1:19)),),OFFSET(TH!O$1,SMALL(Dong1,ROWS($1:19)),)))</f>
        <v>642</v>
      </c>
      <c r="G32" s="176">
        <f ca="1">IF(ROWS($1:19)&gt;COUNT(Dong1),"",IF(OFFSET(TH!N$1,SMALL(Dong1,ROWS($1:19)),)="1111",OFFSET(TH!M$1,SMALL(Dong1,ROWS($1:19)),),0))</f>
        <v>0</v>
      </c>
      <c r="H32" s="174">
        <f ca="1">IF(ROWS($1:19)&gt;COUNT(Dong1),"",IF(OFFSET(TH!O$1,SMALL(Dong1,ROWS($1:19)),)="1111",OFFSET(TH!M$1,SMALL(Dong1,ROWS($1:19)),),0))</f>
        <v>6818182</v>
      </c>
      <c r="I32" s="172">
        <f t="shared" ca="1" si="0"/>
        <v>639085145</v>
      </c>
      <c r="J32" s="177"/>
    </row>
    <row r="33" spans="1:10" ht="19.5" customHeight="1">
      <c r="A33" s="171">
        <f ca="1">IF(ROWS($1:20)&gt;COUNT(Dong1),"",OFFSET(TH!C$1,SMALL(Dong1,ROWS($1:20)),))</f>
        <v>42470</v>
      </c>
      <c r="B33" s="171">
        <f ca="1">IF(ROWS($1:20)&gt;COUNT(Dong1),"",OFFSET(TH!E$1,SMALL(Dong1,ROWS($1:20)),))</f>
        <v>42470</v>
      </c>
      <c r="C33" s="172" t="str">
        <f ca="1">IF(ROWS($1:20)&gt;COUNT(Dong1),"",IF(OFFSET(TH!N$1,SMALL(Dong1,ROWS($1:20)),)="1111",OFFSET(TH!D$1,SMALL(Dong1,ROWS($1:20)),),""))</f>
        <v/>
      </c>
      <c r="D33" s="173" t="str">
        <f ca="1">IF(ROWS($1:20)&gt;COUNT(Dong1),"",IF(OFFSET(TH!O$1,SMALL(Dong1,ROWS($1:20)),)="1111",OFFSET(TH!D$1,SMALL(Dong1,ROWS($1:20)),),""))</f>
        <v>C11</v>
      </c>
      <c r="E33" s="442" t="str">
        <f ca="1">IF(ROWS($1:20)&gt;COUNT(Dong1),"",OFFSET(TH!F$1,SMALL(Dong1,ROWS($1:20)),))</f>
        <v>VAT Phí dịch vụ bảo vệ T3/2016</v>
      </c>
      <c r="F33" s="175" t="str">
        <f ca="1">IF(ROWS($1:20)&gt;COUNT(Dong1),"",IF(OFFSET(TH!O$1,SMALL(Dong1,ROWS($1:20)),)="1111",OFFSET(TH!N$1,SMALL(Dong1,ROWS($1:20)),),OFFSET(TH!O$1,SMALL(Dong1,ROWS($1:20)),)))</f>
        <v>1331</v>
      </c>
      <c r="G33" s="176">
        <f ca="1">IF(ROWS($1:20)&gt;COUNT(Dong1),"",IF(OFFSET(TH!N$1,SMALL(Dong1,ROWS($1:20)),)="1111",OFFSET(TH!M$1,SMALL(Dong1,ROWS($1:20)),),0))</f>
        <v>0</v>
      </c>
      <c r="H33" s="174">
        <f ca="1">IF(ROWS($1:20)&gt;COUNT(Dong1),"",IF(OFFSET(TH!O$1,SMALL(Dong1,ROWS($1:20)),)="1111",OFFSET(TH!M$1,SMALL(Dong1,ROWS($1:20)),),0))</f>
        <v>681818</v>
      </c>
      <c r="I33" s="172">
        <f t="shared" ca="1" si="0"/>
        <v>638403327</v>
      </c>
      <c r="J33" s="177"/>
    </row>
    <row r="34" spans="1:10" ht="19.5" customHeight="1">
      <c r="A34" s="171">
        <f ca="1">IF(ROWS($1:21)&gt;COUNT(Dong1),"",OFFSET(TH!C$1,SMALL(Dong1,ROWS($1:21)),))</f>
        <v>42471</v>
      </c>
      <c r="B34" s="171">
        <f ca="1">IF(ROWS($1:21)&gt;COUNT(Dong1),"",OFFSET(TH!E$1,SMALL(Dong1,ROWS($1:21)),))</f>
        <v>42471</v>
      </c>
      <c r="C34" s="172" t="str">
        <f ca="1">IF(ROWS($1:21)&gt;COUNT(Dong1),"",IF(OFFSET(TH!N$1,SMALL(Dong1,ROWS($1:21)),)="1111",OFFSET(TH!D$1,SMALL(Dong1,ROWS($1:21)),),""))</f>
        <v/>
      </c>
      <c r="D34" s="173" t="str">
        <f ca="1">IF(ROWS($1:21)&gt;COUNT(Dong1),"",IF(OFFSET(TH!O$1,SMALL(Dong1,ROWS($1:21)),)="1111",OFFSET(TH!D$1,SMALL(Dong1,ROWS($1:21)),),""))</f>
        <v>C12</v>
      </c>
      <c r="E34" s="442" t="str">
        <f ca="1">IF(ROWS($1:21)&gt;COUNT(Dong1),"",OFFSET(TH!F$1,SMALL(Dong1,ROWS($1:21)),))</f>
        <v>Phí khắc dấu</v>
      </c>
      <c r="F34" s="175" t="str">
        <f ca="1">IF(ROWS($1:21)&gt;COUNT(Dong1),"",IF(OFFSET(TH!O$1,SMALL(Dong1,ROWS($1:21)),)="1111",OFFSET(TH!N$1,SMALL(Dong1,ROWS($1:21)),),OFFSET(TH!O$1,SMALL(Dong1,ROWS($1:21)),)))</f>
        <v>642</v>
      </c>
      <c r="G34" s="176">
        <f ca="1">IF(ROWS($1:21)&gt;COUNT(Dong1),"",IF(OFFSET(TH!N$1,SMALL(Dong1,ROWS($1:21)),)="1111",OFFSET(TH!M$1,SMALL(Dong1,ROWS($1:21)),),0))</f>
        <v>0</v>
      </c>
      <c r="H34" s="174">
        <f ca="1">IF(ROWS($1:21)&gt;COUNT(Dong1),"",IF(OFFSET(TH!O$1,SMALL(Dong1,ROWS($1:21)),)="1111",OFFSET(TH!M$1,SMALL(Dong1,ROWS($1:21)),),0))</f>
        <v>200000</v>
      </c>
      <c r="I34" s="172">
        <f t="shared" ca="1" si="0"/>
        <v>638203327</v>
      </c>
      <c r="J34" s="177"/>
    </row>
    <row r="35" spans="1:10" ht="19.5" customHeight="1">
      <c r="A35" s="171">
        <f ca="1">IF(ROWS($1:22)&gt;COUNT(Dong1),"",OFFSET(TH!C$1,SMALL(Dong1,ROWS($1:22)),))</f>
        <v>42471</v>
      </c>
      <c r="B35" s="171">
        <f ca="1">IF(ROWS($1:22)&gt;COUNT(Dong1),"",OFFSET(TH!E$1,SMALL(Dong1,ROWS($1:22)),))</f>
        <v>42471</v>
      </c>
      <c r="C35" s="172" t="str">
        <f ca="1">IF(ROWS($1:22)&gt;COUNT(Dong1),"",IF(OFFSET(TH!N$1,SMALL(Dong1,ROWS($1:22)),)="1111",OFFSET(TH!D$1,SMALL(Dong1,ROWS($1:22)),),""))</f>
        <v/>
      </c>
      <c r="D35" s="173" t="str">
        <f ca="1">IF(ROWS($1:22)&gt;COUNT(Dong1),"",IF(OFFSET(TH!O$1,SMALL(Dong1,ROWS($1:22)),)="1111",OFFSET(TH!D$1,SMALL(Dong1,ROWS($1:22)),),""))</f>
        <v>C12</v>
      </c>
      <c r="E35" s="442" t="str">
        <f ca="1">IF(ROWS($1:22)&gt;COUNT(Dong1),"",OFFSET(TH!F$1,SMALL(Dong1,ROWS($1:22)),))</f>
        <v>VAT Phí khắc dấu</v>
      </c>
      <c r="F35" s="175" t="str">
        <f ca="1">IF(ROWS($1:22)&gt;COUNT(Dong1),"",IF(OFFSET(TH!O$1,SMALL(Dong1,ROWS($1:22)),)="1111",OFFSET(TH!N$1,SMALL(Dong1,ROWS($1:22)),),OFFSET(TH!O$1,SMALL(Dong1,ROWS($1:22)),)))</f>
        <v>1331</v>
      </c>
      <c r="G35" s="176">
        <f ca="1">IF(ROWS($1:22)&gt;COUNT(Dong1),"",IF(OFFSET(TH!N$1,SMALL(Dong1,ROWS($1:22)),)="1111",OFFSET(TH!M$1,SMALL(Dong1,ROWS($1:22)),),0))</f>
        <v>0</v>
      </c>
      <c r="H35" s="174">
        <f ca="1">IF(ROWS($1:22)&gt;COUNT(Dong1),"",IF(OFFSET(TH!O$1,SMALL(Dong1,ROWS($1:22)),)="1111",OFFSET(TH!M$1,SMALL(Dong1,ROWS($1:22)),),0))</f>
        <v>20000</v>
      </c>
      <c r="I35" s="172">
        <f t="shared" ca="1" si="0"/>
        <v>638183327</v>
      </c>
      <c r="J35" s="177"/>
    </row>
    <row r="36" spans="1:10" ht="19.5" customHeight="1">
      <c r="A36" s="171">
        <f ca="1">IF(ROWS($1:23)&gt;COUNT(Dong1),"",OFFSET(TH!C$1,SMALL(Dong1,ROWS($1:23)),))</f>
        <v>42472</v>
      </c>
      <c r="B36" s="171">
        <f ca="1">IF(ROWS($1:23)&gt;COUNT(Dong1),"",OFFSET(TH!E$1,SMALL(Dong1,ROWS($1:23)),))</f>
        <v>42472</v>
      </c>
      <c r="C36" s="172" t="str">
        <f ca="1">IF(ROWS($1:23)&gt;COUNT(Dong1),"",IF(OFFSET(TH!N$1,SMALL(Dong1,ROWS($1:23)),)="1111",OFFSET(TH!D$1,SMALL(Dong1,ROWS($1:23)),),""))</f>
        <v/>
      </c>
      <c r="D36" s="173" t="str">
        <f ca="1">IF(ROWS($1:23)&gt;COUNT(Dong1),"",IF(OFFSET(TH!O$1,SMALL(Dong1,ROWS($1:23)),)="1111",OFFSET(TH!D$1,SMALL(Dong1,ROWS($1:23)),),""))</f>
        <v>C13</v>
      </c>
      <c r="E36" s="442" t="str">
        <f ca="1">IF(ROWS($1:23)&gt;COUNT(Dong1),"",OFFSET(TH!F$1,SMALL(Dong1,ROWS($1:23)),))</f>
        <v>Vật liệu điện</v>
      </c>
      <c r="F36" s="175" t="str">
        <f ca="1">IF(ROWS($1:23)&gt;COUNT(Dong1),"",IF(OFFSET(TH!O$1,SMALL(Dong1,ROWS($1:23)),)="1111",OFFSET(TH!N$1,SMALL(Dong1,ROWS($1:23)),),OFFSET(TH!O$1,SMALL(Dong1,ROWS($1:23)),)))</f>
        <v>2412</v>
      </c>
      <c r="G36" s="176">
        <f ca="1">IF(ROWS($1:23)&gt;COUNT(Dong1),"",IF(OFFSET(TH!N$1,SMALL(Dong1,ROWS($1:23)),)="1111",OFFSET(TH!M$1,SMALL(Dong1,ROWS($1:23)),),0))</f>
        <v>0</v>
      </c>
      <c r="H36" s="174">
        <f ca="1">IF(ROWS($1:23)&gt;COUNT(Dong1),"",IF(OFFSET(TH!O$1,SMALL(Dong1,ROWS($1:23)),)="1111",OFFSET(TH!M$1,SMALL(Dong1,ROWS($1:23)),),0))</f>
        <v>1388000</v>
      </c>
      <c r="I36" s="172">
        <f t="shared" ca="1" si="0"/>
        <v>636795327</v>
      </c>
      <c r="J36" s="177"/>
    </row>
    <row r="37" spans="1:10" ht="19.5" customHeight="1">
      <c r="A37" s="171">
        <f ca="1">IF(ROWS($1:24)&gt;COUNT(Dong1),"",OFFSET(TH!C$1,SMALL(Dong1,ROWS($1:24)),))</f>
        <v>42474</v>
      </c>
      <c r="B37" s="171">
        <f ca="1">IF(ROWS($1:24)&gt;COUNT(Dong1),"",OFFSET(TH!E$1,SMALL(Dong1,ROWS($1:24)),))</f>
        <v>42474</v>
      </c>
      <c r="C37" s="172" t="str">
        <f ca="1">IF(ROWS($1:24)&gt;COUNT(Dong1),"",IF(OFFSET(TH!N$1,SMALL(Dong1,ROWS($1:24)),)="1111",OFFSET(TH!D$1,SMALL(Dong1,ROWS($1:24)),),""))</f>
        <v/>
      </c>
      <c r="D37" s="173" t="str">
        <f ca="1">IF(ROWS($1:24)&gt;COUNT(Dong1),"",IF(OFFSET(TH!O$1,SMALL(Dong1,ROWS($1:24)),)="1111",OFFSET(TH!D$1,SMALL(Dong1,ROWS($1:24)),),""))</f>
        <v>C14</v>
      </c>
      <c r="E37" s="442" t="str">
        <f ca="1">IF(ROWS($1:24)&gt;COUNT(Dong1),"",OFFSET(TH!F$1,SMALL(Dong1,ROWS($1:24)),))</f>
        <v>Phí công đoàn</v>
      </c>
      <c r="F37" s="175" t="str">
        <f ca="1">IF(ROWS($1:24)&gt;COUNT(Dong1),"",IF(OFFSET(TH!O$1,SMALL(Dong1,ROWS($1:24)),)="1111",OFFSET(TH!N$1,SMALL(Dong1,ROWS($1:24)),),OFFSET(TH!O$1,SMALL(Dong1,ROWS($1:24)),)))</f>
        <v>642</v>
      </c>
      <c r="G37" s="176">
        <f ca="1">IF(ROWS($1:24)&gt;COUNT(Dong1),"",IF(OFFSET(TH!N$1,SMALL(Dong1,ROWS($1:24)),)="1111",OFFSET(TH!M$1,SMALL(Dong1,ROWS($1:24)),),0))</f>
        <v>0</v>
      </c>
      <c r="H37" s="174">
        <f ca="1">IF(ROWS($1:24)&gt;COUNT(Dong1),"",IF(OFFSET(TH!O$1,SMALL(Dong1,ROWS($1:24)),)="1111",OFFSET(TH!M$1,SMALL(Dong1,ROWS($1:24)),),0))</f>
        <v>50000</v>
      </c>
      <c r="I37" s="172">
        <f t="shared" ca="1" si="0"/>
        <v>636745327</v>
      </c>
      <c r="J37" s="177"/>
    </row>
    <row r="38" spans="1:10" ht="19.5" customHeight="1">
      <c r="A38" s="171">
        <f ca="1">IF(ROWS($1:25)&gt;COUNT(Dong1),"",OFFSET(TH!C$1,SMALL(Dong1,ROWS($1:25)),))</f>
        <v>42474</v>
      </c>
      <c r="B38" s="171">
        <f ca="1">IF(ROWS($1:25)&gt;COUNT(Dong1),"",OFFSET(TH!E$1,SMALL(Dong1,ROWS($1:25)),))</f>
        <v>42474</v>
      </c>
      <c r="C38" s="172" t="str">
        <f ca="1">IF(ROWS($1:25)&gt;COUNT(Dong1),"",IF(OFFSET(TH!N$1,SMALL(Dong1,ROWS($1:25)),)="1111",OFFSET(TH!D$1,SMALL(Dong1,ROWS($1:25)),),""))</f>
        <v/>
      </c>
      <c r="D38" s="173" t="str">
        <f ca="1">IF(ROWS($1:25)&gt;COUNT(Dong1),"",IF(OFFSET(TH!O$1,SMALL(Dong1,ROWS($1:25)),)="1111",OFFSET(TH!D$1,SMALL(Dong1,ROWS($1:25)),),""))</f>
        <v>C15</v>
      </c>
      <c r="E38" s="442" t="str">
        <f ca="1">IF(ROWS($1:25)&gt;COUNT(Dong1),"",OFFSET(TH!F$1,SMALL(Dong1,ROWS($1:25)),))</f>
        <v>Lưới 1,8m</v>
      </c>
      <c r="F38" s="175" t="str">
        <f ca="1">IF(ROWS($1:25)&gt;COUNT(Dong1),"",IF(OFFSET(TH!O$1,SMALL(Dong1,ROWS($1:25)),)="1111",OFFSET(TH!N$1,SMALL(Dong1,ROWS($1:25)),),OFFSET(TH!O$1,SMALL(Dong1,ROWS($1:25)),)))</f>
        <v>2412</v>
      </c>
      <c r="G38" s="176">
        <f ca="1">IF(ROWS($1:25)&gt;COUNT(Dong1),"",IF(OFFSET(TH!N$1,SMALL(Dong1,ROWS($1:25)),)="1111",OFFSET(TH!M$1,SMALL(Dong1,ROWS($1:25)),),0))</f>
        <v>0</v>
      </c>
      <c r="H38" s="174">
        <f ca="1">IF(ROWS($1:25)&gt;COUNT(Dong1),"",IF(OFFSET(TH!O$1,SMALL(Dong1,ROWS($1:25)),)="1111",OFFSET(TH!M$1,SMALL(Dong1,ROWS($1:25)),),0))</f>
        <v>2220000</v>
      </c>
      <c r="I38" s="172">
        <f t="shared" ca="1" si="0"/>
        <v>634525327</v>
      </c>
      <c r="J38" s="177"/>
    </row>
    <row r="39" spans="1:10" ht="19.5" customHeight="1">
      <c r="A39" s="171">
        <f ca="1">IF(ROWS($1:26)&gt;COUNT(Dong1),"",OFFSET(TH!C$1,SMALL(Dong1,ROWS($1:26)),))</f>
        <v>42480</v>
      </c>
      <c r="B39" s="171">
        <f ca="1">IF(ROWS($1:26)&gt;COUNT(Dong1),"",OFFSET(TH!E$1,SMALL(Dong1,ROWS($1:26)),))</f>
        <v>42480</v>
      </c>
      <c r="C39" s="172" t="str">
        <f ca="1">IF(ROWS($1:26)&gt;COUNT(Dong1),"",IF(OFFSET(TH!N$1,SMALL(Dong1,ROWS($1:26)),)="1111",OFFSET(TH!D$1,SMALL(Dong1,ROWS($1:26)),),""))</f>
        <v/>
      </c>
      <c r="D39" s="173" t="str">
        <f ca="1">IF(ROWS($1:26)&gt;COUNT(Dong1),"",IF(OFFSET(TH!O$1,SMALL(Dong1,ROWS($1:26)),)="1111",OFFSET(TH!D$1,SMALL(Dong1,ROWS($1:26)),),""))</f>
        <v>C16</v>
      </c>
      <c r="E39" s="442" t="str">
        <f ca="1">IF(ROWS($1:26)&gt;COUNT(Dong1),"",OFFSET(TH!F$1,SMALL(Dong1,ROWS($1:26)),))</f>
        <v>Cước điện thoại + Internet T3/2016</v>
      </c>
      <c r="F39" s="175" t="str">
        <f ca="1">IF(ROWS($1:26)&gt;COUNT(Dong1),"",IF(OFFSET(TH!O$1,SMALL(Dong1,ROWS($1:26)),)="1111",OFFSET(TH!N$1,SMALL(Dong1,ROWS($1:26)),),OFFSET(TH!O$1,SMALL(Dong1,ROWS($1:26)),)))</f>
        <v>642</v>
      </c>
      <c r="G39" s="176">
        <f ca="1">IF(ROWS($1:26)&gt;COUNT(Dong1),"",IF(OFFSET(TH!N$1,SMALL(Dong1,ROWS($1:26)),)="1111",OFFSET(TH!M$1,SMALL(Dong1,ROWS($1:26)),),0))</f>
        <v>0</v>
      </c>
      <c r="H39" s="174">
        <f ca="1">IF(ROWS($1:26)&gt;COUNT(Dong1),"",IF(OFFSET(TH!O$1,SMALL(Dong1,ROWS($1:26)),)="1111",OFFSET(TH!M$1,SMALL(Dong1,ROWS($1:26)),),0))</f>
        <v>624798</v>
      </c>
      <c r="I39" s="172">
        <f t="shared" ca="1" si="0"/>
        <v>633900529</v>
      </c>
      <c r="J39" s="177"/>
    </row>
    <row r="40" spans="1:10" ht="19.5" customHeight="1">
      <c r="A40" s="171">
        <f ca="1">IF(ROWS($1:27)&gt;COUNT(Dong1),"",OFFSET(TH!C$1,SMALL(Dong1,ROWS($1:27)),))</f>
        <v>42480</v>
      </c>
      <c r="B40" s="171">
        <f ca="1">IF(ROWS($1:27)&gt;COUNT(Dong1),"",OFFSET(TH!E$1,SMALL(Dong1,ROWS($1:27)),))</f>
        <v>42480</v>
      </c>
      <c r="C40" s="172" t="str">
        <f ca="1">IF(ROWS($1:27)&gt;COUNT(Dong1),"",IF(OFFSET(TH!N$1,SMALL(Dong1,ROWS($1:27)),)="1111",OFFSET(TH!D$1,SMALL(Dong1,ROWS($1:27)),),""))</f>
        <v/>
      </c>
      <c r="D40" s="173" t="str">
        <f ca="1">IF(ROWS($1:27)&gt;COUNT(Dong1),"",IF(OFFSET(TH!O$1,SMALL(Dong1,ROWS($1:27)),)="1111",OFFSET(TH!D$1,SMALL(Dong1,ROWS($1:27)),),""))</f>
        <v>C16</v>
      </c>
      <c r="E40" s="442" t="str">
        <f ca="1">IF(ROWS($1:27)&gt;COUNT(Dong1),"",OFFSET(TH!F$1,SMALL(Dong1,ROWS($1:27)),))</f>
        <v>VAT Cước điện thoại + Internet T3/2016</v>
      </c>
      <c r="F40" s="175" t="str">
        <f ca="1">IF(ROWS($1:27)&gt;COUNT(Dong1),"",IF(OFFSET(TH!O$1,SMALL(Dong1,ROWS($1:27)),)="1111",OFFSET(TH!N$1,SMALL(Dong1,ROWS($1:27)),),OFFSET(TH!O$1,SMALL(Dong1,ROWS($1:27)),)))</f>
        <v>1331</v>
      </c>
      <c r="G40" s="176">
        <f ca="1">IF(ROWS($1:27)&gt;COUNT(Dong1),"",IF(OFFSET(TH!N$1,SMALL(Dong1,ROWS($1:27)),)="1111",OFFSET(TH!M$1,SMALL(Dong1,ROWS($1:27)),),0))</f>
        <v>0</v>
      </c>
      <c r="H40" s="174">
        <f ca="1">IF(ROWS($1:27)&gt;COUNT(Dong1),"",IF(OFFSET(TH!O$1,SMALL(Dong1,ROWS($1:27)),)="1111",OFFSET(TH!M$1,SMALL(Dong1,ROWS($1:27)),),0))</f>
        <v>62479</v>
      </c>
      <c r="I40" s="172">
        <f t="shared" ca="1" si="0"/>
        <v>633838050</v>
      </c>
      <c r="J40" s="177"/>
    </row>
    <row r="41" spans="1:10" ht="19.5" customHeight="1">
      <c r="A41" s="171">
        <f ca="1">IF(ROWS($1:28)&gt;COUNT(Dong1),"",OFFSET(TH!C$1,SMALL(Dong1,ROWS($1:28)),))</f>
        <v>42480</v>
      </c>
      <c r="B41" s="171">
        <f ca="1">IF(ROWS($1:28)&gt;COUNT(Dong1),"",OFFSET(TH!E$1,SMALL(Dong1,ROWS($1:28)),))</f>
        <v>42480</v>
      </c>
      <c r="C41" s="172" t="str">
        <f ca="1">IF(ROWS($1:28)&gt;COUNT(Dong1),"",IF(OFFSET(TH!N$1,SMALL(Dong1,ROWS($1:28)),)="1111",OFFSET(TH!D$1,SMALL(Dong1,ROWS($1:28)),),""))</f>
        <v/>
      </c>
      <c r="D41" s="173" t="str">
        <f ca="1">IF(ROWS($1:28)&gt;COUNT(Dong1),"",IF(OFFSET(TH!O$1,SMALL(Dong1,ROWS($1:28)),)="1111",OFFSET(TH!D$1,SMALL(Dong1,ROWS($1:28)),),""))</f>
        <v>C17</v>
      </c>
      <c r="E41" s="442" t="str">
        <f ca="1">IF(ROWS($1:28)&gt;COUNT(Dong1),"",OFFSET(TH!F$1,SMALL(Dong1,ROWS($1:28)),))</f>
        <v>Dịch vụ thoát nước thải</v>
      </c>
      <c r="F41" s="175" t="str">
        <f ca="1">IF(ROWS($1:28)&gt;COUNT(Dong1),"",IF(OFFSET(TH!O$1,SMALL(Dong1,ROWS($1:28)),)="1111",OFFSET(TH!N$1,SMALL(Dong1,ROWS($1:28)),),OFFSET(TH!O$1,SMALL(Dong1,ROWS($1:28)),)))</f>
        <v>642</v>
      </c>
      <c r="G41" s="176">
        <f ca="1">IF(ROWS($1:28)&gt;COUNT(Dong1),"",IF(OFFSET(TH!N$1,SMALL(Dong1,ROWS($1:28)),)="1111",OFFSET(TH!M$1,SMALL(Dong1,ROWS($1:28)),),0))</f>
        <v>0</v>
      </c>
      <c r="H41" s="174">
        <f ca="1">IF(ROWS($1:28)&gt;COUNT(Dong1),"",IF(OFFSET(TH!O$1,SMALL(Dong1,ROWS($1:28)),)="1111",OFFSET(TH!M$1,SMALL(Dong1,ROWS($1:28)),),0))</f>
        <v>6523636</v>
      </c>
      <c r="I41" s="172">
        <f t="shared" ca="1" si="0"/>
        <v>627314414</v>
      </c>
      <c r="J41" s="177"/>
    </row>
    <row r="42" spans="1:10" ht="19.5" customHeight="1">
      <c r="A42" s="171">
        <f ca="1">IF(ROWS($1:29)&gt;COUNT(Dong1),"",OFFSET(TH!C$1,SMALL(Dong1,ROWS($1:29)),))</f>
        <v>42480</v>
      </c>
      <c r="B42" s="171">
        <f ca="1">IF(ROWS($1:29)&gt;COUNT(Dong1),"",OFFSET(TH!E$1,SMALL(Dong1,ROWS($1:29)),))</f>
        <v>42480</v>
      </c>
      <c r="C42" s="172" t="str">
        <f ca="1">IF(ROWS($1:29)&gt;COUNT(Dong1),"",IF(OFFSET(TH!N$1,SMALL(Dong1,ROWS($1:29)),)="1111",OFFSET(TH!D$1,SMALL(Dong1,ROWS($1:29)),),""))</f>
        <v/>
      </c>
      <c r="D42" s="173" t="str">
        <f ca="1">IF(ROWS($1:29)&gt;COUNT(Dong1),"",IF(OFFSET(TH!O$1,SMALL(Dong1,ROWS($1:29)),)="1111",OFFSET(TH!D$1,SMALL(Dong1,ROWS($1:29)),),""))</f>
        <v>C17</v>
      </c>
      <c r="E42" s="442" t="str">
        <f ca="1">IF(ROWS($1:29)&gt;COUNT(Dong1),"",OFFSET(TH!F$1,SMALL(Dong1,ROWS($1:29)),))</f>
        <v>VAT Dịch vụ thoát nước thải</v>
      </c>
      <c r="F42" s="175" t="str">
        <f ca="1">IF(ROWS($1:29)&gt;COUNT(Dong1),"",IF(OFFSET(TH!O$1,SMALL(Dong1,ROWS($1:29)),)="1111",OFFSET(TH!N$1,SMALL(Dong1,ROWS($1:29)),),OFFSET(TH!O$1,SMALL(Dong1,ROWS($1:29)),)))</f>
        <v>1331</v>
      </c>
      <c r="G42" s="176">
        <f ca="1">IF(ROWS($1:29)&gt;COUNT(Dong1),"",IF(OFFSET(TH!N$1,SMALL(Dong1,ROWS($1:29)),)="1111",OFFSET(TH!M$1,SMALL(Dong1,ROWS($1:29)),),0))</f>
        <v>0</v>
      </c>
      <c r="H42" s="174">
        <f ca="1">IF(ROWS($1:29)&gt;COUNT(Dong1),"",IF(OFFSET(TH!O$1,SMALL(Dong1,ROWS($1:29)),)="1111",OFFSET(TH!M$1,SMALL(Dong1,ROWS($1:29)),),0))</f>
        <v>652364</v>
      </c>
      <c r="I42" s="172">
        <f t="shared" ca="1" si="0"/>
        <v>626662050</v>
      </c>
      <c r="J42" s="177"/>
    </row>
    <row r="43" spans="1:10" ht="19.5" customHeight="1">
      <c r="A43" s="171">
        <f ca="1">IF(ROWS($1:30)&gt;COUNT(Dong1),"",OFFSET(TH!C$1,SMALL(Dong1,ROWS($1:30)),))</f>
        <v>42481</v>
      </c>
      <c r="B43" s="171">
        <f ca="1">IF(ROWS($1:30)&gt;COUNT(Dong1),"",OFFSET(TH!E$1,SMALL(Dong1,ROWS($1:30)),))</f>
        <v>42481</v>
      </c>
      <c r="C43" s="172" t="str">
        <f ca="1">IF(ROWS($1:30)&gt;COUNT(Dong1),"",IF(OFFSET(TH!N$1,SMALL(Dong1,ROWS($1:30)),)="1111",OFFSET(TH!D$1,SMALL(Dong1,ROWS($1:30)),),""))</f>
        <v/>
      </c>
      <c r="D43" s="173" t="str">
        <f ca="1">IF(ROWS($1:30)&gt;COUNT(Dong1),"",IF(OFFSET(TH!O$1,SMALL(Dong1,ROWS($1:30)),)="1111",OFFSET(TH!D$1,SMALL(Dong1,ROWS($1:30)),),""))</f>
        <v>C18</v>
      </c>
      <c r="E43" s="442" t="str">
        <f ca="1">IF(ROWS($1:30)&gt;COUNT(Dong1),"",OFFSET(TH!F$1,SMALL(Dong1,ROWS($1:30)),))</f>
        <v>Trả vốn mượn</v>
      </c>
      <c r="F43" s="175" t="str">
        <f ca="1">IF(ROWS($1:30)&gt;COUNT(Dong1),"",IF(OFFSET(TH!O$1,SMALL(Dong1,ROWS($1:30)),)="1111",OFFSET(TH!N$1,SMALL(Dong1,ROWS($1:30)),),OFFSET(TH!O$1,SMALL(Dong1,ROWS($1:30)),)))</f>
        <v>1388</v>
      </c>
      <c r="G43" s="176">
        <f ca="1">IF(ROWS($1:30)&gt;COUNT(Dong1),"",IF(OFFSET(TH!N$1,SMALL(Dong1,ROWS($1:30)),)="1111",OFFSET(TH!M$1,SMALL(Dong1,ROWS($1:30)),),0))</f>
        <v>0</v>
      </c>
      <c r="H43" s="174">
        <f ca="1">IF(ROWS($1:30)&gt;COUNT(Dong1),"",IF(OFFSET(TH!O$1,SMALL(Dong1,ROWS($1:30)),)="1111",OFFSET(TH!M$1,SMALL(Dong1,ROWS($1:30)),),0))</f>
        <v>40000000</v>
      </c>
      <c r="I43" s="172">
        <f t="shared" ca="1" si="0"/>
        <v>586662050</v>
      </c>
      <c r="J43" s="177"/>
    </row>
    <row r="44" spans="1:10" ht="19.5" customHeight="1">
      <c r="A44" s="171">
        <f ca="1">IF(ROWS($1:31)&gt;COUNT(Dong1),"",OFFSET(TH!C$1,SMALL(Dong1,ROWS($1:31)),))</f>
        <v>42481</v>
      </c>
      <c r="B44" s="171">
        <f ca="1">IF(ROWS($1:31)&gt;COUNT(Dong1),"",OFFSET(TH!E$1,SMALL(Dong1,ROWS($1:31)),))</f>
        <v>42481</v>
      </c>
      <c r="C44" s="172" t="str">
        <f ca="1">IF(ROWS($1:31)&gt;COUNT(Dong1),"",IF(OFFSET(TH!N$1,SMALL(Dong1,ROWS($1:31)),)="1111",OFFSET(TH!D$1,SMALL(Dong1,ROWS($1:31)),),""))</f>
        <v/>
      </c>
      <c r="D44" s="173" t="str">
        <f ca="1">IF(ROWS($1:31)&gt;COUNT(Dong1),"",IF(OFFSET(TH!O$1,SMALL(Dong1,ROWS($1:31)),)="1111",OFFSET(TH!D$1,SMALL(Dong1,ROWS($1:31)),),""))</f>
        <v>C19</v>
      </c>
      <c r="E44" s="442" t="str">
        <f ca="1">IF(ROWS($1:31)&gt;COUNT(Dong1),"",OFFSET(TH!F$1,SMALL(Dong1,ROWS($1:31)),))</f>
        <v>Q4 - Nộp tiền mặt</v>
      </c>
      <c r="F44" s="175" t="str">
        <f ca="1">IF(ROWS($1:31)&gt;COUNT(Dong1),"",IF(OFFSET(TH!O$1,SMALL(Dong1,ROWS($1:31)),)="1111",OFFSET(TH!N$1,SMALL(Dong1,ROWS($1:31)),),OFFSET(TH!O$1,SMALL(Dong1,ROWS($1:31)),)))</f>
        <v>1121</v>
      </c>
      <c r="G44" s="176">
        <f ca="1">IF(ROWS($1:31)&gt;COUNT(Dong1),"",IF(OFFSET(TH!N$1,SMALL(Dong1,ROWS($1:31)),)="1111",OFFSET(TH!M$1,SMALL(Dong1,ROWS($1:31)),),0))</f>
        <v>0</v>
      </c>
      <c r="H44" s="174">
        <f ca="1">IF(ROWS($1:31)&gt;COUNT(Dong1),"",IF(OFFSET(TH!O$1,SMALL(Dong1,ROWS($1:31)),)="1111",OFFSET(TH!M$1,SMALL(Dong1,ROWS($1:31)),),0))</f>
        <v>130000000</v>
      </c>
      <c r="I44" s="172">
        <f t="shared" ca="1" si="0"/>
        <v>456662050</v>
      </c>
      <c r="J44" s="177"/>
    </row>
    <row r="45" spans="1:10" ht="19.5" customHeight="1">
      <c r="A45" s="171">
        <f ca="1">IF(ROWS($1:32)&gt;COUNT(Dong1),"",OFFSET(TH!C$1,SMALL(Dong1,ROWS($1:32)),))</f>
        <v>42481</v>
      </c>
      <c r="B45" s="171">
        <f ca="1">IF(ROWS($1:32)&gt;COUNT(Dong1),"",OFFSET(TH!E$1,SMALL(Dong1,ROWS($1:32)),))</f>
        <v>42481</v>
      </c>
      <c r="C45" s="172" t="str">
        <f ca="1">IF(ROWS($1:32)&gt;COUNT(Dong1),"",IF(OFFSET(TH!N$1,SMALL(Dong1,ROWS($1:32)),)="1111",OFFSET(TH!D$1,SMALL(Dong1,ROWS($1:32)),),""))</f>
        <v/>
      </c>
      <c r="D45" s="173" t="str">
        <f ca="1">IF(ROWS($1:32)&gt;COUNT(Dong1),"",IF(OFFSET(TH!O$1,SMALL(Dong1,ROWS($1:32)),)="1111",OFFSET(TH!D$1,SMALL(Dong1,ROWS($1:32)),),""))</f>
        <v>C19</v>
      </c>
      <c r="E45" s="442" t="str">
        <f ca="1">IF(ROWS($1:32)&gt;COUNT(Dong1),"",OFFSET(TH!F$1,SMALL(Dong1,ROWS($1:32)),))</f>
        <v>Q4 - Nộp tiền mặt</v>
      </c>
      <c r="F45" s="175" t="str">
        <f ca="1">IF(ROWS($1:32)&gt;COUNT(Dong1),"",IF(OFFSET(TH!O$1,SMALL(Dong1,ROWS($1:32)),)="1111",OFFSET(TH!N$1,SMALL(Dong1,ROWS($1:32)),),OFFSET(TH!O$1,SMALL(Dong1,ROWS($1:32)),)))</f>
        <v>1121</v>
      </c>
      <c r="G45" s="176">
        <f ca="1">IF(ROWS($1:32)&gt;COUNT(Dong1),"",IF(OFFSET(TH!N$1,SMALL(Dong1,ROWS($1:32)),)="1111",OFFSET(TH!M$1,SMALL(Dong1,ROWS($1:32)),),0))</f>
        <v>0</v>
      </c>
      <c r="H45" s="174">
        <f ca="1">IF(ROWS($1:32)&gt;COUNT(Dong1),"",IF(OFFSET(TH!O$1,SMALL(Dong1,ROWS($1:32)),)="1111",OFFSET(TH!M$1,SMALL(Dong1,ROWS($1:32)),),0))</f>
        <v>60000000</v>
      </c>
      <c r="I45" s="172">
        <f t="shared" ca="1" si="0"/>
        <v>396662050</v>
      </c>
      <c r="J45" s="177"/>
    </row>
    <row r="46" spans="1:10" ht="19.5" customHeight="1">
      <c r="A46" s="171">
        <f ca="1">IF(ROWS($1:33)&gt;COUNT(Dong1),"",OFFSET(TH!C$1,SMALL(Dong1,ROWS($1:33)),))</f>
        <v>42483</v>
      </c>
      <c r="B46" s="171">
        <f ca="1">IF(ROWS($1:33)&gt;COUNT(Dong1),"",OFFSET(TH!E$1,SMALL(Dong1,ROWS($1:33)),))</f>
        <v>42483</v>
      </c>
      <c r="C46" s="172" t="str">
        <f ca="1">IF(ROWS($1:33)&gt;COUNT(Dong1),"",IF(OFFSET(TH!N$1,SMALL(Dong1,ROWS($1:33)),)="1111",OFFSET(TH!D$1,SMALL(Dong1,ROWS($1:33)),),""))</f>
        <v/>
      </c>
      <c r="D46" s="173" t="str">
        <f ca="1">IF(ROWS($1:33)&gt;COUNT(Dong1),"",IF(OFFSET(TH!O$1,SMALL(Dong1,ROWS($1:33)),)="1111",OFFSET(TH!D$1,SMALL(Dong1,ROWS($1:33)),),""))</f>
        <v>C20</v>
      </c>
      <c r="E46" s="442" t="str">
        <f ca="1">IF(ROWS($1:33)&gt;COUNT(Dong1),"",OFFSET(TH!F$1,SMALL(Dong1,ROWS($1:33)),))</f>
        <v>Vật liệu điện</v>
      </c>
      <c r="F46" s="175" t="str">
        <f ca="1">IF(ROWS($1:33)&gt;COUNT(Dong1),"",IF(OFFSET(TH!O$1,SMALL(Dong1,ROWS($1:33)),)="1111",OFFSET(TH!N$1,SMALL(Dong1,ROWS($1:33)),),OFFSET(TH!O$1,SMALL(Dong1,ROWS($1:33)),)))</f>
        <v>2412</v>
      </c>
      <c r="G46" s="176">
        <f ca="1">IF(ROWS($1:33)&gt;COUNT(Dong1),"",IF(OFFSET(TH!N$1,SMALL(Dong1,ROWS($1:33)),)="1111",OFFSET(TH!M$1,SMALL(Dong1,ROWS($1:33)),),0))</f>
        <v>0</v>
      </c>
      <c r="H46" s="174">
        <f ca="1">IF(ROWS($1:33)&gt;COUNT(Dong1),"",IF(OFFSET(TH!O$1,SMALL(Dong1,ROWS($1:33)),)="1111",OFFSET(TH!M$1,SMALL(Dong1,ROWS($1:33)),),0))</f>
        <v>618000</v>
      </c>
      <c r="I46" s="172">
        <f t="shared" ca="1" si="0"/>
        <v>396044050</v>
      </c>
      <c r="J46" s="177"/>
    </row>
    <row r="47" spans="1:10" ht="19.5" customHeight="1">
      <c r="A47" s="171">
        <f ca="1">IF(ROWS($1:34)&gt;COUNT(Dong1),"",OFFSET(TH!C$1,SMALL(Dong1,ROWS($1:34)),))</f>
        <v>42485</v>
      </c>
      <c r="B47" s="171">
        <f ca="1">IF(ROWS($1:34)&gt;COUNT(Dong1),"",OFFSET(TH!E$1,SMALL(Dong1,ROWS($1:34)),))</f>
        <v>42485</v>
      </c>
      <c r="C47" s="172" t="str">
        <f ca="1">IF(ROWS($1:34)&gt;COUNT(Dong1),"",IF(OFFSET(TH!N$1,SMALL(Dong1,ROWS($1:34)),)="1111",OFFSET(TH!D$1,SMALL(Dong1,ROWS($1:34)),),""))</f>
        <v/>
      </c>
      <c r="D47" s="173" t="str">
        <f ca="1">IF(ROWS($1:34)&gt;COUNT(Dong1),"",IF(OFFSET(TH!O$1,SMALL(Dong1,ROWS($1:34)),)="1111",OFFSET(TH!D$1,SMALL(Dong1,ROWS($1:34)),),""))</f>
        <v>C21</v>
      </c>
      <c r="E47" s="442" t="str">
        <f ca="1">IF(ROWS($1:34)&gt;COUNT(Dong1),"",OFFSET(TH!F$1,SMALL(Dong1,ROWS($1:34)),))</f>
        <v>Tiền nước tháng 4/2016</v>
      </c>
      <c r="F47" s="175" t="str">
        <f ca="1">IF(ROWS($1:34)&gt;COUNT(Dong1),"",IF(OFFSET(TH!O$1,SMALL(Dong1,ROWS($1:34)),)="1111",OFFSET(TH!N$1,SMALL(Dong1,ROWS($1:34)),),OFFSET(TH!O$1,SMALL(Dong1,ROWS($1:34)),)))</f>
        <v>642</v>
      </c>
      <c r="G47" s="176">
        <f ca="1">IF(ROWS($1:34)&gt;COUNT(Dong1),"",IF(OFFSET(TH!N$1,SMALL(Dong1,ROWS($1:34)),)="1111",OFFSET(TH!M$1,SMALL(Dong1,ROWS($1:34)),),0))</f>
        <v>0</v>
      </c>
      <c r="H47" s="174">
        <f ca="1">IF(ROWS($1:34)&gt;COUNT(Dong1),"",IF(OFFSET(TH!O$1,SMALL(Dong1,ROWS($1:34)),)="1111",OFFSET(TH!M$1,SMALL(Dong1,ROWS($1:34)),),0))</f>
        <v>10818800</v>
      </c>
      <c r="I47" s="172">
        <f t="shared" ca="1" si="0"/>
        <v>385225250</v>
      </c>
      <c r="J47" s="177"/>
    </row>
    <row r="48" spans="1:10" ht="19.5" customHeight="1">
      <c r="A48" s="171">
        <f ca="1">IF(ROWS($1:35)&gt;COUNT(Dong1),"",OFFSET(TH!C$1,SMALL(Dong1,ROWS($1:35)),))</f>
        <v>42485</v>
      </c>
      <c r="B48" s="171">
        <f ca="1">IF(ROWS($1:35)&gt;COUNT(Dong1),"",OFFSET(TH!E$1,SMALL(Dong1,ROWS($1:35)),))</f>
        <v>42485</v>
      </c>
      <c r="C48" s="172" t="str">
        <f ca="1">IF(ROWS($1:35)&gt;COUNT(Dong1),"",IF(OFFSET(TH!N$1,SMALL(Dong1,ROWS($1:35)),)="1111",OFFSET(TH!D$1,SMALL(Dong1,ROWS($1:35)),),""))</f>
        <v/>
      </c>
      <c r="D48" s="173" t="str">
        <f ca="1">IF(ROWS($1:35)&gt;COUNT(Dong1),"",IF(OFFSET(TH!O$1,SMALL(Dong1,ROWS($1:35)),)="1111",OFFSET(TH!D$1,SMALL(Dong1,ROWS($1:35)),),""))</f>
        <v>C21</v>
      </c>
      <c r="E48" s="442" t="str">
        <f ca="1">IF(ROWS($1:35)&gt;COUNT(Dong1),"",OFFSET(TH!F$1,SMALL(Dong1,ROWS($1:35)),))</f>
        <v>VAT Tiền nước tháng 4/2016</v>
      </c>
      <c r="F48" s="175" t="str">
        <f ca="1">IF(ROWS($1:35)&gt;COUNT(Dong1),"",IF(OFFSET(TH!O$1,SMALL(Dong1,ROWS($1:35)),)="1111",OFFSET(TH!N$1,SMALL(Dong1,ROWS($1:35)),),OFFSET(TH!O$1,SMALL(Dong1,ROWS($1:35)),)))</f>
        <v>1331</v>
      </c>
      <c r="G48" s="176">
        <f ca="1">IF(ROWS($1:35)&gt;COUNT(Dong1),"",IF(OFFSET(TH!N$1,SMALL(Dong1,ROWS($1:35)),)="1111",OFFSET(TH!M$1,SMALL(Dong1,ROWS($1:35)),),0))</f>
        <v>0</v>
      </c>
      <c r="H48" s="174">
        <f ca="1">IF(ROWS($1:35)&gt;COUNT(Dong1),"",IF(OFFSET(TH!O$1,SMALL(Dong1,ROWS($1:35)),)="1111",OFFSET(TH!M$1,SMALL(Dong1,ROWS($1:35)),),0))</f>
        <v>540940</v>
      </c>
      <c r="I48" s="172">
        <f t="shared" ca="1" si="0"/>
        <v>384684310</v>
      </c>
      <c r="J48" s="177"/>
    </row>
    <row r="49" spans="1:10" ht="19.5" customHeight="1">
      <c r="A49" s="171">
        <f ca="1">IF(ROWS($1:36)&gt;COUNT(Dong1),"",OFFSET(TH!C$1,SMALL(Dong1,ROWS($1:36)),))</f>
        <v>42486</v>
      </c>
      <c r="B49" s="171">
        <f ca="1">IF(ROWS($1:36)&gt;COUNT(Dong1),"",OFFSET(TH!E$1,SMALL(Dong1,ROWS($1:36)),))</f>
        <v>42486</v>
      </c>
      <c r="C49" s="172" t="str">
        <f ca="1">IF(ROWS($1:36)&gt;COUNT(Dong1),"",IF(OFFSET(TH!N$1,SMALL(Dong1,ROWS($1:36)),)="1111",OFFSET(TH!D$1,SMALL(Dong1,ROWS($1:36)),),""))</f>
        <v/>
      </c>
      <c r="D49" s="173" t="str">
        <f ca="1">IF(ROWS($1:36)&gt;COUNT(Dong1),"",IF(OFFSET(TH!O$1,SMALL(Dong1,ROWS($1:36)),)="1111",OFFSET(TH!D$1,SMALL(Dong1,ROWS($1:36)),),""))</f>
        <v>C22</v>
      </c>
      <c r="E49" s="442" t="str">
        <f ca="1">IF(ROWS($1:36)&gt;COUNT(Dong1),"",OFFSET(TH!F$1,SMALL(Dong1,ROWS($1:36)),))</f>
        <v>Vật liệu xây dựng</v>
      </c>
      <c r="F49" s="175" t="str">
        <f ca="1">IF(ROWS($1:36)&gt;COUNT(Dong1),"",IF(OFFSET(TH!O$1,SMALL(Dong1,ROWS($1:36)),)="1111",OFFSET(TH!N$1,SMALL(Dong1,ROWS($1:36)),),OFFSET(TH!O$1,SMALL(Dong1,ROWS($1:36)),)))</f>
        <v>2412</v>
      </c>
      <c r="G49" s="176">
        <f ca="1">IF(ROWS($1:36)&gt;COUNT(Dong1),"",IF(OFFSET(TH!N$1,SMALL(Dong1,ROWS($1:36)),)="1111",OFFSET(TH!M$1,SMALL(Dong1,ROWS($1:36)),),0))</f>
        <v>0</v>
      </c>
      <c r="H49" s="174">
        <f ca="1">IF(ROWS($1:36)&gt;COUNT(Dong1),"",IF(OFFSET(TH!O$1,SMALL(Dong1,ROWS($1:36)),)="1111",OFFSET(TH!M$1,SMALL(Dong1,ROWS($1:36)),),0))</f>
        <v>2180000</v>
      </c>
      <c r="I49" s="172">
        <f t="shared" ca="1" si="0"/>
        <v>382504310</v>
      </c>
      <c r="J49" s="177"/>
    </row>
    <row r="50" spans="1:10" ht="19.5" customHeight="1">
      <c r="A50" s="171">
        <f ca="1">IF(ROWS($1:37)&gt;COUNT(Dong1),"",OFFSET(TH!C$1,SMALL(Dong1,ROWS($1:37)),))</f>
        <v>42487</v>
      </c>
      <c r="B50" s="171">
        <f ca="1">IF(ROWS($1:37)&gt;COUNT(Dong1),"",OFFSET(TH!E$1,SMALL(Dong1,ROWS($1:37)),))</f>
        <v>42487</v>
      </c>
      <c r="C50" s="172" t="str">
        <f ca="1">IF(ROWS($1:37)&gt;COUNT(Dong1),"",IF(OFFSET(TH!N$1,SMALL(Dong1,ROWS($1:37)),)="1111",OFFSET(TH!D$1,SMALL(Dong1,ROWS($1:37)),),""))</f>
        <v/>
      </c>
      <c r="D50" s="173" t="str">
        <f ca="1">IF(ROWS($1:37)&gt;COUNT(Dong1),"",IF(OFFSET(TH!O$1,SMALL(Dong1,ROWS($1:37)),)="1111",OFFSET(TH!D$1,SMALL(Dong1,ROWS($1:37)),),""))</f>
        <v>C23</v>
      </c>
      <c r="E50" s="442" t="str">
        <f ca="1">IF(ROWS($1:37)&gt;COUNT(Dong1),"",OFFSET(TH!F$1,SMALL(Dong1,ROWS($1:37)),))</f>
        <v>Vật liệu xây dựng</v>
      </c>
      <c r="F50" s="175" t="str">
        <f ca="1">IF(ROWS($1:37)&gt;COUNT(Dong1),"",IF(OFFSET(TH!O$1,SMALL(Dong1,ROWS($1:37)),)="1111",OFFSET(TH!N$1,SMALL(Dong1,ROWS($1:37)),),OFFSET(TH!O$1,SMALL(Dong1,ROWS($1:37)),)))</f>
        <v>2412</v>
      </c>
      <c r="G50" s="176">
        <f ca="1">IF(ROWS($1:37)&gt;COUNT(Dong1),"",IF(OFFSET(TH!N$1,SMALL(Dong1,ROWS($1:37)),)="1111",OFFSET(TH!M$1,SMALL(Dong1,ROWS($1:37)),),0))</f>
        <v>0</v>
      </c>
      <c r="H50" s="174">
        <f ca="1">IF(ROWS($1:37)&gt;COUNT(Dong1),"",IF(OFFSET(TH!O$1,SMALL(Dong1,ROWS($1:37)),)="1111",OFFSET(TH!M$1,SMALL(Dong1,ROWS($1:37)),),0))</f>
        <v>1500000</v>
      </c>
      <c r="I50" s="172">
        <f t="shared" ca="1" si="0"/>
        <v>381004310</v>
      </c>
      <c r="J50" s="177"/>
    </row>
    <row r="51" spans="1:10" ht="19.5" customHeight="1">
      <c r="A51" s="171">
        <f ca="1">IF(ROWS($1:38)&gt;COUNT(Dong1),"",OFFSET(TH!C$1,SMALL(Dong1,ROWS($1:38)),))</f>
        <v>42487</v>
      </c>
      <c r="B51" s="171">
        <f ca="1">IF(ROWS($1:38)&gt;COUNT(Dong1),"",OFFSET(TH!E$1,SMALL(Dong1,ROWS($1:38)),))</f>
        <v>42487</v>
      </c>
      <c r="C51" s="172" t="str">
        <f ca="1">IF(ROWS($1:38)&gt;COUNT(Dong1),"",IF(OFFSET(TH!N$1,SMALL(Dong1,ROWS($1:38)),)="1111",OFFSET(TH!D$1,SMALL(Dong1,ROWS($1:38)),),""))</f>
        <v/>
      </c>
      <c r="D51" s="173" t="str">
        <f ca="1">IF(ROWS($1:38)&gt;COUNT(Dong1),"",IF(OFFSET(TH!O$1,SMALL(Dong1,ROWS($1:38)),)="1111",OFFSET(TH!D$1,SMALL(Dong1,ROWS($1:38)),),""))</f>
        <v>C24</v>
      </c>
      <c r="E51" s="442" t="str">
        <f ca="1">IF(ROWS($1:38)&gt;COUNT(Dong1),"",OFFSET(TH!F$1,SMALL(Dong1,ROWS($1:38)),))</f>
        <v>Q4 - Nộp tiền mặt</v>
      </c>
      <c r="F51" s="175" t="str">
        <f ca="1">IF(ROWS($1:38)&gt;COUNT(Dong1),"",IF(OFFSET(TH!O$1,SMALL(Dong1,ROWS($1:38)),)="1111",OFFSET(TH!N$1,SMALL(Dong1,ROWS($1:38)),),OFFSET(TH!O$1,SMALL(Dong1,ROWS($1:38)),)))</f>
        <v>1121</v>
      </c>
      <c r="G51" s="176">
        <f ca="1">IF(ROWS($1:38)&gt;COUNT(Dong1),"",IF(OFFSET(TH!N$1,SMALL(Dong1,ROWS($1:38)),)="1111",OFFSET(TH!M$1,SMALL(Dong1,ROWS($1:38)),),0))</f>
        <v>0</v>
      </c>
      <c r="H51" s="174">
        <f ca="1">IF(ROWS($1:38)&gt;COUNT(Dong1),"",IF(OFFSET(TH!O$1,SMALL(Dong1,ROWS($1:38)),)="1111",OFFSET(TH!M$1,SMALL(Dong1,ROWS($1:38)),),0))</f>
        <v>47000000</v>
      </c>
      <c r="I51" s="172">
        <f t="shared" ca="1" si="0"/>
        <v>334004310</v>
      </c>
      <c r="J51" s="177"/>
    </row>
    <row r="52" spans="1:10" ht="19.5" customHeight="1">
      <c r="A52" s="171">
        <f ca="1">IF(ROWS($1:39)&gt;COUNT(Dong1),"",OFFSET(TH!C$1,SMALL(Dong1,ROWS($1:39)),))</f>
        <v>42491</v>
      </c>
      <c r="B52" s="171">
        <f ca="1">IF(ROWS($1:39)&gt;COUNT(Dong1),"",OFFSET(TH!E$1,SMALL(Dong1,ROWS($1:39)),))</f>
        <v>42491</v>
      </c>
      <c r="C52" s="172" t="str">
        <f ca="1">IF(ROWS($1:39)&gt;COUNT(Dong1),"",IF(OFFSET(TH!N$1,SMALL(Dong1,ROWS($1:39)),)="1111",OFFSET(TH!D$1,SMALL(Dong1,ROWS($1:39)),),""))</f>
        <v>T01</v>
      </c>
      <c r="D52" s="173" t="str">
        <f ca="1">IF(ROWS($1:39)&gt;COUNT(Dong1),"",IF(OFFSET(TH!O$1,SMALL(Dong1,ROWS($1:39)),)="1111",OFFSET(TH!D$1,SMALL(Dong1,ROWS($1:39)),),""))</f>
        <v/>
      </c>
      <c r="E52" s="442" t="str">
        <f ca="1">IF(ROWS($1:39)&gt;COUNT(Dong1),"",OFFSET(TH!F$1,SMALL(Dong1,ROWS($1:39)),))</f>
        <v>Ứng vốn</v>
      </c>
      <c r="F52" s="175" t="str">
        <f ca="1">IF(ROWS($1:39)&gt;COUNT(Dong1),"",IF(OFFSET(TH!O$1,SMALL(Dong1,ROWS($1:39)),)="1111",OFFSET(TH!N$1,SMALL(Dong1,ROWS($1:39)),),OFFSET(TH!O$1,SMALL(Dong1,ROWS($1:39)),)))</f>
        <v>3388</v>
      </c>
      <c r="G52" s="176">
        <f ca="1">IF(ROWS($1:39)&gt;COUNT(Dong1),"",IF(OFFSET(TH!N$1,SMALL(Dong1,ROWS($1:39)),)="1111",OFFSET(TH!M$1,SMALL(Dong1,ROWS($1:39)),),0))</f>
        <v>1000000000</v>
      </c>
      <c r="H52" s="174">
        <f ca="1">IF(ROWS($1:39)&gt;COUNT(Dong1),"",IF(OFFSET(TH!O$1,SMALL(Dong1,ROWS($1:39)),)="1111",OFFSET(TH!M$1,SMALL(Dong1,ROWS($1:39)),),0))</f>
        <v>0</v>
      </c>
      <c r="I52" s="172">
        <f t="shared" ca="1" si="0"/>
        <v>1334004310</v>
      </c>
      <c r="J52" s="177"/>
    </row>
    <row r="53" spans="1:10" ht="19.5" customHeight="1">
      <c r="A53" s="171">
        <f ca="1">IF(ROWS($1:40)&gt;COUNT(Dong1),"",OFFSET(TH!C$1,SMALL(Dong1,ROWS($1:40)),))</f>
        <v>42494</v>
      </c>
      <c r="B53" s="171">
        <f ca="1">IF(ROWS($1:40)&gt;COUNT(Dong1),"",OFFSET(TH!E$1,SMALL(Dong1,ROWS($1:40)),))</f>
        <v>42494</v>
      </c>
      <c r="C53" s="172" t="str">
        <f ca="1">IF(ROWS($1:40)&gt;COUNT(Dong1),"",IF(OFFSET(TH!N$1,SMALL(Dong1,ROWS($1:40)),)="1111",OFFSET(TH!D$1,SMALL(Dong1,ROWS($1:40)),),""))</f>
        <v/>
      </c>
      <c r="D53" s="173" t="str">
        <f ca="1">IF(ROWS($1:40)&gt;COUNT(Dong1),"",IF(OFFSET(TH!O$1,SMALL(Dong1,ROWS($1:40)),)="1111",OFFSET(TH!D$1,SMALL(Dong1,ROWS($1:40)),),""))</f>
        <v>C25</v>
      </c>
      <c r="E53" s="442" t="str">
        <f ca="1">IF(ROWS($1:40)&gt;COUNT(Dong1),"",OFFSET(TH!F$1,SMALL(Dong1,ROWS($1:40)),))</f>
        <v>Trả vốn mượn</v>
      </c>
      <c r="F53" s="175" t="str">
        <f ca="1">IF(ROWS($1:40)&gt;COUNT(Dong1),"",IF(OFFSET(TH!O$1,SMALL(Dong1,ROWS($1:40)),)="1111",OFFSET(TH!N$1,SMALL(Dong1,ROWS($1:40)),),OFFSET(TH!O$1,SMALL(Dong1,ROWS($1:40)),)))</f>
        <v>1388</v>
      </c>
      <c r="G53" s="176">
        <f ca="1">IF(ROWS($1:40)&gt;COUNT(Dong1),"",IF(OFFSET(TH!N$1,SMALL(Dong1,ROWS($1:40)),)="1111",OFFSET(TH!M$1,SMALL(Dong1,ROWS($1:40)),),0))</f>
        <v>0</v>
      </c>
      <c r="H53" s="174">
        <f ca="1">IF(ROWS($1:40)&gt;COUNT(Dong1),"",IF(OFFSET(TH!O$1,SMALL(Dong1,ROWS($1:40)),)="1111",OFFSET(TH!M$1,SMALL(Dong1,ROWS($1:40)),),0))</f>
        <v>95000000</v>
      </c>
      <c r="I53" s="172">
        <f t="shared" ca="1" si="0"/>
        <v>1239004310</v>
      </c>
      <c r="J53" s="177"/>
    </row>
    <row r="54" spans="1:10" ht="19.5" customHeight="1">
      <c r="A54" s="171">
        <f ca="1">IF(ROWS($1:41)&gt;COUNT(Dong1),"",OFFSET(TH!C$1,SMALL(Dong1,ROWS($1:41)),))</f>
        <v>42500</v>
      </c>
      <c r="B54" s="171">
        <f ca="1">IF(ROWS($1:41)&gt;COUNT(Dong1),"",OFFSET(TH!E$1,SMALL(Dong1,ROWS($1:41)),))</f>
        <v>42500</v>
      </c>
      <c r="C54" s="172" t="str">
        <f ca="1">IF(ROWS($1:41)&gt;COUNT(Dong1),"",IF(OFFSET(TH!N$1,SMALL(Dong1,ROWS($1:41)),)="1111",OFFSET(TH!D$1,SMALL(Dong1,ROWS($1:41)),),""))</f>
        <v/>
      </c>
      <c r="D54" s="173" t="str">
        <f ca="1">IF(ROWS($1:41)&gt;COUNT(Dong1),"",IF(OFFSET(TH!O$1,SMALL(Dong1,ROWS($1:41)),)="1111",OFFSET(TH!D$1,SMALL(Dong1,ROWS($1:41)),),""))</f>
        <v>C26</v>
      </c>
      <c r="E54" s="442" t="str">
        <f ca="1">IF(ROWS($1:41)&gt;COUNT(Dong1),"",OFFSET(TH!F$1,SMALL(Dong1,ROWS($1:41)),))</f>
        <v>Phí dịch vụ bảo vệ T4/2016</v>
      </c>
      <c r="F54" s="175" t="str">
        <f ca="1">IF(ROWS($1:41)&gt;COUNT(Dong1),"",IF(OFFSET(TH!O$1,SMALL(Dong1,ROWS($1:41)),)="1111",OFFSET(TH!N$1,SMALL(Dong1,ROWS($1:41)),),OFFSET(TH!O$1,SMALL(Dong1,ROWS($1:41)),)))</f>
        <v>642</v>
      </c>
      <c r="G54" s="176">
        <f ca="1">IF(ROWS($1:41)&gt;COUNT(Dong1),"",IF(OFFSET(TH!N$1,SMALL(Dong1,ROWS($1:41)),)="1111",OFFSET(TH!M$1,SMALL(Dong1,ROWS($1:41)),),0))</f>
        <v>0</v>
      </c>
      <c r="H54" s="174">
        <f ca="1">IF(ROWS($1:41)&gt;COUNT(Dong1),"",IF(OFFSET(TH!O$1,SMALL(Dong1,ROWS($1:41)),)="1111",OFFSET(TH!M$1,SMALL(Dong1,ROWS($1:41)),),0))</f>
        <v>7272727</v>
      </c>
      <c r="I54" s="172">
        <f t="shared" ca="1" si="0"/>
        <v>1231731583</v>
      </c>
      <c r="J54" s="177"/>
    </row>
    <row r="55" spans="1:10" ht="19.5" customHeight="1">
      <c r="A55" s="171">
        <f ca="1">IF(ROWS($1:42)&gt;COUNT(Dong1),"",OFFSET(TH!C$1,SMALL(Dong1,ROWS($1:42)),))</f>
        <v>42500</v>
      </c>
      <c r="B55" s="171">
        <f ca="1">IF(ROWS($1:42)&gt;COUNT(Dong1),"",OFFSET(TH!E$1,SMALL(Dong1,ROWS($1:42)),))</f>
        <v>42500</v>
      </c>
      <c r="C55" s="172" t="str">
        <f ca="1">IF(ROWS($1:42)&gt;COUNT(Dong1),"",IF(OFFSET(TH!N$1,SMALL(Dong1,ROWS($1:42)),)="1111",OFFSET(TH!D$1,SMALL(Dong1,ROWS($1:42)),),""))</f>
        <v/>
      </c>
      <c r="D55" s="173" t="str">
        <f ca="1">IF(ROWS($1:42)&gt;COUNT(Dong1),"",IF(OFFSET(TH!O$1,SMALL(Dong1,ROWS($1:42)),)="1111",OFFSET(TH!D$1,SMALL(Dong1,ROWS($1:42)),),""))</f>
        <v>C26</v>
      </c>
      <c r="E55" s="442" t="str">
        <f ca="1">IF(ROWS($1:42)&gt;COUNT(Dong1),"",OFFSET(TH!F$1,SMALL(Dong1,ROWS($1:42)),))</f>
        <v>VAT Phí dịch vụ bảo vệ T4/2016</v>
      </c>
      <c r="F55" s="175" t="str">
        <f ca="1">IF(ROWS($1:42)&gt;COUNT(Dong1),"",IF(OFFSET(TH!O$1,SMALL(Dong1,ROWS($1:42)),)="1111",OFFSET(TH!N$1,SMALL(Dong1,ROWS($1:42)),),OFFSET(TH!O$1,SMALL(Dong1,ROWS($1:42)),)))</f>
        <v>1331</v>
      </c>
      <c r="G55" s="176">
        <f ca="1">IF(ROWS($1:42)&gt;COUNT(Dong1),"",IF(OFFSET(TH!N$1,SMALL(Dong1,ROWS($1:42)),)="1111",OFFSET(TH!M$1,SMALL(Dong1,ROWS($1:42)),),0))</f>
        <v>0</v>
      </c>
      <c r="H55" s="174">
        <f ca="1">IF(ROWS($1:42)&gt;COUNT(Dong1),"",IF(OFFSET(TH!O$1,SMALL(Dong1,ROWS($1:42)),)="1111",OFFSET(TH!M$1,SMALL(Dong1,ROWS($1:42)),),0))</f>
        <v>727273</v>
      </c>
      <c r="I55" s="172">
        <f t="shared" ca="1" si="0"/>
        <v>1231004310</v>
      </c>
      <c r="J55" s="177"/>
    </row>
    <row r="56" spans="1:10" ht="19.5" customHeight="1">
      <c r="A56" s="171">
        <f ca="1">IF(ROWS($1:43)&gt;COUNT(Dong1),"",OFFSET(TH!C$1,SMALL(Dong1,ROWS($1:43)),))</f>
        <v>42500</v>
      </c>
      <c r="B56" s="171">
        <f ca="1">IF(ROWS($1:43)&gt;COUNT(Dong1),"",OFFSET(TH!E$1,SMALL(Dong1,ROWS($1:43)),))</f>
        <v>42500</v>
      </c>
      <c r="C56" s="172" t="str">
        <f ca="1">IF(ROWS($1:43)&gt;COUNT(Dong1),"",IF(OFFSET(TH!N$1,SMALL(Dong1,ROWS($1:43)),)="1111",OFFSET(TH!D$1,SMALL(Dong1,ROWS($1:43)),),""))</f>
        <v/>
      </c>
      <c r="D56" s="173" t="str">
        <f ca="1">IF(ROWS($1:43)&gt;COUNT(Dong1),"",IF(OFFSET(TH!O$1,SMALL(Dong1,ROWS($1:43)),)="1111",OFFSET(TH!D$1,SMALL(Dong1,ROWS($1:43)),),""))</f>
        <v>C27</v>
      </c>
      <c r="E56" s="442" t="str">
        <f ca="1">IF(ROWS($1:43)&gt;COUNT(Dong1),"",OFFSET(TH!F$1,SMALL(Dong1,ROWS($1:43)),))</f>
        <v>Dụng cụ thử nghiêm</v>
      </c>
      <c r="F56" s="175" t="str">
        <f ca="1">IF(ROWS($1:43)&gt;COUNT(Dong1),"",IF(OFFSET(TH!O$1,SMALL(Dong1,ROWS($1:43)),)="1111",OFFSET(TH!N$1,SMALL(Dong1,ROWS($1:43)),),OFFSET(TH!O$1,SMALL(Dong1,ROWS($1:43)),)))</f>
        <v>642</v>
      </c>
      <c r="G56" s="176">
        <f ca="1">IF(ROWS($1:43)&gt;COUNT(Dong1),"",IF(OFFSET(TH!N$1,SMALL(Dong1,ROWS($1:43)),)="1111",OFFSET(TH!M$1,SMALL(Dong1,ROWS($1:43)),),0))</f>
        <v>0</v>
      </c>
      <c r="H56" s="174">
        <f ca="1">IF(ROWS($1:43)&gt;COUNT(Dong1),"",IF(OFFSET(TH!O$1,SMALL(Dong1,ROWS($1:43)),)="1111",OFFSET(TH!M$1,SMALL(Dong1,ROWS($1:43)),),0))</f>
        <v>1479091</v>
      </c>
      <c r="I56" s="172">
        <f t="shared" ca="1" si="0"/>
        <v>1229525219</v>
      </c>
      <c r="J56" s="177"/>
    </row>
    <row r="57" spans="1:10" ht="19.5" customHeight="1">
      <c r="A57" s="171">
        <f ca="1">IF(ROWS($1:44)&gt;COUNT(Dong1),"",OFFSET(TH!C$1,SMALL(Dong1,ROWS($1:44)),))</f>
        <v>42500</v>
      </c>
      <c r="B57" s="171">
        <f ca="1">IF(ROWS($1:44)&gt;COUNT(Dong1),"",OFFSET(TH!E$1,SMALL(Dong1,ROWS($1:44)),))</f>
        <v>42500</v>
      </c>
      <c r="C57" s="172" t="str">
        <f ca="1">IF(ROWS($1:44)&gt;COUNT(Dong1),"",IF(OFFSET(TH!N$1,SMALL(Dong1,ROWS($1:44)),)="1111",OFFSET(TH!D$1,SMALL(Dong1,ROWS($1:44)),),""))</f>
        <v/>
      </c>
      <c r="D57" s="173" t="str">
        <f ca="1">IF(ROWS($1:44)&gt;COUNT(Dong1),"",IF(OFFSET(TH!O$1,SMALL(Dong1,ROWS($1:44)),)="1111",OFFSET(TH!D$1,SMALL(Dong1,ROWS($1:44)),),""))</f>
        <v>C27</v>
      </c>
      <c r="E57" s="442" t="str">
        <f ca="1">IF(ROWS($1:44)&gt;COUNT(Dong1),"",OFFSET(TH!F$1,SMALL(Dong1,ROWS($1:44)),))</f>
        <v>VAT Dụng cụ thử nghiêm</v>
      </c>
      <c r="F57" s="175" t="str">
        <f ca="1">IF(ROWS($1:44)&gt;COUNT(Dong1),"",IF(OFFSET(TH!O$1,SMALL(Dong1,ROWS($1:44)),)="1111",OFFSET(TH!N$1,SMALL(Dong1,ROWS($1:44)),),OFFSET(TH!O$1,SMALL(Dong1,ROWS($1:44)),)))</f>
        <v>1331</v>
      </c>
      <c r="G57" s="176">
        <f ca="1">IF(ROWS($1:44)&gt;COUNT(Dong1),"",IF(OFFSET(TH!N$1,SMALL(Dong1,ROWS($1:44)),)="1111",OFFSET(TH!M$1,SMALL(Dong1,ROWS($1:44)),),0))</f>
        <v>0</v>
      </c>
      <c r="H57" s="174">
        <f ca="1">IF(ROWS($1:44)&gt;COUNT(Dong1),"",IF(OFFSET(TH!O$1,SMALL(Dong1,ROWS($1:44)),)="1111",OFFSET(TH!M$1,SMALL(Dong1,ROWS($1:44)),),0))</f>
        <v>147909</v>
      </c>
      <c r="I57" s="172">
        <f t="shared" ca="1" si="0"/>
        <v>1229377310</v>
      </c>
      <c r="J57" s="177"/>
    </row>
    <row r="58" spans="1:10" ht="19.5" customHeight="1">
      <c r="A58" s="171">
        <f ca="1">IF(ROWS($1:45)&gt;COUNT(Dong1),"",OFFSET(TH!C$1,SMALL(Dong1,ROWS($1:45)),))</f>
        <v>42503</v>
      </c>
      <c r="B58" s="171">
        <f ca="1">IF(ROWS($1:45)&gt;COUNT(Dong1),"",OFFSET(TH!E$1,SMALL(Dong1,ROWS($1:45)),))</f>
        <v>42503</v>
      </c>
      <c r="C58" s="172" t="str">
        <f ca="1">IF(ROWS($1:45)&gt;COUNT(Dong1),"",IF(OFFSET(TH!N$1,SMALL(Dong1,ROWS($1:45)),)="1111",OFFSET(TH!D$1,SMALL(Dong1,ROWS($1:45)),),""))</f>
        <v/>
      </c>
      <c r="D58" s="173" t="str">
        <f ca="1">IF(ROWS($1:45)&gt;COUNT(Dong1),"",IF(OFFSET(TH!O$1,SMALL(Dong1,ROWS($1:45)),)="1111",OFFSET(TH!D$1,SMALL(Dong1,ROWS($1:45)),),""))</f>
        <v>C28</v>
      </c>
      <c r="E58" s="442" t="str">
        <f ca="1">IF(ROWS($1:45)&gt;COUNT(Dong1),"",OFFSET(TH!F$1,SMALL(Dong1,ROWS($1:45)),))</f>
        <v>Vật liệu điện</v>
      </c>
      <c r="F58" s="175" t="str">
        <f ca="1">IF(ROWS($1:45)&gt;COUNT(Dong1),"",IF(OFFSET(TH!O$1,SMALL(Dong1,ROWS($1:45)),)="1111",OFFSET(TH!N$1,SMALL(Dong1,ROWS($1:45)),),OFFSET(TH!O$1,SMALL(Dong1,ROWS($1:45)),)))</f>
        <v>2412</v>
      </c>
      <c r="G58" s="176">
        <f ca="1">IF(ROWS($1:45)&gt;COUNT(Dong1),"",IF(OFFSET(TH!N$1,SMALL(Dong1,ROWS($1:45)),)="1111",OFFSET(TH!M$1,SMALL(Dong1,ROWS($1:45)),),0))</f>
        <v>0</v>
      </c>
      <c r="H58" s="174">
        <f ca="1">IF(ROWS($1:45)&gt;COUNT(Dong1),"",IF(OFFSET(TH!O$1,SMALL(Dong1,ROWS($1:45)),)="1111",OFFSET(TH!M$1,SMALL(Dong1,ROWS($1:45)),),0))</f>
        <v>1700000</v>
      </c>
      <c r="I58" s="172">
        <f t="shared" ca="1" si="0"/>
        <v>1227677310</v>
      </c>
      <c r="J58" s="177"/>
    </row>
    <row r="59" spans="1:10" ht="19.5" customHeight="1">
      <c r="A59" s="171">
        <f ca="1">IF(ROWS($1:46)&gt;COUNT(Dong1),"",OFFSET(TH!C$1,SMALL(Dong1,ROWS($1:46)),))</f>
        <v>42507</v>
      </c>
      <c r="B59" s="171">
        <f ca="1">IF(ROWS($1:46)&gt;COUNT(Dong1),"",OFFSET(TH!E$1,SMALL(Dong1,ROWS($1:46)),))</f>
        <v>42507</v>
      </c>
      <c r="C59" s="172" t="str">
        <f ca="1">IF(ROWS($1:46)&gt;COUNT(Dong1),"",IF(OFFSET(TH!N$1,SMALL(Dong1,ROWS($1:46)),)="1111",OFFSET(TH!D$1,SMALL(Dong1,ROWS($1:46)),),""))</f>
        <v/>
      </c>
      <c r="D59" s="173" t="str">
        <f ca="1">IF(ROWS($1:46)&gt;COUNT(Dong1),"",IF(OFFSET(TH!O$1,SMALL(Dong1,ROWS($1:46)),)="1111",OFFSET(TH!D$1,SMALL(Dong1,ROWS($1:46)),),""))</f>
        <v>C29</v>
      </c>
      <c r="E59" s="442" t="str">
        <f ca="1">IF(ROWS($1:46)&gt;COUNT(Dong1),"",OFFSET(TH!F$1,SMALL(Dong1,ROWS($1:46)),))</f>
        <v>Cước điện thoại + Internet T4/2016</v>
      </c>
      <c r="F59" s="175" t="str">
        <f ca="1">IF(ROWS($1:46)&gt;COUNT(Dong1),"",IF(OFFSET(TH!O$1,SMALL(Dong1,ROWS($1:46)),)="1111",OFFSET(TH!N$1,SMALL(Dong1,ROWS($1:46)),),OFFSET(TH!O$1,SMALL(Dong1,ROWS($1:46)),)))</f>
        <v>642</v>
      </c>
      <c r="G59" s="176">
        <f ca="1">IF(ROWS($1:46)&gt;COUNT(Dong1),"",IF(OFFSET(TH!N$1,SMALL(Dong1,ROWS($1:46)),)="1111",OFFSET(TH!M$1,SMALL(Dong1,ROWS($1:46)),),0))</f>
        <v>0</v>
      </c>
      <c r="H59" s="174">
        <f ca="1">IF(ROWS($1:46)&gt;COUNT(Dong1),"",IF(OFFSET(TH!O$1,SMALL(Dong1,ROWS($1:46)),)="1111",OFFSET(TH!M$1,SMALL(Dong1,ROWS($1:46)),),0))</f>
        <v>481314</v>
      </c>
      <c r="I59" s="172">
        <f t="shared" ca="1" si="0"/>
        <v>1227195996</v>
      </c>
      <c r="J59" s="177"/>
    </row>
    <row r="60" spans="1:10" ht="19.5" customHeight="1">
      <c r="A60" s="171">
        <f ca="1">IF(ROWS($1:47)&gt;COUNT(Dong1),"",OFFSET(TH!C$1,SMALL(Dong1,ROWS($1:47)),))</f>
        <v>42507</v>
      </c>
      <c r="B60" s="171">
        <f ca="1">IF(ROWS($1:47)&gt;COUNT(Dong1),"",OFFSET(TH!E$1,SMALL(Dong1,ROWS($1:47)),))</f>
        <v>42507</v>
      </c>
      <c r="C60" s="172" t="str">
        <f ca="1">IF(ROWS($1:47)&gt;COUNT(Dong1),"",IF(OFFSET(TH!N$1,SMALL(Dong1,ROWS($1:47)),)="1111",OFFSET(TH!D$1,SMALL(Dong1,ROWS($1:47)),),""))</f>
        <v/>
      </c>
      <c r="D60" s="173" t="str">
        <f ca="1">IF(ROWS($1:47)&gt;COUNT(Dong1),"",IF(OFFSET(TH!O$1,SMALL(Dong1,ROWS($1:47)),)="1111",OFFSET(TH!D$1,SMALL(Dong1,ROWS($1:47)),),""))</f>
        <v>C29</v>
      </c>
      <c r="E60" s="442" t="str">
        <f ca="1">IF(ROWS($1:47)&gt;COUNT(Dong1),"",OFFSET(TH!F$1,SMALL(Dong1,ROWS($1:47)),))</f>
        <v>VAT Cước điện thoại + Internet T4/2016</v>
      </c>
      <c r="F60" s="175" t="str">
        <f ca="1">IF(ROWS($1:47)&gt;COUNT(Dong1),"",IF(OFFSET(TH!O$1,SMALL(Dong1,ROWS($1:47)),)="1111",OFFSET(TH!N$1,SMALL(Dong1,ROWS($1:47)),),OFFSET(TH!O$1,SMALL(Dong1,ROWS($1:47)),)))</f>
        <v>1331</v>
      </c>
      <c r="G60" s="176">
        <f ca="1">IF(ROWS($1:47)&gt;COUNT(Dong1),"",IF(OFFSET(TH!N$1,SMALL(Dong1,ROWS($1:47)),)="1111",OFFSET(TH!M$1,SMALL(Dong1,ROWS($1:47)),),0))</f>
        <v>0</v>
      </c>
      <c r="H60" s="174">
        <f ca="1">IF(ROWS($1:47)&gt;COUNT(Dong1),"",IF(OFFSET(TH!O$1,SMALL(Dong1,ROWS($1:47)),)="1111",OFFSET(TH!M$1,SMALL(Dong1,ROWS($1:47)),),0))</f>
        <v>48131</v>
      </c>
      <c r="I60" s="172">
        <f t="shared" ca="1" si="0"/>
        <v>1227147865</v>
      </c>
      <c r="J60" s="177"/>
    </row>
    <row r="61" spans="1:10" ht="19.5" customHeight="1">
      <c r="A61" s="171">
        <f ca="1">IF(ROWS($1:48)&gt;COUNT(Dong1),"",OFFSET(TH!C$1,SMALL(Dong1,ROWS($1:48)),))</f>
        <v>42507</v>
      </c>
      <c r="B61" s="171">
        <f ca="1">IF(ROWS($1:48)&gt;COUNT(Dong1),"",OFFSET(TH!E$1,SMALL(Dong1,ROWS($1:48)),))</f>
        <v>42507</v>
      </c>
      <c r="C61" s="172" t="str">
        <f ca="1">IF(ROWS($1:48)&gt;COUNT(Dong1),"",IF(OFFSET(TH!N$1,SMALL(Dong1,ROWS($1:48)),)="1111",OFFSET(TH!D$1,SMALL(Dong1,ROWS($1:48)),),""))</f>
        <v/>
      </c>
      <c r="D61" s="173" t="str">
        <f ca="1">IF(ROWS($1:48)&gt;COUNT(Dong1),"",IF(OFFSET(TH!O$1,SMALL(Dong1,ROWS($1:48)),)="1111",OFFSET(TH!D$1,SMALL(Dong1,ROWS($1:48)),),""))</f>
        <v>C30</v>
      </c>
      <c r="E61" s="442" t="str">
        <f ca="1">IF(ROWS($1:48)&gt;COUNT(Dong1),"",OFFSET(TH!F$1,SMALL(Dong1,ROWS($1:48)),))</f>
        <v>Vật liệu điện</v>
      </c>
      <c r="F61" s="175" t="str">
        <f ca="1">IF(ROWS($1:48)&gt;COUNT(Dong1),"",IF(OFFSET(TH!O$1,SMALL(Dong1,ROWS($1:48)),)="1111",OFFSET(TH!N$1,SMALL(Dong1,ROWS($1:48)),),OFFSET(TH!O$1,SMALL(Dong1,ROWS($1:48)),)))</f>
        <v>2412</v>
      </c>
      <c r="G61" s="176">
        <f ca="1">IF(ROWS($1:48)&gt;COUNT(Dong1),"",IF(OFFSET(TH!N$1,SMALL(Dong1,ROWS($1:48)),)="1111",OFFSET(TH!M$1,SMALL(Dong1,ROWS($1:48)),),0))</f>
        <v>0</v>
      </c>
      <c r="H61" s="174">
        <f ca="1">IF(ROWS($1:48)&gt;COUNT(Dong1),"",IF(OFFSET(TH!O$1,SMALL(Dong1,ROWS($1:48)),)="1111",OFFSET(TH!M$1,SMALL(Dong1,ROWS($1:48)),),0))</f>
        <v>3800000</v>
      </c>
      <c r="I61" s="172">
        <f t="shared" ca="1" si="0"/>
        <v>1223347865</v>
      </c>
      <c r="J61" s="177"/>
    </row>
    <row r="62" spans="1:10" ht="19.5" customHeight="1">
      <c r="A62" s="171">
        <f ca="1">IF(ROWS($1:49)&gt;COUNT(Dong1),"",OFFSET(TH!C$1,SMALL(Dong1,ROWS($1:49)),))</f>
        <v>42509</v>
      </c>
      <c r="B62" s="171">
        <f ca="1">IF(ROWS($1:49)&gt;COUNT(Dong1),"",OFFSET(TH!E$1,SMALL(Dong1,ROWS($1:49)),))</f>
        <v>42509</v>
      </c>
      <c r="C62" s="172" t="str">
        <f ca="1">IF(ROWS($1:49)&gt;COUNT(Dong1),"",IF(OFFSET(TH!N$1,SMALL(Dong1,ROWS($1:49)),)="1111",OFFSET(TH!D$1,SMALL(Dong1,ROWS($1:49)),),""))</f>
        <v/>
      </c>
      <c r="D62" s="173" t="str">
        <f ca="1">IF(ROWS($1:49)&gt;COUNT(Dong1),"",IF(OFFSET(TH!O$1,SMALL(Dong1,ROWS($1:49)),)="1111",OFFSET(TH!D$1,SMALL(Dong1,ROWS($1:49)),),""))</f>
        <v>C31</v>
      </c>
      <c r="E62" s="442" t="str">
        <f ca="1">IF(ROWS($1:49)&gt;COUNT(Dong1),"",OFFSET(TH!F$1,SMALL(Dong1,ROWS($1:49)),))</f>
        <v>Vật liệu xây dựng</v>
      </c>
      <c r="F62" s="175" t="str">
        <f ca="1">IF(ROWS($1:49)&gt;COUNT(Dong1),"",IF(OFFSET(TH!O$1,SMALL(Dong1,ROWS($1:49)),)="1111",OFFSET(TH!N$1,SMALL(Dong1,ROWS($1:49)),),OFFSET(TH!O$1,SMALL(Dong1,ROWS($1:49)),)))</f>
        <v>2412</v>
      </c>
      <c r="G62" s="176">
        <f ca="1">IF(ROWS($1:49)&gt;COUNT(Dong1),"",IF(OFFSET(TH!N$1,SMALL(Dong1,ROWS($1:49)),)="1111",OFFSET(TH!M$1,SMALL(Dong1,ROWS($1:49)),),0))</f>
        <v>0</v>
      </c>
      <c r="H62" s="174">
        <f ca="1">IF(ROWS($1:49)&gt;COUNT(Dong1),"",IF(OFFSET(TH!O$1,SMALL(Dong1,ROWS($1:49)),)="1111",OFFSET(TH!M$1,SMALL(Dong1,ROWS($1:49)),),0))</f>
        <v>1145000</v>
      </c>
      <c r="I62" s="172">
        <f t="shared" ca="1" si="0"/>
        <v>1222202865</v>
      </c>
      <c r="J62" s="177"/>
    </row>
    <row r="63" spans="1:10" ht="19.5" customHeight="1">
      <c r="A63" s="171">
        <f ca="1">IF(ROWS($1:50)&gt;COUNT(Dong1),"",OFFSET(TH!C$1,SMALL(Dong1,ROWS($1:50)),))</f>
        <v>42509</v>
      </c>
      <c r="B63" s="171">
        <f ca="1">IF(ROWS($1:50)&gt;COUNT(Dong1),"",OFFSET(TH!E$1,SMALL(Dong1,ROWS($1:50)),))</f>
        <v>42509</v>
      </c>
      <c r="C63" s="172" t="str">
        <f ca="1">IF(ROWS($1:50)&gt;COUNT(Dong1),"",IF(OFFSET(TH!N$1,SMALL(Dong1,ROWS($1:50)),)="1111",OFFSET(TH!D$1,SMALL(Dong1,ROWS($1:50)),),""))</f>
        <v/>
      </c>
      <c r="D63" s="173" t="str">
        <f ca="1">IF(ROWS($1:50)&gt;COUNT(Dong1),"",IF(OFFSET(TH!O$1,SMALL(Dong1,ROWS($1:50)),)="1111",OFFSET(TH!D$1,SMALL(Dong1,ROWS($1:50)),),""))</f>
        <v>C32</v>
      </c>
      <c r="E63" s="442" t="str">
        <f ca="1">IF(ROWS($1:50)&gt;COUNT(Dong1),"",OFFSET(TH!F$1,SMALL(Dong1,ROWS($1:50)),))</f>
        <v>Trả vốn mượn</v>
      </c>
      <c r="F63" s="175" t="str">
        <f ca="1">IF(ROWS($1:50)&gt;COUNT(Dong1),"",IF(OFFSET(TH!O$1,SMALL(Dong1,ROWS($1:50)),)="1111",OFFSET(TH!N$1,SMALL(Dong1,ROWS($1:50)),),OFFSET(TH!O$1,SMALL(Dong1,ROWS($1:50)),)))</f>
        <v>1388</v>
      </c>
      <c r="G63" s="176">
        <f ca="1">IF(ROWS($1:50)&gt;COUNT(Dong1),"",IF(OFFSET(TH!N$1,SMALL(Dong1,ROWS($1:50)),)="1111",OFFSET(TH!M$1,SMALL(Dong1,ROWS($1:50)),),0))</f>
        <v>0</v>
      </c>
      <c r="H63" s="174">
        <f ca="1">IF(ROWS($1:50)&gt;COUNT(Dong1),"",IF(OFFSET(TH!O$1,SMALL(Dong1,ROWS($1:50)),)="1111",OFFSET(TH!M$1,SMALL(Dong1,ROWS($1:50)),),0))</f>
        <v>14000000</v>
      </c>
      <c r="I63" s="172">
        <f t="shared" ca="1" si="0"/>
        <v>1208202865</v>
      </c>
      <c r="J63" s="177"/>
    </row>
    <row r="64" spans="1:10" ht="19.5" customHeight="1">
      <c r="A64" s="171">
        <f ca="1">IF(ROWS($1:51)&gt;COUNT(Dong1),"",OFFSET(TH!C$1,SMALL(Dong1,ROWS($1:51)),))</f>
        <v>42510</v>
      </c>
      <c r="B64" s="171">
        <f ca="1">IF(ROWS($1:51)&gt;COUNT(Dong1),"",OFFSET(TH!E$1,SMALL(Dong1,ROWS($1:51)),))</f>
        <v>42510</v>
      </c>
      <c r="C64" s="172" t="str">
        <f ca="1">IF(ROWS($1:51)&gt;COUNT(Dong1),"",IF(OFFSET(TH!N$1,SMALL(Dong1,ROWS($1:51)),)="1111",OFFSET(TH!D$1,SMALL(Dong1,ROWS($1:51)),),""))</f>
        <v/>
      </c>
      <c r="D64" s="173" t="str">
        <f ca="1">IF(ROWS($1:51)&gt;COUNT(Dong1),"",IF(OFFSET(TH!O$1,SMALL(Dong1,ROWS($1:51)),)="1111",OFFSET(TH!D$1,SMALL(Dong1,ROWS($1:51)),),""))</f>
        <v>C33</v>
      </c>
      <c r="E64" s="442" t="str">
        <f ca="1">IF(ROWS($1:51)&gt;COUNT(Dong1),"",OFFSET(TH!F$1,SMALL(Dong1,ROWS($1:51)),))</f>
        <v>Clorin tẩy rửa xưởng</v>
      </c>
      <c r="F64" s="175" t="str">
        <f ca="1">IF(ROWS($1:51)&gt;COUNT(Dong1),"",IF(OFFSET(TH!O$1,SMALL(Dong1,ROWS($1:51)),)="1111",OFFSET(TH!N$1,SMALL(Dong1,ROWS($1:51)),),OFFSET(TH!O$1,SMALL(Dong1,ROWS($1:51)),)))</f>
        <v>642</v>
      </c>
      <c r="G64" s="176">
        <f ca="1">IF(ROWS($1:51)&gt;COUNT(Dong1),"",IF(OFFSET(TH!N$1,SMALL(Dong1,ROWS($1:51)),)="1111",OFFSET(TH!M$1,SMALL(Dong1,ROWS($1:51)),),0))</f>
        <v>0</v>
      </c>
      <c r="H64" s="174">
        <f ca="1">IF(ROWS($1:51)&gt;COUNT(Dong1),"",IF(OFFSET(TH!O$1,SMALL(Dong1,ROWS($1:51)),)="1111",OFFSET(TH!M$1,SMALL(Dong1,ROWS($1:51)),),0))</f>
        <v>8409091</v>
      </c>
      <c r="I64" s="172">
        <f t="shared" ca="1" si="0"/>
        <v>1199793774</v>
      </c>
      <c r="J64" s="177"/>
    </row>
    <row r="65" spans="1:10" ht="19.5" customHeight="1">
      <c r="A65" s="171">
        <f ca="1">IF(ROWS($1:52)&gt;COUNT(Dong1),"",OFFSET(TH!C$1,SMALL(Dong1,ROWS($1:52)),))</f>
        <v>42510</v>
      </c>
      <c r="B65" s="171">
        <f ca="1">IF(ROWS($1:52)&gt;COUNT(Dong1),"",OFFSET(TH!E$1,SMALL(Dong1,ROWS($1:52)),))</f>
        <v>42510</v>
      </c>
      <c r="C65" s="172" t="str">
        <f ca="1">IF(ROWS($1:52)&gt;COUNT(Dong1),"",IF(OFFSET(TH!N$1,SMALL(Dong1,ROWS($1:52)),)="1111",OFFSET(TH!D$1,SMALL(Dong1,ROWS($1:52)),),""))</f>
        <v/>
      </c>
      <c r="D65" s="173" t="str">
        <f ca="1">IF(ROWS($1:52)&gt;COUNT(Dong1),"",IF(OFFSET(TH!O$1,SMALL(Dong1,ROWS($1:52)),)="1111",OFFSET(TH!D$1,SMALL(Dong1,ROWS($1:52)),),""))</f>
        <v>C33</v>
      </c>
      <c r="E65" s="442" t="str">
        <f ca="1">IF(ROWS($1:52)&gt;COUNT(Dong1),"",OFFSET(TH!F$1,SMALL(Dong1,ROWS($1:52)),))</f>
        <v>VAT Clorin tẩy rửa xưởng</v>
      </c>
      <c r="F65" s="175" t="str">
        <f ca="1">IF(ROWS($1:52)&gt;COUNT(Dong1),"",IF(OFFSET(TH!O$1,SMALL(Dong1,ROWS($1:52)),)="1111",OFFSET(TH!N$1,SMALL(Dong1,ROWS($1:52)),),OFFSET(TH!O$1,SMALL(Dong1,ROWS($1:52)),)))</f>
        <v>1331</v>
      </c>
      <c r="G65" s="176">
        <f ca="1">IF(ROWS($1:52)&gt;COUNT(Dong1),"",IF(OFFSET(TH!N$1,SMALL(Dong1,ROWS($1:52)),)="1111",OFFSET(TH!M$1,SMALL(Dong1,ROWS($1:52)),),0))</f>
        <v>0</v>
      </c>
      <c r="H65" s="174">
        <f ca="1">IF(ROWS($1:52)&gt;COUNT(Dong1),"",IF(OFFSET(TH!O$1,SMALL(Dong1,ROWS($1:52)),)="1111",OFFSET(TH!M$1,SMALL(Dong1,ROWS($1:52)),),0))</f>
        <v>840909</v>
      </c>
      <c r="I65" s="172">
        <f t="shared" ca="1" si="0"/>
        <v>1198952865</v>
      </c>
      <c r="J65" s="177"/>
    </row>
    <row r="66" spans="1:10" ht="19.5" customHeight="1">
      <c r="A66" s="171">
        <f ca="1">IF(ROWS($1:53)&gt;COUNT(Dong1),"",OFFSET(TH!C$1,SMALL(Dong1,ROWS($1:53)),))</f>
        <v>42515</v>
      </c>
      <c r="B66" s="171">
        <f ca="1">IF(ROWS($1:53)&gt;COUNT(Dong1),"",OFFSET(TH!E$1,SMALL(Dong1,ROWS($1:53)),))</f>
        <v>42515</v>
      </c>
      <c r="C66" s="172" t="str">
        <f ca="1">IF(ROWS($1:53)&gt;COUNT(Dong1),"",IF(OFFSET(TH!N$1,SMALL(Dong1,ROWS($1:53)),)="1111",OFFSET(TH!D$1,SMALL(Dong1,ROWS($1:53)),),""))</f>
        <v/>
      </c>
      <c r="D66" s="173" t="str">
        <f ca="1">IF(ROWS($1:53)&gt;COUNT(Dong1),"",IF(OFFSET(TH!O$1,SMALL(Dong1,ROWS($1:53)),)="1111",OFFSET(TH!D$1,SMALL(Dong1,ROWS($1:53)),),""))</f>
        <v>C34</v>
      </c>
      <c r="E66" s="442" t="str">
        <f ca="1">IF(ROWS($1:53)&gt;COUNT(Dong1),"",OFFSET(TH!F$1,SMALL(Dong1,ROWS($1:53)),))</f>
        <v>Trả vốn mượn</v>
      </c>
      <c r="F66" s="175" t="str">
        <f ca="1">IF(ROWS($1:53)&gt;COUNT(Dong1),"",IF(OFFSET(TH!O$1,SMALL(Dong1,ROWS($1:53)),)="1111",OFFSET(TH!N$1,SMALL(Dong1,ROWS($1:53)),),OFFSET(TH!O$1,SMALL(Dong1,ROWS($1:53)),)))</f>
        <v>1388</v>
      </c>
      <c r="G66" s="176">
        <f ca="1">IF(ROWS($1:53)&gt;COUNT(Dong1),"",IF(OFFSET(TH!N$1,SMALL(Dong1,ROWS($1:53)),)="1111",OFFSET(TH!M$1,SMALL(Dong1,ROWS($1:53)),),0))</f>
        <v>0</v>
      </c>
      <c r="H66" s="174">
        <f ca="1">IF(ROWS($1:53)&gt;COUNT(Dong1),"",IF(OFFSET(TH!O$1,SMALL(Dong1,ROWS($1:53)),)="1111",OFFSET(TH!M$1,SMALL(Dong1,ROWS($1:53)),),0))</f>
        <v>85000000</v>
      </c>
      <c r="I66" s="172">
        <f t="shared" ca="1" si="0"/>
        <v>1113952865</v>
      </c>
      <c r="J66" s="177"/>
    </row>
    <row r="67" spans="1:10" ht="19.5" customHeight="1">
      <c r="A67" s="171">
        <f ca="1">IF(ROWS($1:54)&gt;COUNT(Dong1),"",OFFSET(TH!C$1,SMALL(Dong1,ROWS($1:54)),))</f>
        <v>42515</v>
      </c>
      <c r="B67" s="171">
        <f ca="1">IF(ROWS($1:54)&gt;COUNT(Dong1),"",OFFSET(TH!E$1,SMALL(Dong1,ROWS($1:54)),))</f>
        <v>42515</v>
      </c>
      <c r="C67" s="172" t="str">
        <f ca="1">IF(ROWS($1:54)&gt;COUNT(Dong1),"",IF(OFFSET(TH!N$1,SMALL(Dong1,ROWS($1:54)),)="1111",OFFSET(TH!D$1,SMALL(Dong1,ROWS($1:54)),),""))</f>
        <v/>
      </c>
      <c r="D67" s="173" t="str">
        <f ca="1">IF(ROWS($1:54)&gt;COUNT(Dong1),"",IF(OFFSET(TH!O$1,SMALL(Dong1,ROWS($1:54)),)="1111",OFFSET(TH!D$1,SMALL(Dong1,ROWS($1:54)),),""))</f>
        <v>C35</v>
      </c>
      <c r="E67" s="442" t="str">
        <f ca="1">IF(ROWS($1:54)&gt;COUNT(Dong1),"",OFFSET(TH!F$1,SMALL(Dong1,ROWS($1:54)),))</f>
        <v>Q4 - Nộp tiền mặt</v>
      </c>
      <c r="F67" s="175" t="str">
        <f ca="1">IF(ROWS($1:54)&gt;COUNT(Dong1),"",IF(OFFSET(TH!O$1,SMALL(Dong1,ROWS($1:54)),)="1111",OFFSET(TH!N$1,SMALL(Dong1,ROWS($1:54)),),OFFSET(TH!O$1,SMALL(Dong1,ROWS($1:54)),)))</f>
        <v>1121</v>
      </c>
      <c r="G67" s="176">
        <f ca="1">IF(ROWS($1:54)&gt;COUNT(Dong1),"",IF(OFFSET(TH!N$1,SMALL(Dong1,ROWS($1:54)),)="1111",OFFSET(TH!M$1,SMALL(Dong1,ROWS($1:54)),),0))</f>
        <v>0</v>
      </c>
      <c r="H67" s="174">
        <f ca="1">IF(ROWS($1:54)&gt;COUNT(Dong1),"",IF(OFFSET(TH!O$1,SMALL(Dong1,ROWS($1:54)),)="1111",OFFSET(TH!M$1,SMALL(Dong1,ROWS($1:54)),),0))</f>
        <v>40000000</v>
      </c>
      <c r="I67" s="172">
        <f t="shared" ca="1" si="0"/>
        <v>1073952865</v>
      </c>
      <c r="J67" s="177"/>
    </row>
    <row r="68" spans="1:10" ht="19.5" customHeight="1">
      <c r="A68" s="171">
        <f ca="1">IF(ROWS($1:55)&gt;COUNT(Dong1),"",OFFSET(TH!C$1,SMALL(Dong1,ROWS($1:55)),))</f>
        <v>42515</v>
      </c>
      <c r="B68" s="171">
        <f ca="1">IF(ROWS($1:55)&gt;COUNT(Dong1),"",OFFSET(TH!E$1,SMALL(Dong1,ROWS($1:55)),))</f>
        <v>42515</v>
      </c>
      <c r="C68" s="172" t="str">
        <f ca="1">IF(ROWS($1:55)&gt;COUNT(Dong1),"",IF(OFFSET(TH!N$1,SMALL(Dong1,ROWS($1:55)),)="1111",OFFSET(TH!D$1,SMALL(Dong1,ROWS($1:55)),),""))</f>
        <v/>
      </c>
      <c r="D68" s="173" t="str">
        <f ca="1">IF(ROWS($1:55)&gt;COUNT(Dong1),"",IF(OFFSET(TH!O$1,SMALL(Dong1,ROWS($1:55)),)="1111",OFFSET(TH!D$1,SMALL(Dong1,ROWS($1:55)),),""))</f>
        <v>C36</v>
      </c>
      <c r="E68" s="442" t="str">
        <f ca="1">IF(ROWS($1:55)&gt;COUNT(Dong1),"",OFFSET(TH!F$1,SMALL(Dong1,ROWS($1:55)),))</f>
        <v>Tiền nước tháng 5/2016</v>
      </c>
      <c r="F68" s="175" t="str">
        <f ca="1">IF(ROWS($1:55)&gt;COUNT(Dong1),"",IF(OFFSET(TH!O$1,SMALL(Dong1,ROWS($1:55)),)="1111",OFFSET(TH!N$1,SMALL(Dong1,ROWS($1:55)),),OFFSET(TH!O$1,SMALL(Dong1,ROWS($1:55)),)))</f>
        <v>642</v>
      </c>
      <c r="G68" s="176">
        <f ca="1">IF(ROWS($1:55)&gt;COUNT(Dong1),"",IF(OFFSET(TH!N$1,SMALL(Dong1,ROWS($1:55)),)="1111",OFFSET(TH!M$1,SMALL(Dong1,ROWS($1:55)),),0))</f>
        <v>0</v>
      </c>
      <c r="H68" s="174">
        <f ca="1">IF(ROWS($1:55)&gt;COUNT(Dong1),"",IF(OFFSET(TH!O$1,SMALL(Dong1,ROWS($1:55)),)="1111",OFFSET(TH!M$1,SMALL(Dong1,ROWS($1:55)),),0))</f>
        <v>10648600</v>
      </c>
      <c r="I68" s="172">
        <f t="shared" ca="1" si="0"/>
        <v>1063304265</v>
      </c>
      <c r="J68" s="177"/>
    </row>
    <row r="69" spans="1:10" ht="19.5" customHeight="1">
      <c r="A69" s="171">
        <f ca="1">IF(ROWS($1:56)&gt;COUNT(Dong1),"",OFFSET(TH!C$1,SMALL(Dong1,ROWS($1:56)),))</f>
        <v>42515</v>
      </c>
      <c r="B69" s="171">
        <f ca="1">IF(ROWS($1:56)&gt;COUNT(Dong1),"",OFFSET(TH!E$1,SMALL(Dong1,ROWS($1:56)),))</f>
        <v>42515</v>
      </c>
      <c r="C69" s="172" t="str">
        <f ca="1">IF(ROWS($1:56)&gt;COUNT(Dong1),"",IF(OFFSET(TH!N$1,SMALL(Dong1,ROWS($1:56)),)="1111",OFFSET(TH!D$1,SMALL(Dong1,ROWS($1:56)),),""))</f>
        <v/>
      </c>
      <c r="D69" s="173" t="str">
        <f ca="1">IF(ROWS($1:56)&gt;COUNT(Dong1),"",IF(OFFSET(TH!O$1,SMALL(Dong1,ROWS($1:56)),)="1111",OFFSET(TH!D$1,SMALL(Dong1,ROWS($1:56)),),""))</f>
        <v>C36</v>
      </c>
      <c r="E69" s="442" t="str">
        <f ca="1">IF(ROWS($1:56)&gt;COUNT(Dong1),"",OFFSET(TH!F$1,SMALL(Dong1,ROWS($1:56)),))</f>
        <v>VAT Tiền nước tháng 5/2016</v>
      </c>
      <c r="F69" s="175" t="str">
        <f ca="1">IF(ROWS($1:56)&gt;COUNT(Dong1),"",IF(OFFSET(TH!O$1,SMALL(Dong1,ROWS($1:56)),)="1111",OFFSET(TH!N$1,SMALL(Dong1,ROWS($1:56)),),OFFSET(TH!O$1,SMALL(Dong1,ROWS($1:56)),)))</f>
        <v>1331</v>
      </c>
      <c r="G69" s="176">
        <f ca="1">IF(ROWS($1:56)&gt;COUNT(Dong1),"",IF(OFFSET(TH!N$1,SMALL(Dong1,ROWS($1:56)),)="1111",OFFSET(TH!M$1,SMALL(Dong1,ROWS($1:56)),),0))</f>
        <v>0</v>
      </c>
      <c r="H69" s="174">
        <f ca="1">IF(ROWS($1:56)&gt;COUNT(Dong1),"",IF(OFFSET(TH!O$1,SMALL(Dong1,ROWS($1:56)),)="1111",OFFSET(TH!M$1,SMALL(Dong1,ROWS($1:56)),),0))</f>
        <v>532430</v>
      </c>
      <c r="I69" s="172">
        <f t="shared" ca="1" si="0"/>
        <v>1062771835</v>
      </c>
      <c r="J69" s="177"/>
    </row>
    <row r="70" spans="1:10" ht="19.5" customHeight="1">
      <c r="A70" s="171">
        <f ca="1">IF(ROWS($1:57)&gt;COUNT(Dong1),"",OFFSET(TH!C$1,SMALL(Dong1,ROWS($1:57)),))</f>
        <v>42516</v>
      </c>
      <c r="B70" s="171">
        <f ca="1">IF(ROWS($1:57)&gt;COUNT(Dong1),"",OFFSET(TH!E$1,SMALL(Dong1,ROWS($1:57)),))</f>
        <v>42516</v>
      </c>
      <c r="C70" s="172" t="str">
        <f ca="1">IF(ROWS($1:57)&gt;COUNT(Dong1),"",IF(OFFSET(TH!N$1,SMALL(Dong1,ROWS($1:57)),)="1111",OFFSET(TH!D$1,SMALL(Dong1,ROWS($1:57)),),""))</f>
        <v/>
      </c>
      <c r="D70" s="173" t="str">
        <f ca="1">IF(ROWS($1:57)&gt;COUNT(Dong1),"",IF(OFFSET(TH!O$1,SMALL(Dong1,ROWS($1:57)),)="1111",OFFSET(TH!D$1,SMALL(Dong1,ROWS($1:57)),),""))</f>
        <v>C37</v>
      </c>
      <c r="E70" s="442" t="str">
        <f ca="1">IF(ROWS($1:57)&gt;COUNT(Dong1),"",OFFSET(TH!F$1,SMALL(Dong1,ROWS($1:57)),))</f>
        <v>Trồng cây xanh</v>
      </c>
      <c r="F70" s="175" t="str">
        <f ca="1">IF(ROWS($1:57)&gt;COUNT(Dong1),"",IF(OFFSET(TH!O$1,SMALL(Dong1,ROWS($1:57)),)="1111",OFFSET(TH!N$1,SMALL(Dong1,ROWS($1:57)),),OFFSET(TH!O$1,SMALL(Dong1,ROWS($1:57)),)))</f>
        <v>2412</v>
      </c>
      <c r="G70" s="176">
        <f ca="1">IF(ROWS($1:57)&gt;COUNT(Dong1),"",IF(OFFSET(TH!N$1,SMALL(Dong1,ROWS($1:57)),)="1111",OFFSET(TH!M$1,SMALL(Dong1,ROWS($1:57)),),0))</f>
        <v>0</v>
      </c>
      <c r="H70" s="174">
        <f ca="1">IF(ROWS($1:57)&gt;COUNT(Dong1),"",IF(OFFSET(TH!O$1,SMALL(Dong1,ROWS($1:57)),)="1111",OFFSET(TH!M$1,SMALL(Dong1,ROWS($1:57)),),0))</f>
        <v>9090909</v>
      </c>
      <c r="I70" s="172">
        <f t="shared" ca="1" si="0"/>
        <v>1053680926</v>
      </c>
      <c r="J70" s="177"/>
    </row>
    <row r="71" spans="1:10" ht="19.5" customHeight="1">
      <c r="A71" s="171">
        <f ca="1">IF(ROWS($1:58)&gt;COUNT(Dong1),"",OFFSET(TH!C$1,SMALL(Dong1,ROWS($1:58)),))</f>
        <v>42516</v>
      </c>
      <c r="B71" s="171">
        <f ca="1">IF(ROWS($1:58)&gt;COUNT(Dong1),"",OFFSET(TH!E$1,SMALL(Dong1,ROWS($1:58)),))</f>
        <v>42516</v>
      </c>
      <c r="C71" s="172" t="str">
        <f ca="1">IF(ROWS($1:58)&gt;COUNT(Dong1),"",IF(OFFSET(TH!N$1,SMALL(Dong1,ROWS($1:58)),)="1111",OFFSET(TH!D$1,SMALL(Dong1,ROWS($1:58)),),""))</f>
        <v/>
      </c>
      <c r="D71" s="173" t="str">
        <f ca="1">IF(ROWS($1:58)&gt;COUNT(Dong1),"",IF(OFFSET(TH!O$1,SMALL(Dong1,ROWS($1:58)),)="1111",OFFSET(TH!D$1,SMALL(Dong1,ROWS($1:58)),),""))</f>
        <v>C37</v>
      </c>
      <c r="E71" s="442" t="str">
        <f ca="1">IF(ROWS($1:58)&gt;COUNT(Dong1),"",OFFSET(TH!F$1,SMALL(Dong1,ROWS($1:58)),))</f>
        <v>VAT Trồng cây xanh</v>
      </c>
      <c r="F71" s="175" t="str">
        <f ca="1">IF(ROWS($1:58)&gt;COUNT(Dong1),"",IF(OFFSET(TH!O$1,SMALL(Dong1,ROWS($1:58)),)="1111",OFFSET(TH!N$1,SMALL(Dong1,ROWS($1:58)),),OFFSET(TH!O$1,SMALL(Dong1,ROWS($1:58)),)))</f>
        <v>1332</v>
      </c>
      <c r="G71" s="176">
        <f ca="1">IF(ROWS($1:58)&gt;COUNT(Dong1),"",IF(OFFSET(TH!N$1,SMALL(Dong1,ROWS($1:58)),)="1111",OFFSET(TH!M$1,SMALL(Dong1,ROWS($1:58)),),0))</f>
        <v>0</v>
      </c>
      <c r="H71" s="174">
        <f ca="1">IF(ROWS($1:58)&gt;COUNT(Dong1),"",IF(OFFSET(TH!O$1,SMALL(Dong1,ROWS($1:58)),)="1111",OFFSET(TH!M$1,SMALL(Dong1,ROWS($1:58)),),0))</f>
        <v>909091</v>
      </c>
      <c r="I71" s="172">
        <f t="shared" ca="1" si="0"/>
        <v>1052771835</v>
      </c>
      <c r="J71" s="177"/>
    </row>
    <row r="72" spans="1:10" ht="19.5" customHeight="1">
      <c r="A72" s="171">
        <f ca="1">IF(ROWS($1:59)&gt;COUNT(Dong1),"",OFFSET(TH!C$1,SMALL(Dong1,ROWS($1:59)),))</f>
        <v>42517</v>
      </c>
      <c r="B72" s="171">
        <f ca="1">IF(ROWS($1:59)&gt;COUNT(Dong1),"",OFFSET(TH!E$1,SMALL(Dong1,ROWS($1:59)),))</f>
        <v>42517</v>
      </c>
      <c r="C72" s="172" t="str">
        <f ca="1">IF(ROWS($1:59)&gt;COUNT(Dong1),"",IF(OFFSET(TH!N$1,SMALL(Dong1,ROWS($1:59)),)="1111",OFFSET(TH!D$1,SMALL(Dong1,ROWS($1:59)),),""))</f>
        <v/>
      </c>
      <c r="D72" s="173" t="str">
        <f ca="1">IF(ROWS($1:59)&gt;COUNT(Dong1),"",IF(OFFSET(TH!O$1,SMALL(Dong1,ROWS($1:59)),)="1111",OFFSET(TH!D$1,SMALL(Dong1,ROWS($1:59)),),""))</f>
        <v>C38</v>
      </c>
      <c r="E72" s="442" t="str">
        <f ca="1">IF(ROWS($1:59)&gt;COUNT(Dong1),"",OFFSET(TH!F$1,SMALL(Dong1,ROWS($1:59)),))</f>
        <v>Vật liệu xây dựng</v>
      </c>
      <c r="F72" s="175" t="str">
        <f ca="1">IF(ROWS($1:59)&gt;COUNT(Dong1),"",IF(OFFSET(TH!O$1,SMALL(Dong1,ROWS($1:59)),)="1111",OFFSET(TH!N$1,SMALL(Dong1,ROWS($1:59)),),OFFSET(TH!O$1,SMALL(Dong1,ROWS($1:59)),)))</f>
        <v>2412</v>
      </c>
      <c r="G72" s="176">
        <f ca="1">IF(ROWS($1:59)&gt;COUNT(Dong1),"",IF(OFFSET(TH!N$1,SMALL(Dong1,ROWS($1:59)),)="1111",OFFSET(TH!M$1,SMALL(Dong1,ROWS($1:59)),),0))</f>
        <v>0</v>
      </c>
      <c r="H72" s="174">
        <f ca="1">IF(ROWS($1:59)&gt;COUNT(Dong1),"",IF(OFFSET(TH!O$1,SMALL(Dong1,ROWS($1:59)),)="1111",OFFSET(TH!M$1,SMALL(Dong1,ROWS($1:59)),),0))</f>
        <v>1186000</v>
      </c>
      <c r="I72" s="172">
        <f t="shared" ca="1" si="0"/>
        <v>1051585835</v>
      </c>
      <c r="J72" s="177"/>
    </row>
    <row r="73" spans="1:10" ht="19.5" customHeight="1">
      <c r="A73" s="171">
        <f ca="1">IF(ROWS($1:60)&gt;COUNT(Dong1),"",OFFSET(TH!C$1,SMALL(Dong1,ROWS($1:60)),))</f>
        <v>42517</v>
      </c>
      <c r="B73" s="171">
        <f ca="1">IF(ROWS($1:60)&gt;COUNT(Dong1),"",OFFSET(TH!E$1,SMALL(Dong1,ROWS($1:60)),))</f>
        <v>42517</v>
      </c>
      <c r="C73" s="172" t="str">
        <f ca="1">IF(ROWS($1:60)&gt;COUNT(Dong1),"",IF(OFFSET(TH!N$1,SMALL(Dong1,ROWS($1:60)),)="1111",OFFSET(TH!D$1,SMALL(Dong1,ROWS($1:60)),),""))</f>
        <v/>
      </c>
      <c r="D73" s="173" t="str">
        <f ca="1">IF(ROWS($1:60)&gt;COUNT(Dong1),"",IF(OFFSET(TH!O$1,SMALL(Dong1,ROWS($1:60)),)="1111",OFFSET(TH!D$1,SMALL(Dong1,ROWS($1:60)),),""))</f>
        <v>C39</v>
      </c>
      <c r="E73" s="442" t="str">
        <f ca="1">IF(ROWS($1:60)&gt;COUNT(Dong1),"",OFFSET(TH!F$1,SMALL(Dong1,ROWS($1:60)),))</f>
        <v>Q4 - Nộp tiền mặt</v>
      </c>
      <c r="F73" s="175" t="str">
        <f ca="1">IF(ROWS($1:60)&gt;COUNT(Dong1),"",IF(OFFSET(TH!O$1,SMALL(Dong1,ROWS($1:60)),)="1111",OFFSET(TH!N$1,SMALL(Dong1,ROWS($1:60)),),OFFSET(TH!O$1,SMALL(Dong1,ROWS($1:60)),)))</f>
        <v>1121</v>
      </c>
      <c r="G73" s="176">
        <f ca="1">IF(ROWS($1:60)&gt;COUNT(Dong1),"",IF(OFFSET(TH!N$1,SMALL(Dong1,ROWS($1:60)),)="1111",OFFSET(TH!M$1,SMALL(Dong1,ROWS($1:60)),),0))</f>
        <v>0</v>
      </c>
      <c r="H73" s="174">
        <f ca="1">IF(ROWS($1:60)&gt;COUNT(Dong1),"",IF(OFFSET(TH!O$1,SMALL(Dong1,ROWS($1:60)),)="1111",OFFSET(TH!M$1,SMALL(Dong1,ROWS($1:60)),),0))</f>
        <v>24000000</v>
      </c>
      <c r="I73" s="172">
        <f t="shared" ca="1" si="0"/>
        <v>1027585835</v>
      </c>
      <c r="J73" s="177"/>
    </row>
    <row r="74" spans="1:10" ht="19.5" customHeight="1">
      <c r="A74" s="171">
        <f ca="1">IF(ROWS($1:61)&gt;COUNT(Dong1),"",OFFSET(TH!C$1,SMALL(Dong1,ROWS($1:61)),))</f>
        <v>42520</v>
      </c>
      <c r="B74" s="171">
        <f ca="1">IF(ROWS($1:61)&gt;COUNT(Dong1),"",OFFSET(TH!E$1,SMALL(Dong1,ROWS($1:61)),))</f>
        <v>42520</v>
      </c>
      <c r="C74" s="172" t="str">
        <f ca="1">IF(ROWS($1:61)&gt;COUNT(Dong1),"",IF(OFFSET(TH!N$1,SMALL(Dong1,ROWS($1:61)),)="1111",OFFSET(TH!D$1,SMALL(Dong1,ROWS($1:61)),),""))</f>
        <v/>
      </c>
      <c r="D74" s="173" t="str">
        <f ca="1">IF(ROWS($1:61)&gt;COUNT(Dong1),"",IF(OFFSET(TH!O$1,SMALL(Dong1,ROWS($1:61)),)="1111",OFFSET(TH!D$1,SMALL(Dong1,ROWS($1:61)),),""))</f>
        <v>C40</v>
      </c>
      <c r="E74" s="442" t="str">
        <f ca="1">IF(ROWS($1:61)&gt;COUNT(Dong1),"",OFFSET(TH!F$1,SMALL(Dong1,ROWS($1:61)),))</f>
        <v>Dịch vụ thoát nước thải</v>
      </c>
      <c r="F74" s="175" t="str">
        <f ca="1">IF(ROWS($1:61)&gt;COUNT(Dong1),"",IF(OFFSET(TH!O$1,SMALL(Dong1,ROWS($1:61)),)="1111",OFFSET(TH!N$1,SMALL(Dong1,ROWS($1:61)),),OFFSET(TH!O$1,SMALL(Dong1,ROWS($1:61)),)))</f>
        <v>642</v>
      </c>
      <c r="G74" s="176">
        <f ca="1">IF(ROWS($1:61)&gt;COUNT(Dong1),"",IF(OFFSET(TH!N$1,SMALL(Dong1,ROWS($1:61)),)="1111",OFFSET(TH!M$1,SMALL(Dong1,ROWS($1:61)),),0))</f>
        <v>0</v>
      </c>
      <c r="H74" s="174">
        <f ca="1">IF(ROWS($1:61)&gt;COUNT(Dong1),"",IF(OFFSET(TH!O$1,SMALL(Dong1,ROWS($1:61)),)="1111",OFFSET(TH!M$1,SMALL(Dong1,ROWS($1:61)),),0))</f>
        <v>6379636</v>
      </c>
      <c r="I74" s="172">
        <f t="shared" ca="1" si="0"/>
        <v>1021206199</v>
      </c>
      <c r="J74" s="177"/>
    </row>
    <row r="75" spans="1:10" ht="19.5" customHeight="1">
      <c r="A75" s="171">
        <f ca="1">IF(ROWS($1:62)&gt;COUNT(Dong1),"",OFFSET(TH!C$1,SMALL(Dong1,ROWS($1:62)),))</f>
        <v>42520</v>
      </c>
      <c r="B75" s="171">
        <f ca="1">IF(ROWS($1:62)&gt;COUNT(Dong1),"",OFFSET(TH!E$1,SMALL(Dong1,ROWS($1:62)),))</f>
        <v>42520</v>
      </c>
      <c r="C75" s="172" t="str">
        <f ca="1">IF(ROWS($1:62)&gt;COUNT(Dong1),"",IF(OFFSET(TH!N$1,SMALL(Dong1,ROWS($1:62)),)="1111",OFFSET(TH!D$1,SMALL(Dong1,ROWS($1:62)),),""))</f>
        <v/>
      </c>
      <c r="D75" s="173" t="str">
        <f ca="1">IF(ROWS($1:62)&gt;COUNT(Dong1),"",IF(OFFSET(TH!O$1,SMALL(Dong1,ROWS($1:62)),)="1111",OFFSET(TH!D$1,SMALL(Dong1,ROWS($1:62)),),""))</f>
        <v>C40</v>
      </c>
      <c r="E75" s="442" t="str">
        <f ca="1">IF(ROWS($1:62)&gt;COUNT(Dong1),"",OFFSET(TH!F$1,SMALL(Dong1,ROWS($1:62)),))</f>
        <v>VAT Dịch vụ thoát nước thải</v>
      </c>
      <c r="F75" s="175" t="str">
        <f ca="1">IF(ROWS($1:62)&gt;COUNT(Dong1),"",IF(OFFSET(TH!O$1,SMALL(Dong1,ROWS($1:62)),)="1111",OFFSET(TH!N$1,SMALL(Dong1,ROWS($1:62)),),OFFSET(TH!O$1,SMALL(Dong1,ROWS($1:62)),)))</f>
        <v>1331</v>
      </c>
      <c r="G75" s="176">
        <f ca="1">IF(ROWS($1:62)&gt;COUNT(Dong1),"",IF(OFFSET(TH!N$1,SMALL(Dong1,ROWS($1:62)),)="1111",OFFSET(TH!M$1,SMALL(Dong1,ROWS($1:62)),),0))</f>
        <v>0</v>
      </c>
      <c r="H75" s="174">
        <f ca="1">IF(ROWS($1:62)&gt;COUNT(Dong1),"",IF(OFFSET(TH!O$1,SMALL(Dong1,ROWS($1:62)),)="1111",OFFSET(TH!M$1,SMALL(Dong1,ROWS($1:62)),),0))</f>
        <v>637964</v>
      </c>
      <c r="I75" s="172">
        <f t="shared" ca="1" si="0"/>
        <v>1020568235</v>
      </c>
      <c r="J75" s="177"/>
    </row>
    <row r="76" spans="1:10" ht="19.5" customHeight="1">
      <c r="A76" s="171">
        <f ca="1">IF(ROWS($1:63)&gt;COUNT(Dong1),"",OFFSET(TH!C$1,SMALL(Dong1,ROWS($1:63)),))</f>
        <v>42521</v>
      </c>
      <c r="B76" s="171">
        <f ca="1">IF(ROWS($1:63)&gt;COUNT(Dong1),"",OFFSET(TH!E$1,SMALL(Dong1,ROWS($1:63)),))</f>
        <v>42521</v>
      </c>
      <c r="C76" s="172" t="str">
        <f ca="1">IF(ROWS($1:63)&gt;COUNT(Dong1),"",IF(OFFSET(TH!N$1,SMALL(Dong1,ROWS($1:63)),)="1111",OFFSET(TH!D$1,SMALL(Dong1,ROWS($1:63)),),""))</f>
        <v/>
      </c>
      <c r="D76" s="173" t="str">
        <f ca="1">IF(ROWS($1:63)&gt;COUNT(Dong1),"",IF(OFFSET(TH!O$1,SMALL(Dong1,ROWS($1:63)),)="1111",OFFSET(TH!D$1,SMALL(Dong1,ROWS($1:63)),),""))</f>
        <v>C41</v>
      </c>
      <c r="E76" s="442" t="str">
        <f ca="1">IF(ROWS($1:63)&gt;COUNT(Dong1),"",OFFSET(TH!F$1,SMALL(Dong1,ROWS($1:63)),))</f>
        <v>Hóa đơn GTGT, Phiếu NK kiêm VCNB</v>
      </c>
      <c r="F76" s="175" t="str">
        <f ca="1">IF(ROWS($1:63)&gt;COUNT(Dong1),"",IF(OFFSET(TH!O$1,SMALL(Dong1,ROWS($1:63)),)="1111",OFFSET(TH!N$1,SMALL(Dong1,ROWS($1:63)),),OFFSET(TH!O$1,SMALL(Dong1,ROWS($1:63)),)))</f>
        <v>642</v>
      </c>
      <c r="G76" s="176">
        <f ca="1">IF(ROWS($1:63)&gt;COUNT(Dong1),"",IF(OFFSET(TH!N$1,SMALL(Dong1,ROWS($1:63)),)="1111",OFFSET(TH!M$1,SMALL(Dong1,ROWS($1:63)),),0))</f>
        <v>0</v>
      </c>
      <c r="H76" s="174">
        <f ca="1">IF(ROWS($1:63)&gt;COUNT(Dong1),"",IF(OFFSET(TH!O$1,SMALL(Dong1,ROWS($1:63)),)="1111",OFFSET(TH!M$1,SMALL(Dong1,ROWS($1:63)),),0))</f>
        <v>3000000</v>
      </c>
      <c r="I76" s="172">
        <f t="shared" ca="1" si="0"/>
        <v>1017568235</v>
      </c>
      <c r="J76" s="177"/>
    </row>
    <row r="77" spans="1:10" ht="19.5" customHeight="1">
      <c r="A77" s="171">
        <f ca="1">IF(ROWS($1:64)&gt;COUNT(Dong1),"",OFFSET(TH!C$1,SMALL(Dong1,ROWS($1:64)),))</f>
        <v>42521</v>
      </c>
      <c r="B77" s="171">
        <f ca="1">IF(ROWS($1:64)&gt;COUNT(Dong1),"",OFFSET(TH!E$1,SMALL(Dong1,ROWS($1:64)),))</f>
        <v>42521</v>
      </c>
      <c r="C77" s="172" t="str">
        <f ca="1">IF(ROWS($1:64)&gt;COUNT(Dong1),"",IF(OFFSET(TH!N$1,SMALL(Dong1,ROWS($1:64)),)="1111",OFFSET(TH!D$1,SMALL(Dong1,ROWS($1:64)),),""))</f>
        <v/>
      </c>
      <c r="D77" s="173" t="str">
        <f ca="1">IF(ROWS($1:64)&gt;COUNT(Dong1),"",IF(OFFSET(TH!O$1,SMALL(Dong1,ROWS($1:64)),)="1111",OFFSET(TH!D$1,SMALL(Dong1,ROWS($1:64)),),""))</f>
        <v>C41</v>
      </c>
      <c r="E77" s="442" t="str">
        <f ca="1">IF(ROWS($1:64)&gt;COUNT(Dong1),"",OFFSET(TH!F$1,SMALL(Dong1,ROWS($1:64)),))</f>
        <v>VAT Hóa đơn GTGT, Phiếu NK kiêm VCNB</v>
      </c>
      <c r="F77" s="175" t="str">
        <f ca="1">IF(ROWS($1:64)&gt;COUNT(Dong1),"",IF(OFFSET(TH!O$1,SMALL(Dong1,ROWS($1:64)),)="1111",OFFSET(TH!N$1,SMALL(Dong1,ROWS($1:64)),),OFFSET(TH!O$1,SMALL(Dong1,ROWS($1:64)),)))</f>
        <v>1331</v>
      </c>
      <c r="G77" s="176">
        <f ca="1">IF(ROWS($1:64)&gt;COUNT(Dong1),"",IF(OFFSET(TH!N$1,SMALL(Dong1,ROWS($1:64)),)="1111",OFFSET(TH!M$1,SMALL(Dong1,ROWS($1:64)),),0))</f>
        <v>0</v>
      </c>
      <c r="H77" s="174">
        <f ca="1">IF(ROWS($1:64)&gt;COUNT(Dong1),"",IF(OFFSET(TH!O$1,SMALL(Dong1,ROWS($1:64)),)="1111",OFFSET(TH!M$1,SMALL(Dong1,ROWS($1:64)),),0))</f>
        <v>300000</v>
      </c>
      <c r="I77" s="172">
        <f t="shared" ca="1" si="0"/>
        <v>1017268235</v>
      </c>
      <c r="J77" s="177"/>
    </row>
    <row r="78" spans="1:10" ht="19.5" customHeight="1">
      <c r="A78" s="171">
        <f ca="1">IF(ROWS($1:65)&gt;COUNT(Dong1),"",OFFSET(TH!C$1,SMALL(Dong1,ROWS($1:65)),))</f>
        <v>42521</v>
      </c>
      <c r="B78" s="171">
        <f ca="1">IF(ROWS($1:65)&gt;COUNT(Dong1),"",OFFSET(TH!E$1,SMALL(Dong1,ROWS($1:65)),))</f>
        <v>42521</v>
      </c>
      <c r="C78" s="172" t="str">
        <f ca="1">IF(ROWS($1:65)&gt;COUNT(Dong1),"",IF(OFFSET(TH!N$1,SMALL(Dong1,ROWS($1:65)),)="1111",OFFSET(TH!D$1,SMALL(Dong1,ROWS($1:65)),),""))</f>
        <v/>
      </c>
      <c r="D78" s="173" t="str">
        <f ca="1">IF(ROWS($1:65)&gt;COUNT(Dong1),"",IF(OFFSET(TH!O$1,SMALL(Dong1,ROWS($1:65)),)="1111",OFFSET(TH!D$1,SMALL(Dong1,ROWS($1:65)),),""))</f>
        <v>C42</v>
      </c>
      <c r="E78" s="442" t="str">
        <f ca="1">IF(ROWS($1:65)&gt;COUNT(Dong1),"",OFFSET(TH!F$1,SMALL(Dong1,ROWS($1:65)),))</f>
        <v>Q4 - Nộp tiền mặt</v>
      </c>
      <c r="F78" s="175" t="str">
        <f ca="1">IF(ROWS($1:65)&gt;COUNT(Dong1),"",IF(OFFSET(TH!O$1,SMALL(Dong1,ROWS($1:65)),)="1111",OFFSET(TH!N$1,SMALL(Dong1,ROWS($1:65)),),OFFSET(TH!O$1,SMALL(Dong1,ROWS($1:65)),)))</f>
        <v>1121</v>
      </c>
      <c r="G78" s="176">
        <f ca="1">IF(ROWS($1:65)&gt;COUNT(Dong1),"",IF(OFFSET(TH!N$1,SMALL(Dong1,ROWS($1:65)),)="1111",OFFSET(TH!M$1,SMALL(Dong1,ROWS($1:65)),),0))</f>
        <v>0</v>
      </c>
      <c r="H78" s="174">
        <f ca="1">IF(ROWS($1:65)&gt;COUNT(Dong1),"",IF(OFFSET(TH!O$1,SMALL(Dong1,ROWS($1:65)),)="1111",OFFSET(TH!M$1,SMALL(Dong1,ROWS($1:65)),),0))</f>
        <v>62000000</v>
      </c>
      <c r="I78" s="172">
        <f t="shared" ca="1" si="0"/>
        <v>955268235</v>
      </c>
      <c r="J78" s="177"/>
    </row>
    <row r="79" spans="1:10" ht="19.5" customHeight="1">
      <c r="A79" s="171">
        <f ca="1">IF(ROWS($1:66)&gt;COUNT(Dong1),"",OFFSET(TH!C$1,SMALL(Dong1,ROWS($1:66)),))</f>
        <v>42531</v>
      </c>
      <c r="B79" s="171">
        <f ca="1">IF(ROWS($1:66)&gt;COUNT(Dong1),"",OFFSET(TH!E$1,SMALL(Dong1,ROWS($1:66)),))</f>
        <v>42531</v>
      </c>
      <c r="C79" s="172" t="str">
        <f ca="1">IF(ROWS($1:66)&gt;COUNT(Dong1),"",IF(OFFSET(TH!N$1,SMALL(Dong1,ROWS($1:66)),)="1111",OFFSET(TH!D$1,SMALL(Dong1,ROWS($1:66)),),""))</f>
        <v/>
      </c>
      <c r="D79" s="173" t="str">
        <f ca="1">IF(ROWS($1:66)&gt;COUNT(Dong1),"",IF(OFFSET(TH!O$1,SMALL(Dong1,ROWS($1:66)),)="1111",OFFSET(TH!D$1,SMALL(Dong1,ROWS($1:66)),),""))</f>
        <v>C43</v>
      </c>
      <c r="E79" s="442" t="str">
        <f ca="1">IF(ROWS($1:66)&gt;COUNT(Dong1),"",OFFSET(TH!F$1,SMALL(Dong1,ROWS($1:66)),))</f>
        <v>Vật liệu điện</v>
      </c>
      <c r="F79" s="175" t="str">
        <f ca="1">IF(ROWS($1:66)&gt;COUNT(Dong1),"",IF(OFFSET(TH!O$1,SMALL(Dong1,ROWS($1:66)),)="1111",OFFSET(TH!N$1,SMALL(Dong1,ROWS($1:66)),),OFFSET(TH!O$1,SMALL(Dong1,ROWS($1:66)),)))</f>
        <v>2412</v>
      </c>
      <c r="G79" s="176">
        <f ca="1">IF(ROWS($1:66)&gt;COUNT(Dong1),"",IF(OFFSET(TH!N$1,SMALL(Dong1,ROWS($1:66)),)="1111",OFFSET(TH!M$1,SMALL(Dong1,ROWS($1:66)),),0))</f>
        <v>0</v>
      </c>
      <c r="H79" s="174">
        <f ca="1">IF(ROWS($1:66)&gt;COUNT(Dong1),"",IF(OFFSET(TH!O$1,SMALL(Dong1,ROWS($1:66)),)="1111",OFFSET(TH!M$1,SMALL(Dong1,ROWS($1:66)),),0))</f>
        <v>2588000</v>
      </c>
      <c r="I79" s="172">
        <f t="shared" ref="I79:I82" ca="1" si="1">IF(E79&lt;&gt;"",I78+G79-H79,0)</f>
        <v>952680235</v>
      </c>
      <c r="J79" s="177"/>
    </row>
    <row r="80" spans="1:10" ht="19.5" customHeight="1">
      <c r="A80" s="171">
        <f ca="1">IF(ROWS($1:67)&gt;COUNT(Dong1),"",OFFSET(TH!C$1,SMALL(Dong1,ROWS($1:67)),))</f>
        <v>42531</v>
      </c>
      <c r="B80" s="171">
        <f ca="1">IF(ROWS($1:67)&gt;COUNT(Dong1),"",OFFSET(TH!E$1,SMALL(Dong1,ROWS($1:67)),))</f>
        <v>42531</v>
      </c>
      <c r="C80" s="172" t="str">
        <f ca="1">IF(ROWS($1:67)&gt;COUNT(Dong1),"",IF(OFFSET(TH!N$1,SMALL(Dong1,ROWS($1:67)),)="1111",OFFSET(TH!D$1,SMALL(Dong1,ROWS($1:67)),),""))</f>
        <v/>
      </c>
      <c r="D80" s="173" t="str">
        <f ca="1">IF(ROWS($1:67)&gt;COUNT(Dong1),"",IF(OFFSET(TH!O$1,SMALL(Dong1,ROWS($1:67)),)="1111",OFFSET(TH!D$1,SMALL(Dong1,ROWS($1:67)),),""))</f>
        <v>C44</v>
      </c>
      <c r="E80" s="442" t="str">
        <f ca="1">IF(ROWS($1:67)&gt;COUNT(Dong1),"",OFFSET(TH!F$1,SMALL(Dong1,ROWS($1:67)),))</f>
        <v>Phí dịch vụ bảo vệ T5/2016</v>
      </c>
      <c r="F80" s="175" t="str">
        <f ca="1">IF(ROWS($1:67)&gt;COUNT(Dong1),"",IF(OFFSET(TH!O$1,SMALL(Dong1,ROWS($1:67)),)="1111",OFFSET(TH!N$1,SMALL(Dong1,ROWS($1:67)),),OFFSET(TH!O$1,SMALL(Dong1,ROWS($1:67)),)))</f>
        <v>642</v>
      </c>
      <c r="G80" s="176">
        <f ca="1">IF(ROWS($1:67)&gt;COUNT(Dong1),"",IF(OFFSET(TH!N$1,SMALL(Dong1,ROWS($1:67)),)="1111",OFFSET(TH!M$1,SMALL(Dong1,ROWS($1:67)),),0))</f>
        <v>0</v>
      </c>
      <c r="H80" s="174">
        <f ca="1">IF(ROWS($1:67)&gt;COUNT(Dong1),"",IF(OFFSET(TH!O$1,SMALL(Dong1,ROWS($1:67)),)="1111",OFFSET(TH!M$1,SMALL(Dong1,ROWS($1:67)),),0))</f>
        <v>7272727</v>
      </c>
      <c r="I80" s="172">
        <f t="shared" ca="1" si="1"/>
        <v>945407508</v>
      </c>
      <c r="J80" s="177"/>
    </row>
    <row r="81" spans="1:10" ht="19.5" customHeight="1">
      <c r="A81" s="171">
        <f ca="1">IF(ROWS($1:68)&gt;COUNT(Dong1),"",OFFSET(TH!C$1,SMALL(Dong1,ROWS($1:68)),))</f>
        <v>42531</v>
      </c>
      <c r="B81" s="171">
        <f ca="1">IF(ROWS($1:68)&gt;COUNT(Dong1),"",OFFSET(TH!E$1,SMALL(Dong1,ROWS($1:68)),))</f>
        <v>42531</v>
      </c>
      <c r="C81" s="172" t="str">
        <f ca="1">IF(ROWS($1:68)&gt;COUNT(Dong1),"",IF(OFFSET(TH!N$1,SMALL(Dong1,ROWS($1:68)),)="1111",OFFSET(TH!D$1,SMALL(Dong1,ROWS($1:68)),),""))</f>
        <v/>
      </c>
      <c r="D81" s="173" t="str">
        <f ca="1">IF(ROWS($1:68)&gt;COUNT(Dong1),"",IF(OFFSET(TH!O$1,SMALL(Dong1,ROWS($1:68)),)="1111",OFFSET(TH!D$1,SMALL(Dong1,ROWS($1:68)),),""))</f>
        <v>C44</v>
      </c>
      <c r="E81" s="442" t="str">
        <f ca="1">IF(ROWS($1:68)&gt;COUNT(Dong1),"",OFFSET(TH!F$1,SMALL(Dong1,ROWS($1:68)),))</f>
        <v>VAT Phí dịch vụ bảo vệ T5/2016</v>
      </c>
      <c r="F81" s="175" t="str">
        <f ca="1">IF(ROWS($1:68)&gt;COUNT(Dong1),"",IF(OFFSET(TH!O$1,SMALL(Dong1,ROWS($1:68)),)="1111",OFFSET(TH!N$1,SMALL(Dong1,ROWS($1:68)),),OFFSET(TH!O$1,SMALL(Dong1,ROWS($1:68)),)))</f>
        <v>1331</v>
      </c>
      <c r="G81" s="176">
        <f ca="1">IF(ROWS($1:68)&gt;COUNT(Dong1),"",IF(OFFSET(TH!N$1,SMALL(Dong1,ROWS($1:68)),)="1111",OFFSET(TH!M$1,SMALL(Dong1,ROWS($1:68)),),0))</f>
        <v>0</v>
      </c>
      <c r="H81" s="174">
        <f ca="1">IF(ROWS($1:68)&gt;COUNT(Dong1),"",IF(OFFSET(TH!O$1,SMALL(Dong1,ROWS($1:68)),)="1111",OFFSET(TH!M$1,SMALL(Dong1,ROWS($1:68)),),0))</f>
        <v>727273</v>
      </c>
      <c r="I81" s="172">
        <f t="shared" ca="1" si="1"/>
        <v>944680235</v>
      </c>
      <c r="J81" s="177"/>
    </row>
    <row r="82" spans="1:10" ht="19.5" customHeight="1">
      <c r="A82" s="171">
        <f ca="1">IF(ROWS($1:69)&gt;COUNT(Dong1),"",OFFSET(TH!C$1,SMALL(Dong1,ROWS($1:69)),))</f>
        <v>42537</v>
      </c>
      <c r="B82" s="171">
        <f ca="1">IF(ROWS($1:69)&gt;COUNT(Dong1),"",OFFSET(TH!E$1,SMALL(Dong1,ROWS($1:69)),))</f>
        <v>42537</v>
      </c>
      <c r="C82" s="172" t="str">
        <f ca="1">IF(ROWS($1:69)&gt;COUNT(Dong1),"",IF(OFFSET(TH!N$1,SMALL(Dong1,ROWS($1:69)),)="1111",OFFSET(TH!D$1,SMALL(Dong1,ROWS($1:69)),),""))</f>
        <v/>
      </c>
      <c r="D82" s="173" t="str">
        <f ca="1">IF(ROWS($1:69)&gt;COUNT(Dong1),"",IF(OFFSET(TH!O$1,SMALL(Dong1,ROWS($1:69)),)="1111",OFFSET(TH!D$1,SMALL(Dong1,ROWS($1:69)),),""))</f>
        <v>C45</v>
      </c>
      <c r="E82" s="442" t="str">
        <f ca="1">IF(ROWS($1:69)&gt;COUNT(Dong1),"",OFFSET(TH!F$1,SMALL(Dong1,ROWS($1:69)),))</f>
        <v>Cước điện thoại + Internet T5/2016</v>
      </c>
      <c r="F82" s="175" t="str">
        <f ca="1">IF(ROWS($1:69)&gt;COUNT(Dong1),"",IF(OFFSET(TH!O$1,SMALL(Dong1,ROWS($1:69)),)="1111",OFFSET(TH!N$1,SMALL(Dong1,ROWS($1:69)),),OFFSET(TH!O$1,SMALL(Dong1,ROWS($1:69)),)))</f>
        <v>642</v>
      </c>
      <c r="G82" s="176">
        <f ca="1">IF(ROWS($1:69)&gt;COUNT(Dong1),"",IF(OFFSET(TH!N$1,SMALL(Dong1,ROWS($1:69)),)="1111",OFFSET(TH!M$1,SMALL(Dong1,ROWS($1:69)),),0))</f>
        <v>0</v>
      </c>
      <c r="H82" s="174">
        <f ca="1">IF(ROWS($1:69)&gt;COUNT(Dong1),"",IF(OFFSET(TH!O$1,SMALL(Dong1,ROWS($1:69)),)="1111",OFFSET(TH!M$1,SMALL(Dong1,ROWS($1:69)),),0))</f>
        <v>421656</v>
      </c>
      <c r="I82" s="172">
        <f t="shared" ca="1" si="1"/>
        <v>944258579</v>
      </c>
      <c r="J82" s="177"/>
    </row>
    <row r="83" spans="1:10" ht="19.5" customHeight="1">
      <c r="A83" s="171">
        <f ca="1">IF(ROWS($1:70)&gt;COUNT(Dong1),"",OFFSET(TH!C$1,SMALL(Dong1,ROWS($1:70)),))</f>
        <v>42537</v>
      </c>
      <c r="B83" s="171">
        <f ca="1">IF(ROWS($1:70)&gt;COUNT(Dong1),"",OFFSET(TH!E$1,SMALL(Dong1,ROWS($1:70)),))</f>
        <v>42537</v>
      </c>
      <c r="C83" s="172" t="str">
        <f ca="1">IF(ROWS($1:70)&gt;COUNT(Dong1),"",IF(OFFSET(TH!N$1,SMALL(Dong1,ROWS($1:70)),)="1111",OFFSET(TH!D$1,SMALL(Dong1,ROWS($1:70)),),""))</f>
        <v/>
      </c>
      <c r="D83" s="173" t="str">
        <f ca="1">IF(ROWS($1:70)&gt;COUNT(Dong1),"",IF(OFFSET(TH!O$1,SMALL(Dong1,ROWS($1:70)),)="1111",OFFSET(TH!D$1,SMALL(Dong1,ROWS($1:70)),),""))</f>
        <v>C45</v>
      </c>
      <c r="E83" s="442" t="str">
        <f ca="1">IF(ROWS($1:70)&gt;COUNT(Dong1),"",OFFSET(TH!F$1,SMALL(Dong1,ROWS($1:70)),))</f>
        <v>VAT Cước điện thoại + Internet T5/2016</v>
      </c>
      <c r="F83" s="175" t="str">
        <f ca="1">IF(ROWS($1:70)&gt;COUNT(Dong1),"",IF(OFFSET(TH!O$1,SMALL(Dong1,ROWS($1:70)),)="1111",OFFSET(TH!N$1,SMALL(Dong1,ROWS($1:70)),),OFFSET(TH!O$1,SMALL(Dong1,ROWS($1:70)),)))</f>
        <v>1331</v>
      </c>
      <c r="G83" s="176">
        <f ca="1">IF(ROWS($1:70)&gt;COUNT(Dong1),"",IF(OFFSET(TH!N$1,SMALL(Dong1,ROWS($1:70)),)="1111",OFFSET(TH!M$1,SMALL(Dong1,ROWS($1:70)),),0))</f>
        <v>0</v>
      </c>
      <c r="H83" s="174">
        <f ca="1">IF(ROWS($1:70)&gt;COUNT(Dong1),"",IF(OFFSET(TH!O$1,SMALL(Dong1,ROWS($1:70)),)="1111",OFFSET(TH!M$1,SMALL(Dong1,ROWS($1:70)),),0))</f>
        <v>42165</v>
      </c>
      <c r="I83" s="172">
        <f t="shared" ref="I83:I100" ca="1" si="2">IF(E83&lt;&gt;"",I82+G83-H83,0)</f>
        <v>944216414</v>
      </c>
      <c r="J83" s="177"/>
    </row>
    <row r="84" spans="1:10" ht="19.5" customHeight="1">
      <c r="A84" s="171">
        <f ca="1">IF(ROWS($1:71)&gt;COUNT(Dong1),"",OFFSET(TH!C$1,SMALL(Dong1,ROWS($1:71)),))</f>
        <v>42542</v>
      </c>
      <c r="B84" s="171">
        <f ca="1">IF(ROWS($1:71)&gt;COUNT(Dong1),"",OFFSET(TH!E$1,SMALL(Dong1,ROWS($1:71)),))</f>
        <v>42542</v>
      </c>
      <c r="C84" s="172" t="str">
        <f ca="1">IF(ROWS($1:71)&gt;COUNT(Dong1),"",IF(OFFSET(TH!N$1,SMALL(Dong1,ROWS($1:71)),)="1111",OFFSET(TH!D$1,SMALL(Dong1,ROWS($1:71)),),""))</f>
        <v/>
      </c>
      <c r="D84" s="173" t="str">
        <f ca="1">IF(ROWS($1:71)&gt;COUNT(Dong1),"",IF(OFFSET(TH!O$1,SMALL(Dong1,ROWS($1:71)),)="1111",OFFSET(TH!D$1,SMALL(Dong1,ROWS($1:71)),),""))</f>
        <v>C46</v>
      </c>
      <c r="E84" s="442" t="str">
        <f ca="1">IF(ROWS($1:71)&gt;COUNT(Dong1),"",OFFSET(TH!F$1,SMALL(Dong1,ROWS($1:71)),))</f>
        <v>Q4 - Nộp tiền mặt</v>
      </c>
      <c r="F84" s="175" t="str">
        <f ca="1">IF(ROWS($1:71)&gt;COUNT(Dong1),"",IF(OFFSET(TH!O$1,SMALL(Dong1,ROWS($1:71)),)="1111",OFFSET(TH!N$1,SMALL(Dong1,ROWS($1:71)),),OFFSET(TH!O$1,SMALL(Dong1,ROWS($1:71)),)))</f>
        <v>1121</v>
      </c>
      <c r="G84" s="176">
        <f ca="1">IF(ROWS($1:71)&gt;COUNT(Dong1),"",IF(OFFSET(TH!N$1,SMALL(Dong1,ROWS($1:71)),)="1111",OFFSET(TH!M$1,SMALL(Dong1,ROWS($1:71)),),0))</f>
        <v>0</v>
      </c>
      <c r="H84" s="174">
        <f ca="1">IF(ROWS($1:71)&gt;COUNT(Dong1),"",IF(OFFSET(TH!O$1,SMALL(Dong1,ROWS($1:71)),)="1111",OFFSET(TH!M$1,SMALL(Dong1,ROWS($1:71)),),0))</f>
        <v>100000000</v>
      </c>
      <c r="I84" s="172">
        <f t="shared" ca="1" si="2"/>
        <v>844216414</v>
      </c>
      <c r="J84" s="177"/>
    </row>
    <row r="85" spans="1:10" ht="19.5" customHeight="1">
      <c r="A85" s="171">
        <f ca="1">IF(ROWS($1:72)&gt;COUNT(Dong1),"",OFFSET(TH!C$1,SMALL(Dong1,ROWS($1:72)),))</f>
        <v>42542</v>
      </c>
      <c r="B85" s="171">
        <f ca="1">IF(ROWS($1:72)&gt;COUNT(Dong1),"",OFFSET(TH!E$1,SMALL(Dong1,ROWS($1:72)),))</f>
        <v>42542</v>
      </c>
      <c r="C85" s="172" t="str">
        <f ca="1">IF(ROWS($1:72)&gt;COUNT(Dong1),"",IF(OFFSET(TH!N$1,SMALL(Dong1,ROWS($1:72)),)="1111",OFFSET(TH!D$1,SMALL(Dong1,ROWS($1:72)),),""))</f>
        <v/>
      </c>
      <c r="D85" s="173" t="str">
        <f ca="1">IF(ROWS($1:72)&gt;COUNT(Dong1),"",IF(OFFSET(TH!O$1,SMALL(Dong1,ROWS($1:72)),)="1111",OFFSET(TH!D$1,SMALL(Dong1,ROWS($1:72)),),""))</f>
        <v>C46</v>
      </c>
      <c r="E85" s="442" t="str">
        <f ca="1">IF(ROWS($1:72)&gt;COUNT(Dong1),"",OFFSET(TH!F$1,SMALL(Dong1,ROWS($1:72)),))</f>
        <v>Q4 - Nộp tiền mặt</v>
      </c>
      <c r="F85" s="175" t="str">
        <f ca="1">IF(ROWS($1:72)&gt;COUNT(Dong1),"",IF(OFFSET(TH!O$1,SMALL(Dong1,ROWS($1:72)),)="1111",OFFSET(TH!N$1,SMALL(Dong1,ROWS($1:72)),),OFFSET(TH!O$1,SMALL(Dong1,ROWS($1:72)),)))</f>
        <v>1121</v>
      </c>
      <c r="G85" s="176">
        <f ca="1">IF(ROWS($1:72)&gt;COUNT(Dong1),"",IF(OFFSET(TH!N$1,SMALL(Dong1,ROWS($1:72)),)="1111",OFFSET(TH!M$1,SMALL(Dong1,ROWS($1:72)),),0))</f>
        <v>0</v>
      </c>
      <c r="H85" s="174">
        <f ca="1">IF(ROWS($1:72)&gt;COUNT(Dong1),"",IF(OFFSET(TH!O$1,SMALL(Dong1,ROWS($1:72)),)="1111",OFFSET(TH!M$1,SMALL(Dong1,ROWS($1:72)),),0))</f>
        <v>70000000</v>
      </c>
      <c r="I85" s="172">
        <f t="shared" ca="1" si="2"/>
        <v>774216414</v>
      </c>
      <c r="J85" s="177"/>
    </row>
    <row r="86" spans="1:10" ht="19.5" customHeight="1">
      <c r="A86" s="171">
        <f ca="1">IF(ROWS($1:73)&gt;COUNT(Dong1),"",OFFSET(TH!C$1,SMALL(Dong1,ROWS($1:73)),))</f>
        <v>42544</v>
      </c>
      <c r="B86" s="171">
        <f ca="1">IF(ROWS($1:73)&gt;COUNT(Dong1),"",OFFSET(TH!E$1,SMALL(Dong1,ROWS($1:73)),))</f>
        <v>42544</v>
      </c>
      <c r="C86" s="172" t="str">
        <f ca="1">IF(ROWS($1:73)&gt;COUNT(Dong1),"",IF(OFFSET(TH!N$1,SMALL(Dong1,ROWS($1:73)),)="1111",OFFSET(TH!D$1,SMALL(Dong1,ROWS($1:73)),),""))</f>
        <v>T02</v>
      </c>
      <c r="D86" s="173" t="str">
        <f ca="1">IF(ROWS($1:73)&gt;COUNT(Dong1),"",IF(OFFSET(TH!O$1,SMALL(Dong1,ROWS($1:73)),)="1111",OFFSET(TH!D$1,SMALL(Dong1,ROWS($1:73)),),""))</f>
        <v/>
      </c>
      <c r="E86" s="442" t="str">
        <f ca="1">IF(ROWS($1:73)&gt;COUNT(Dong1),"",OFFSET(TH!F$1,SMALL(Dong1,ROWS($1:73)),))</f>
        <v>Q4 - Rút tiền mặt</v>
      </c>
      <c r="F86" s="175" t="str">
        <f ca="1">IF(ROWS($1:73)&gt;COUNT(Dong1),"",IF(OFFSET(TH!O$1,SMALL(Dong1,ROWS($1:73)),)="1111",OFFSET(TH!N$1,SMALL(Dong1,ROWS($1:73)),),OFFSET(TH!O$1,SMALL(Dong1,ROWS($1:73)),)))</f>
        <v>1121</v>
      </c>
      <c r="G86" s="176">
        <f ca="1">IF(ROWS($1:73)&gt;COUNT(Dong1),"",IF(OFFSET(TH!N$1,SMALL(Dong1,ROWS($1:73)),)="1111",OFFSET(TH!M$1,SMALL(Dong1,ROWS($1:73)),),0))</f>
        <v>1960000000</v>
      </c>
      <c r="H86" s="174">
        <f ca="1">IF(ROWS($1:73)&gt;COUNT(Dong1),"",IF(OFFSET(TH!O$1,SMALL(Dong1,ROWS($1:73)),)="1111",OFFSET(TH!M$1,SMALL(Dong1,ROWS($1:73)),),0))</f>
        <v>0</v>
      </c>
      <c r="I86" s="172">
        <f t="shared" ca="1" si="2"/>
        <v>2734216414</v>
      </c>
      <c r="J86" s="177"/>
    </row>
    <row r="87" spans="1:10" ht="19.5" customHeight="1">
      <c r="A87" s="171">
        <f ca="1">IF(ROWS($1:74)&gt;COUNT(Dong1),"",OFFSET(TH!C$1,SMALL(Dong1,ROWS($1:74)),))</f>
        <v>42544</v>
      </c>
      <c r="B87" s="171">
        <f ca="1">IF(ROWS($1:74)&gt;COUNT(Dong1),"",OFFSET(TH!E$1,SMALL(Dong1,ROWS($1:74)),))</f>
        <v>42544</v>
      </c>
      <c r="C87" s="172" t="str">
        <f ca="1">IF(ROWS($1:74)&gt;COUNT(Dong1),"",IF(OFFSET(TH!N$1,SMALL(Dong1,ROWS($1:74)),)="1111",OFFSET(TH!D$1,SMALL(Dong1,ROWS($1:74)),),""))</f>
        <v/>
      </c>
      <c r="D87" s="173" t="str">
        <f ca="1">IF(ROWS($1:74)&gt;COUNT(Dong1),"",IF(OFFSET(TH!O$1,SMALL(Dong1,ROWS($1:74)),)="1111",OFFSET(TH!D$1,SMALL(Dong1,ROWS($1:74)),),""))</f>
        <v>C47</v>
      </c>
      <c r="E87" s="442" t="str">
        <f ca="1">IF(ROWS($1:74)&gt;COUNT(Dong1),"",OFFSET(TH!F$1,SMALL(Dong1,ROWS($1:74)),))</f>
        <v>Hoàn vốn mượn</v>
      </c>
      <c r="F87" s="175" t="str">
        <f ca="1">IF(ROWS($1:74)&gt;COUNT(Dong1),"",IF(OFFSET(TH!O$1,SMALL(Dong1,ROWS($1:74)),)="1111",OFFSET(TH!N$1,SMALL(Dong1,ROWS($1:74)),),OFFSET(TH!O$1,SMALL(Dong1,ROWS($1:74)),)))</f>
        <v>1388</v>
      </c>
      <c r="G87" s="176">
        <f ca="1">IF(ROWS($1:74)&gt;COUNT(Dong1),"",IF(OFFSET(TH!N$1,SMALL(Dong1,ROWS($1:74)),)="1111",OFFSET(TH!M$1,SMALL(Dong1,ROWS($1:74)),),0))</f>
        <v>0</v>
      </c>
      <c r="H87" s="174">
        <f ca="1">IF(ROWS($1:74)&gt;COUNT(Dong1),"",IF(OFFSET(TH!O$1,SMALL(Dong1,ROWS($1:74)),)="1111",OFFSET(TH!M$1,SMALL(Dong1,ROWS($1:74)),),0))</f>
        <v>1960000000</v>
      </c>
      <c r="I87" s="172">
        <f t="shared" ca="1" si="2"/>
        <v>774216414</v>
      </c>
      <c r="J87" s="177"/>
    </row>
    <row r="88" spans="1:10" ht="19.5" customHeight="1">
      <c r="A88" s="171">
        <f ca="1">IF(ROWS($1:75)&gt;COUNT(Dong1),"",OFFSET(TH!C$1,SMALL(Dong1,ROWS($1:75)),))</f>
        <v>42544</v>
      </c>
      <c r="B88" s="171">
        <f ca="1">IF(ROWS($1:75)&gt;COUNT(Dong1),"",OFFSET(TH!E$1,SMALL(Dong1,ROWS($1:75)),))</f>
        <v>42544</v>
      </c>
      <c r="C88" s="172" t="str">
        <f ca="1">IF(ROWS($1:75)&gt;COUNT(Dong1),"",IF(OFFSET(TH!N$1,SMALL(Dong1,ROWS($1:75)),)="1111",OFFSET(TH!D$1,SMALL(Dong1,ROWS($1:75)),),""))</f>
        <v/>
      </c>
      <c r="D88" s="173" t="str">
        <f ca="1">IF(ROWS($1:75)&gt;COUNT(Dong1),"",IF(OFFSET(TH!O$1,SMALL(Dong1,ROWS($1:75)),)="1111",OFFSET(TH!D$1,SMALL(Dong1,ROWS($1:75)),),""))</f>
        <v>C48</v>
      </c>
      <c r="E88" s="442" t="str">
        <f ca="1">IF(ROWS($1:75)&gt;COUNT(Dong1),"",OFFSET(TH!F$1,SMALL(Dong1,ROWS($1:75)),))</f>
        <v>Đồng hồ nước</v>
      </c>
      <c r="F88" s="175" t="str">
        <f ca="1">IF(ROWS($1:75)&gt;COUNT(Dong1),"",IF(OFFSET(TH!O$1,SMALL(Dong1,ROWS($1:75)),)="1111",OFFSET(TH!N$1,SMALL(Dong1,ROWS($1:75)),),OFFSET(TH!O$1,SMALL(Dong1,ROWS($1:75)),)))</f>
        <v>642</v>
      </c>
      <c r="G88" s="176">
        <f ca="1">IF(ROWS($1:75)&gt;COUNT(Dong1),"",IF(OFFSET(TH!N$1,SMALL(Dong1,ROWS($1:75)),)="1111",OFFSET(TH!M$1,SMALL(Dong1,ROWS($1:75)),),0))</f>
        <v>0</v>
      </c>
      <c r="H88" s="174">
        <f ca="1">IF(ROWS($1:75)&gt;COUNT(Dong1),"",IF(OFFSET(TH!O$1,SMALL(Dong1,ROWS($1:75)),)="1111",OFFSET(TH!M$1,SMALL(Dong1,ROWS($1:75)),),0))</f>
        <v>419000</v>
      </c>
      <c r="I88" s="172">
        <f t="shared" ca="1" si="2"/>
        <v>773797414</v>
      </c>
      <c r="J88" s="177"/>
    </row>
    <row r="89" spans="1:10" ht="19.5" customHeight="1">
      <c r="A89" s="171">
        <f ca="1">IF(ROWS($1:76)&gt;COUNT(Dong1),"",OFFSET(TH!C$1,SMALL(Dong1,ROWS($1:76)),))</f>
        <v>42545</v>
      </c>
      <c r="B89" s="171">
        <f ca="1">IF(ROWS($1:76)&gt;COUNT(Dong1),"",OFFSET(TH!E$1,SMALL(Dong1,ROWS($1:76)),))</f>
        <v>42545</v>
      </c>
      <c r="C89" s="172" t="str">
        <f ca="1">IF(ROWS($1:76)&gt;COUNT(Dong1),"",IF(OFFSET(TH!N$1,SMALL(Dong1,ROWS($1:76)),)="1111",OFFSET(TH!D$1,SMALL(Dong1,ROWS($1:76)),),""))</f>
        <v/>
      </c>
      <c r="D89" s="173" t="str">
        <f ca="1">IF(ROWS($1:76)&gt;COUNT(Dong1),"",IF(OFFSET(TH!O$1,SMALL(Dong1,ROWS($1:76)),)="1111",OFFSET(TH!D$1,SMALL(Dong1,ROWS($1:76)),),""))</f>
        <v>C49</v>
      </c>
      <c r="E89" s="442" t="str">
        <f ca="1">IF(ROWS($1:76)&gt;COUNT(Dong1),"",OFFSET(TH!F$1,SMALL(Dong1,ROWS($1:76)),))</f>
        <v>Cối đá</v>
      </c>
      <c r="F89" s="175" t="str">
        <f ca="1">IF(ROWS($1:76)&gt;COUNT(Dong1),"",IF(OFFSET(TH!O$1,SMALL(Dong1,ROWS($1:76)),)="1111",OFFSET(TH!N$1,SMALL(Dong1,ROWS($1:76)),),OFFSET(TH!O$1,SMALL(Dong1,ROWS($1:76)),)))</f>
        <v>642</v>
      </c>
      <c r="G89" s="176">
        <f ca="1">IF(ROWS($1:76)&gt;COUNT(Dong1),"",IF(OFFSET(TH!N$1,SMALL(Dong1,ROWS($1:76)),)="1111",OFFSET(TH!M$1,SMALL(Dong1,ROWS($1:76)),),0))</f>
        <v>0</v>
      </c>
      <c r="H89" s="174">
        <f ca="1">IF(ROWS($1:76)&gt;COUNT(Dong1),"",IF(OFFSET(TH!O$1,SMALL(Dong1,ROWS($1:76)),)="1111",OFFSET(TH!M$1,SMALL(Dong1,ROWS($1:76)),),0))</f>
        <v>1235000</v>
      </c>
      <c r="I89" s="172">
        <f t="shared" ca="1" si="2"/>
        <v>772562414</v>
      </c>
      <c r="J89" s="177"/>
    </row>
    <row r="90" spans="1:10" ht="19.5" customHeight="1">
      <c r="A90" s="171">
        <f ca="1">IF(ROWS($1:77)&gt;COUNT(Dong1),"",OFFSET(TH!C$1,SMALL(Dong1,ROWS($1:77)),))</f>
        <v>42545</v>
      </c>
      <c r="B90" s="171">
        <f ca="1">IF(ROWS($1:77)&gt;COUNT(Dong1),"",OFFSET(TH!E$1,SMALL(Dong1,ROWS($1:77)),))</f>
        <v>42545</v>
      </c>
      <c r="C90" s="172" t="str">
        <f ca="1">IF(ROWS($1:77)&gt;COUNT(Dong1),"",IF(OFFSET(TH!N$1,SMALL(Dong1,ROWS($1:77)),)="1111",OFFSET(TH!D$1,SMALL(Dong1,ROWS($1:77)),),""))</f>
        <v/>
      </c>
      <c r="D90" s="173" t="str">
        <f ca="1">IF(ROWS($1:77)&gt;COUNT(Dong1),"",IF(OFFSET(TH!O$1,SMALL(Dong1,ROWS($1:77)),)="1111",OFFSET(TH!D$1,SMALL(Dong1,ROWS($1:77)),),""))</f>
        <v>C50</v>
      </c>
      <c r="E90" s="442" t="str">
        <f ca="1">IF(ROWS($1:77)&gt;COUNT(Dong1),"",OFFSET(TH!F$1,SMALL(Dong1,ROWS($1:77)),))</f>
        <v>Khởi động từ</v>
      </c>
      <c r="F90" s="175" t="str">
        <f ca="1">IF(ROWS($1:77)&gt;COUNT(Dong1),"",IF(OFFSET(TH!O$1,SMALL(Dong1,ROWS($1:77)),)="1111",OFFSET(TH!N$1,SMALL(Dong1,ROWS($1:77)),),OFFSET(TH!O$1,SMALL(Dong1,ROWS($1:77)),)))</f>
        <v>642</v>
      </c>
      <c r="G90" s="176">
        <f ca="1">IF(ROWS($1:77)&gt;COUNT(Dong1),"",IF(OFFSET(TH!N$1,SMALL(Dong1,ROWS($1:77)),)="1111",OFFSET(TH!M$1,SMALL(Dong1,ROWS($1:77)),),0))</f>
        <v>0</v>
      </c>
      <c r="H90" s="174">
        <f ca="1">IF(ROWS($1:77)&gt;COUNT(Dong1),"",IF(OFFSET(TH!O$1,SMALL(Dong1,ROWS($1:77)),)="1111",OFFSET(TH!M$1,SMALL(Dong1,ROWS($1:77)),),0))</f>
        <v>550000</v>
      </c>
      <c r="I90" s="172">
        <f t="shared" ca="1" si="2"/>
        <v>772012414</v>
      </c>
      <c r="J90" s="177"/>
    </row>
    <row r="91" spans="1:10" ht="19.5" customHeight="1">
      <c r="A91" s="171">
        <f ca="1">IF(ROWS($1:78)&gt;COUNT(Dong1),"",OFFSET(TH!C$1,SMALL(Dong1,ROWS($1:78)),))</f>
        <v>42545</v>
      </c>
      <c r="B91" s="171">
        <f ca="1">IF(ROWS($1:78)&gt;COUNT(Dong1),"",OFFSET(TH!E$1,SMALL(Dong1,ROWS($1:78)),))</f>
        <v>42545</v>
      </c>
      <c r="C91" s="172" t="str">
        <f ca="1">IF(ROWS($1:78)&gt;COUNT(Dong1),"",IF(OFFSET(TH!N$1,SMALL(Dong1,ROWS($1:78)),)="1111",OFFSET(TH!D$1,SMALL(Dong1,ROWS($1:78)),),""))</f>
        <v/>
      </c>
      <c r="D91" s="173" t="str">
        <f ca="1">IF(ROWS($1:78)&gt;COUNT(Dong1),"",IF(OFFSET(TH!O$1,SMALL(Dong1,ROWS($1:78)),)="1111",OFFSET(TH!D$1,SMALL(Dong1,ROWS($1:78)),),""))</f>
        <v>C51</v>
      </c>
      <c r="E91" s="442" t="str">
        <f ca="1">IF(ROWS($1:78)&gt;COUNT(Dong1),"",OFFSET(TH!F$1,SMALL(Dong1,ROWS($1:78)),))</f>
        <v>Clorin tẩy rửa xưởng</v>
      </c>
      <c r="F91" s="175" t="str">
        <f ca="1">IF(ROWS($1:78)&gt;COUNT(Dong1),"",IF(OFFSET(TH!O$1,SMALL(Dong1,ROWS($1:78)),)="1111",OFFSET(TH!N$1,SMALL(Dong1,ROWS($1:78)),),OFFSET(TH!O$1,SMALL(Dong1,ROWS($1:78)),)))</f>
        <v>642</v>
      </c>
      <c r="G91" s="176">
        <f ca="1">IF(ROWS($1:78)&gt;COUNT(Dong1),"",IF(OFFSET(TH!N$1,SMALL(Dong1,ROWS($1:78)),)="1111",OFFSET(TH!M$1,SMALL(Dong1,ROWS($1:78)),),0))</f>
        <v>0</v>
      </c>
      <c r="H91" s="174">
        <f ca="1">IF(ROWS($1:78)&gt;COUNT(Dong1),"",IF(OFFSET(TH!O$1,SMALL(Dong1,ROWS($1:78)),)="1111",OFFSET(TH!M$1,SMALL(Dong1,ROWS($1:78)),),0))</f>
        <v>10681818</v>
      </c>
      <c r="I91" s="172">
        <f t="shared" ca="1" si="2"/>
        <v>761330596</v>
      </c>
      <c r="J91" s="177"/>
    </row>
    <row r="92" spans="1:10" ht="19.5" customHeight="1">
      <c r="A92" s="171">
        <f ca="1">IF(ROWS($1:79)&gt;COUNT(Dong1),"",OFFSET(TH!C$1,SMALL(Dong1,ROWS($1:79)),))</f>
        <v>42545</v>
      </c>
      <c r="B92" s="171">
        <f ca="1">IF(ROWS($1:79)&gt;COUNT(Dong1),"",OFFSET(TH!E$1,SMALL(Dong1,ROWS($1:79)),))</f>
        <v>42545</v>
      </c>
      <c r="C92" s="172" t="str">
        <f ca="1">IF(ROWS($1:79)&gt;COUNT(Dong1),"",IF(OFFSET(TH!N$1,SMALL(Dong1,ROWS($1:79)),)="1111",OFFSET(TH!D$1,SMALL(Dong1,ROWS($1:79)),),""))</f>
        <v/>
      </c>
      <c r="D92" s="173" t="str">
        <f ca="1">IF(ROWS($1:79)&gt;COUNT(Dong1),"",IF(OFFSET(TH!O$1,SMALL(Dong1,ROWS($1:79)),)="1111",OFFSET(TH!D$1,SMALL(Dong1,ROWS($1:79)),),""))</f>
        <v>C51</v>
      </c>
      <c r="E92" s="442" t="str">
        <f ca="1">IF(ROWS($1:79)&gt;COUNT(Dong1),"",OFFSET(TH!F$1,SMALL(Dong1,ROWS($1:79)),))</f>
        <v>VAT Clorin tẩy rửa xưởng</v>
      </c>
      <c r="F92" s="175" t="str">
        <f ca="1">IF(ROWS($1:79)&gt;COUNT(Dong1),"",IF(OFFSET(TH!O$1,SMALL(Dong1,ROWS($1:79)),)="1111",OFFSET(TH!N$1,SMALL(Dong1,ROWS($1:79)),),OFFSET(TH!O$1,SMALL(Dong1,ROWS($1:79)),)))</f>
        <v>1331</v>
      </c>
      <c r="G92" s="176">
        <f ca="1">IF(ROWS($1:79)&gt;COUNT(Dong1),"",IF(OFFSET(TH!N$1,SMALL(Dong1,ROWS($1:79)),)="1111",OFFSET(TH!M$1,SMALL(Dong1,ROWS($1:79)),),0))</f>
        <v>0</v>
      </c>
      <c r="H92" s="174">
        <f ca="1">IF(ROWS($1:79)&gt;COUNT(Dong1),"",IF(OFFSET(TH!O$1,SMALL(Dong1,ROWS($1:79)),)="1111",OFFSET(TH!M$1,SMALL(Dong1,ROWS($1:79)),),0))</f>
        <v>1068182</v>
      </c>
      <c r="I92" s="172">
        <f t="shared" ca="1" si="2"/>
        <v>760262414</v>
      </c>
      <c r="J92" s="177"/>
    </row>
    <row r="93" spans="1:10" ht="19.5" customHeight="1">
      <c r="A93" s="171">
        <f ca="1">IF(ROWS($1:80)&gt;COUNT(Dong1),"",OFFSET(TH!C$1,SMALL(Dong1,ROWS($1:80)),))</f>
        <v>42545</v>
      </c>
      <c r="B93" s="171">
        <f ca="1">IF(ROWS($1:80)&gt;COUNT(Dong1),"",OFFSET(TH!E$1,SMALL(Dong1,ROWS($1:80)),))</f>
        <v>42545</v>
      </c>
      <c r="C93" s="172" t="str">
        <f ca="1">IF(ROWS($1:80)&gt;COUNT(Dong1),"",IF(OFFSET(TH!N$1,SMALL(Dong1,ROWS($1:80)),)="1111",OFFSET(TH!D$1,SMALL(Dong1,ROWS($1:80)),),""))</f>
        <v>T03</v>
      </c>
      <c r="D93" s="173" t="str">
        <f ca="1">IF(ROWS($1:80)&gt;COUNT(Dong1),"",IF(OFFSET(TH!O$1,SMALL(Dong1,ROWS($1:80)),)="1111",OFFSET(TH!D$1,SMALL(Dong1,ROWS($1:80)),),""))</f>
        <v/>
      </c>
      <c r="E93" s="442" t="str">
        <f ca="1">IF(ROWS($1:80)&gt;COUNT(Dong1),"",OFFSET(TH!F$1,SMALL(Dong1,ROWS($1:80)),))</f>
        <v>Rút tiền mặt</v>
      </c>
      <c r="F93" s="175" t="str">
        <f ca="1">IF(ROWS($1:80)&gt;COUNT(Dong1),"",IF(OFFSET(TH!O$1,SMALL(Dong1,ROWS($1:80)),)="1111",OFFSET(TH!N$1,SMALL(Dong1,ROWS($1:80)),),OFFSET(TH!O$1,SMALL(Dong1,ROWS($1:80)),)))</f>
        <v>1121</v>
      </c>
      <c r="G93" s="176">
        <f ca="1">IF(ROWS($1:80)&gt;COUNT(Dong1),"",IF(OFFSET(TH!N$1,SMALL(Dong1,ROWS($1:80)),)="1111",OFFSET(TH!M$1,SMALL(Dong1,ROWS($1:80)),),0))</f>
        <v>2000000</v>
      </c>
      <c r="H93" s="174">
        <f ca="1">IF(ROWS($1:80)&gt;COUNT(Dong1),"",IF(OFFSET(TH!O$1,SMALL(Dong1,ROWS($1:80)),)="1111",OFFSET(TH!M$1,SMALL(Dong1,ROWS($1:80)),),0))</f>
        <v>0</v>
      </c>
      <c r="I93" s="172">
        <f t="shared" ca="1" si="2"/>
        <v>762262414</v>
      </c>
      <c r="J93" s="177"/>
    </row>
    <row r="94" spans="1:10" ht="19.5" customHeight="1">
      <c r="A94" s="171">
        <f ca="1">IF(ROWS($1:81)&gt;COUNT(Dong1),"",OFFSET(TH!C$1,SMALL(Dong1,ROWS($1:81)),))</f>
        <v>42549</v>
      </c>
      <c r="B94" s="171">
        <f ca="1">IF(ROWS($1:81)&gt;COUNT(Dong1),"",OFFSET(TH!E$1,SMALL(Dong1,ROWS($1:81)),))</f>
        <v>42549</v>
      </c>
      <c r="C94" s="172" t="str">
        <f ca="1">IF(ROWS($1:81)&gt;COUNT(Dong1),"",IF(OFFSET(TH!N$1,SMALL(Dong1,ROWS($1:81)),)="1111",OFFSET(TH!D$1,SMALL(Dong1,ROWS($1:81)),),""))</f>
        <v/>
      </c>
      <c r="D94" s="173" t="str">
        <f ca="1">IF(ROWS($1:81)&gt;COUNT(Dong1),"",IF(OFFSET(TH!O$1,SMALL(Dong1,ROWS($1:81)),)="1111",OFFSET(TH!D$1,SMALL(Dong1,ROWS($1:81)),),""))</f>
        <v>C52</v>
      </c>
      <c r="E94" s="442" t="str">
        <f ca="1">IF(ROWS($1:81)&gt;COUNT(Dong1),"",OFFSET(TH!F$1,SMALL(Dong1,ROWS($1:81)),))</f>
        <v>Hoàn trả vốn mượn</v>
      </c>
      <c r="F94" s="175" t="str">
        <f ca="1">IF(ROWS($1:81)&gt;COUNT(Dong1),"",IF(OFFSET(TH!O$1,SMALL(Dong1,ROWS($1:81)),)="1111",OFFSET(TH!N$1,SMALL(Dong1,ROWS($1:81)),),OFFSET(TH!O$1,SMALL(Dong1,ROWS($1:81)),)))</f>
        <v>1388</v>
      </c>
      <c r="G94" s="176">
        <f ca="1">IF(ROWS($1:81)&gt;COUNT(Dong1),"",IF(OFFSET(TH!N$1,SMALL(Dong1,ROWS($1:81)),)="1111",OFFSET(TH!M$1,SMALL(Dong1,ROWS($1:81)),),0))</f>
        <v>0</v>
      </c>
      <c r="H94" s="174">
        <f ca="1">IF(ROWS($1:81)&gt;COUNT(Dong1),"",IF(OFFSET(TH!O$1,SMALL(Dong1,ROWS($1:81)),)="1111",OFFSET(TH!M$1,SMALL(Dong1,ROWS($1:81)),),0))</f>
        <v>31000000</v>
      </c>
      <c r="I94" s="172">
        <f t="shared" ca="1" si="2"/>
        <v>731262414</v>
      </c>
      <c r="J94" s="177"/>
    </row>
    <row r="95" spans="1:10" ht="19.5" customHeight="1">
      <c r="A95" s="171">
        <f ca="1">IF(ROWS($1:82)&gt;COUNT(Dong1),"",OFFSET(TH!C$1,SMALL(Dong1,ROWS($1:82)),))</f>
        <v>42551</v>
      </c>
      <c r="B95" s="171">
        <f ca="1">IF(ROWS($1:82)&gt;COUNT(Dong1),"",OFFSET(TH!E$1,SMALL(Dong1,ROWS($1:82)),))</f>
        <v>42551</v>
      </c>
      <c r="C95" s="172" t="str">
        <f ca="1">IF(ROWS($1:82)&gt;COUNT(Dong1),"",IF(OFFSET(TH!N$1,SMALL(Dong1,ROWS($1:82)),)="1111",OFFSET(TH!D$1,SMALL(Dong1,ROWS($1:82)),),""))</f>
        <v/>
      </c>
      <c r="D95" s="173" t="str">
        <f ca="1">IF(ROWS($1:82)&gt;COUNT(Dong1),"",IF(OFFSET(TH!O$1,SMALL(Dong1,ROWS($1:82)),)="1111",OFFSET(TH!D$1,SMALL(Dong1,ROWS($1:82)),),""))</f>
        <v>C53</v>
      </c>
      <c r="E95" s="442" t="str">
        <f ca="1">IF(ROWS($1:82)&gt;COUNT(Dong1),"",OFFSET(TH!F$1,SMALL(Dong1,ROWS($1:82)),))</f>
        <v>Phí giao thông - Quý II / 2016</v>
      </c>
      <c r="F95" s="175" t="str">
        <f ca="1">IF(ROWS($1:82)&gt;COUNT(Dong1),"",IF(OFFSET(TH!O$1,SMALL(Dong1,ROWS($1:82)),)="1111",OFFSET(TH!N$1,SMALL(Dong1,ROWS($1:82)),),OFFSET(TH!O$1,SMALL(Dong1,ROWS($1:82)),)))</f>
        <v>642</v>
      </c>
      <c r="G95" s="176">
        <f ca="1">IF(ROWS($1:82)&gt;COUNT(Dong1),"",IF(OFFSET(TH!N$1,SMALL(Dong1,ROWS($1:82)),)="1111",OFFSET(TH!M$1,SMALL(Dong1,ROWS($1:82)),),0))</f>
        <v>0</v>
      </c>
      <c r="H95" s="174">
        <f ca="1">IF(ROWS($1:82)&gt;COUNT(Dong1),"",IF(OFFSET(TH!O$1,SMALL(Dong1,ROWS($1:82)),)="1111",OFFSET(TH!M$1,SMALL(Dong1,ROWS($1:82)),),0))</f>
        <v>1927273</v>
      </c>
      <c r="I95" s="172">
        <f t="shared" ca="1" si="2"/>
        <v>729335141</v>
      </c>
      <c r="J95" s="177"/>
    </row>
    <row r="96" spans="1:10" ht="19.5" customHeight="1">
      <c r="A96" s="171">
        <f ca="1">IF(ROWS($1:83)&gt;COUNT(Dong1),"",OFFSET(TH!C$1,SMALL(Dong1,ROWS($1:83)),))</f>
        <v>42551</v>
      </c>
      <c r="B96" s="171">
        <f ca="1">IF(ROWS($1:83)&gt;COUNT(Dong1),"",OFFSET(TH!E$1,SMALL(Dong1,ROWS($1:83)),))</f>
        <v>42551</v>
      </c>
      <c r="C96" s="172" t="str">
        <f ca="1">IF(ROWS($1:83)&gt;COUNT(Dong1),"",IF(OFFSET(TH!N$1,SMALL(Dong1,ROWS($1:83)),)="1111",OFFSET(TH!D$1,SMALL(Dong1,ROWS($1:83)),),""))</f>
        <v/>
      </c>
      <c r="D96" s="173" t="str">
        <f ca="1">IF(ROWS($1:83)&gt;COUNT(Dong1),"",IF(OFFSET(TH!O$1,SMALL(Dong1,ROWS($1:83)),)="1111",OFFSET(TH!D$1,SMALL(Dong1,ROWS($1:83)),),""))</f>
        <v>C53</v>
      </c>
      <c r="E96" s="442" t="str">
        <f ca="1">IF(ROWS($1:83)&gt;COUNT(Dong1),"",OFFSET(TH!F$1,SMALL(Dong1,ROWS($1:83)),))</f>
        <v>VAT Phí giao thông - Quý II / 2016</v>
      </c>
      <c r="F96" s="175" t="str">
        <f ca="1">IF(ROWS($1:83)&gt;COUNT(Dong1),"",IF(OFFSET(TH!O$1,SMALL(Dong1,ROWS($1:83)),)="1111",OFFSET(TH!N$1,SMALL(Dong1,ROWS($1:83)),),OFFSET(TH!O$1,SMALL(Dong1,ROWS($1:83)),)))</f>
        <v>1331</v>
      </c>
      <c r="G96" s="176">
        <f ca="1">IF(ROWS($1:83)&gt;COUNT(Dong1),"",IF(OFFSET(TH!N$1,SMALL(Dong1,ROWS($1:83)),)="1111",OFFSET(TH!M$1,SMALL(Dong1,ROWS($1:83)),),0))</f>
        <v>0</v>
      </c>
      <c r="H96" s="174">
        <f ca="1">IF(ROWS($1:83)&gt;COUNT(Dong1),"",IF(OFFSET(TH!O$1,SMALL(Dong1,ROWS($1:83)),)="1111",OFFSET(TH!M$1,SMALL(Dong1,ROWS($1:83)),),0))</f>
        <v>192727</v>
      </c>
      <c r="I96" s="172">
        <f t="shared" ca="1" si="2"/>
        <v>729142414</v>
      </c>
      <c r="J96" s="177"/>
    </row>
    <row r="97" spans="1:12" ht="19.5" customHeight="1">
      <c r="A97" s="171">
        <f ca="1">IF(ROWS($1:84)&gt;COUNT(Dong1),"",OFFSET(TH!C$1,SMALL(Dong1,ROWS($1:84)),))</f>
        <v>42551</v>
      </c>
      <c r="B97" s="171">
        <f ca="1">IF(ROWS($1:84)&gt;COUNT(Dong1),"",OFFSET(TH!E$1,SMALL(Dong1,ROWS($1:84)),))</f>
        <v>42551</v>
      </c>
      <c r="C97" s="172" t="str">
        <f ca="1">IF(ROWS($1:84)&gt;COUNT(Dong1),"",IF(OFFSET(TH!N$1,SMALL(Dong1,ROWS($1:84)),)="1111",OFFSET(TH!D$1,SMALL(Dong1,ROWS($1:84)),),""))</f>
        <v/>
      </c>
      <c r="D97" s="173" t="str">
        <f ca="1">IF(ROWS($1:84)&gt;COUNT(Dong1),"",IF(OFFSET(TH!O$1,SMALL(Dong1,ROWS($1:84)),)="1111",OFFSET(TH!D$1,SMALL(Dong1,ROWS($1:84)),),""))</f>
        <v>C54</v>
      </c>
      <c r="E97" s="442" t="str">
        <f ca="1">IF(ROWS($1:84)&gt;COUNT(Dong1),"",OFFSET(TH!F$1,SMALL(Dong1,ROWS($1:84)),))</f>
        <v>Nộp tiển mặt vào tài khoản</v>
      </c>
      <c r="F97" s="175" t="str">
        <f ca="1">IF(ROWS($1:84)&gt;COUNT(Dong1),"",IF(OFFSET(TH!O$1,SMALL(Dong1,ROWS($1:84)),)="1111",OFFSET(TH!N$1,SMALL(Dong1,ROWS($1:84)),),OFFSET(TH!O$1,SMALL(Dong1,ROWS($1:84)),)))</f>
        <v>1121</v>
      </c>
      <c r="G97" s="176">
        <f ca="1">IF(ROWS($1:84)&gt;COUNT(Dong1),"",IF(OFFSET(TH!N$1,SMALL(Dong1,ROWS($1:84)),)="1111",OFFSET(TH!M$1,SMALL(Dong1,ROWS($1:84)),),0))</f>
        <v>0</v>
      </c>
      <c r="H97" s="174">
        <f ca="1">IF(ROWS($1:84)&gt;COUNT(Dong1),"",IF(OFFSET(TH!O$1,SMALL(Dong1,ROWS($1:84)),)="1111",OFFSET(TH!M$1,SMALL(Dong1,ROWS($1:84)),),0))</f>
        <v>55000000</v>
      </c>
      <c r="I97" s="172">
        <f t="shared" ca="1" si="2"/>
        <v>674142414</v>
      </c>
      <c r="J97" s="177"/>
    </row>
    <row r="98" spans="1:12" ht="19.5" customHeight="1">
      <c r="A98" s="171" t="str">
        <f ca="1">IF(ROWS($1:85)&gt;COUNT(Dong1),"",OFFSET(TH!C$1,SMALL(Dong1,ROWS($1:85)),))</f>
        <v/>
      </c>
      <c r="B98" s="171" t="str">
        <f ca="1">IF(ROWS($1:85)&gt;COUNT(Dong1),"",OFFSET(TH!E$1,SMALL(Dong1,ROWS($1:85)),))</f>
        <v/>
      </c>
      <c r="C98" s="172" t="str">
        <f ca="1">IF(ROWS($1:85)&gt;COUNT(Dong1),"",IF(OFFSET(TH!N$1,SMALL(Dong1,ROWS($1:85)),)="1111",OFFSET(TH!D$1,SMALL(Dong1,ROWS($1:85)),),""))</f>
        <v/>
      </c>
      <c r="D98" s="173" t="str">
        <f ca="1">IF(ROWS($1:85)&gt;COUNT(Dong1),"",IF(OFFSET(TH!O$1,SMALL(Dong1,ROWS($1:85)),)="1111",OFFSET(TH!D$1,SMALL(Dong1,ROWS($1:85)),),""))</f>
        <v/>
      </c>
      <c r="E98" s="442" t="str">
        <f ca="1">IF(ROWS($1:85)&gt;COUNT(Dong1),"",OFFSET(TH!F$1,SMALL(Dong1,ROWS($1:85)),))</f>
        <v/>
      </c>
      <c r="F98" s="175" t="str">
        <f ca="1">IF(ROWS($1:85)&gt;COUNT(Dong1),"",IF(OFFSET(TH!O$1,SMALL(Dong1,ROWS($1:85)),)="1111",OFFSET(TH!N$1,SMALL(Dong1,ROWS($1:85)),),OFFSET(TH!O$1,SMALL(Dong1,ROWS($1:85)),)))</f>
        <v/>
      </c>
      <c r="G98" s="176" t="str">
        <f ca="1">IF(ROWS($1:85)&gt;COUNT(Dong1),"",IF(OFFSET(TH!N$1,SMALL(Dong1,ROWS($1:85)),)="1111",OFFSET(TH!M$1,SMALL(Dong1,ROWS($1:85)),),0))</f>
        <v/>
      </c>
      <c r="H98" s="174" t="str">
        <f ca="1">IF(ROWS($1:85)&gt;COUNT(Dong1),"",IF(OFFSET(TH!O$1,SMALL(Dong1,ROWS($1:85)),)="1111",OFFSET(TH!M$1,SMALL(Dong1,ROWS($1:85)),),0))</f>
        <v/>
      </c>
      <c r="I98" s="172">
        <f t="shared" ca="1" si="2"/>
        <v>0</v>
      </c>
      <c r="J98" s="177"/>
    </row>
    <row r="99" spans="1:12" ht="19.5" customHeight="1">
      <c r="A99" s="171" t="str">
        <f ca="1">IF(ROWS($1:86)&gt;COUNT(Dong1),"",OFFSET(TH!C$1,SMALL(Dong1,ROWS($1:86)),))</f>
        <v/>
      </c>
      <c r="B99" s="171" t="str">
        <f ca="1">IF(ROWS($1:86)&gt;COUNT(Dong1),"",OFFSET(TH!E$1,SMALL(Dong1,ROWS($1:86)),))</f>
        <v/>
      </c>
      <c r="C99" s="172" t="str">
        <f ca="1">IF(ROWS($1:86)&gt;COUNT(Dong1),"",IF(OFFSET(TH!N$1,SMALL(Dong1,ROWS($1:86)),)="1111",OFFSET(TH!D$1,SMALL(Dong1,ROWS($1:86)),),""))</f>
        <v/>
      </c>
      <c r="D99" s="173" t="str">
        <f ca="1">IF(ROWS($1:86)&gt;COUNT(Dong1),"",IF(OFFSET(TH!O$1,SMALL(Dong1,ROWS($1:86)),)="1111",OFFSET(TH!D$1,SMALL(Dong1,ROWS($1:86)),),""))</f>
        <v/>
      </c>
      <c r="E99" s="442" t="str">
        <f ca="1">IF(ROWS($1:86)&gt;COUNT(Dong1),"",OFFSET(TH!F$1,SMALL(Dong1,ROWS($1:86)),))</f>
        <v/>
      </c>
      <c r="F99" s="175" t="str">
        <f ca="1">IF(ROWS($1:86)&gt;COUNT(Dong1),"",IF(OFFSET(TH!O$1,SMALL(Dong1,ROWS($1:86)),)="1111",OFFSET(TH!N$1,SMALL(Dong1,ROWS($1:86)),),OFFSET(TH!O$1,SMALL(Dong1,ROWS($1:86)),)))</f>
        <v/>
      </c>
      <c r="G99" s="176" t="str">
        <f ca="1">IF(ROWS($1:86)&gt;COUNT(Dong1),"",IF(OFFSET(TH!N$1,SMALL(Dong1,ROWS($1:86)),)="1111",OFFSET(TH!M$1,SMALL(Dong1,ROWS($1:86)),),0))</f>
        <v/>
      </c>
      <c r="H99" s="174" t="str">
        <f ca="1">IF(ROWS($1:86)&gt;COUNT(Dong1),"",IF(OFFSET(TH!O$1,SMALL(Dong1,ROWS($1:86)),)="1111",OFFSET(TH!M$1,SMALL(Dong1,ROWS($1:86)),),0))</f>
        <v/>
      </c>
      <c r="I99" s="172">
        <f t="shared" ca="1" si="2"/>
        <v>0</v>
      </c>
      <c r="J99" s="177"/>
    </row>
    <row r="100" spans="1:12" ht="19.5" customHeight="1">
      <c r="A100" s="171" t="str">
        <f ca="1">IF(ROWS($1:87)&gt;COUNT(Dong1),"",OFFSET(TH!C$1,SMALL(Dong1,ROWS($1:87)),))</f>
        <v/>
      </c>
      <c r="B100" s="171" t="str">
        <f ca="1">IF(ROWS($1:87)&gt;COUNT(Dong1),"",OFFSET(TH!E$1,SMALL(Dong1,ROWS($1:87)),))</f>
        <v/>
      </c>
      <c r="C100" s="172" t="str">
        <f ca="1">IF(ROWS($1:87)&gt;COUNT(Dong1),"",IF(OFFSET(TH!N$1,SMALL(Dong1,ROWS($1:87)),)="1111",OFFSET(TH!D$1,SMALL(Dong1,ROWS($1:87)),),""))</f>
        <v/>
      </c>
      <c r="D100" s="173" t="str">
        <f ca="1">IF(ROWS($1:87)&gt;COUNT(Dong1),"",IF(OFFSET(TH!O$1,SMALL(Dong1,ROWS($1:87)),)="1111",OFFSET(TH!D$1,SMALL(Dong1,ROWS($1:87)),),""))</f>
        <v/>
      </c>
      <c r="E100" s="442" t="str">
        <f ca="1">IF(ROWS($1:87)&gt;COUNT(Dong1),"",OFFSET(TH!F$1,SMALL(Dong1,ROWS($1:87)),))</f>
        <v/>
      </c>
      <c r="F100" s="175" t="str">
        <f ca="1">IF(ROWS($1:87)&gt;COUNT(Dong1),"",IF(OFFSET(TH!O$1,SMALL(Dong1,ROWS($1:87)),)="1111",OFFSET(TH!N$1,SMALL(Dong1,ROWS($1:87)),),OFFSET(TH!O$1,SMALL(Dong1,ROWS($1:87)),)))</f>
        <v/>
      </c>
      <c r="G100" s="176" t="str">
        <f ca="1">IF(ROWS($1:87)&gt;COUNT(Dong1),"",IF(OFFSET(TH!N$1,SMALL(Dong1,ROWS($1:87)),)="1111",OFFSET(TH!M$1,SMALL(Dong1,ROWS($1:87)),),0))</f>
        <v/>
      </c>
      <c r="H100" s="174" t="str">
        <f ca="1">IF(ROWS($1:87)&gt;COUNT(Dong1),"",IF(OFFSET(TH!O$1,SMALL(Dong1,ROWS($1:87)),)="1111",OFFSET(TH!M$1,SMALL(Dong1,ROWS($1:87)),),0))</f>
        <v/>
      </c>
      <c r="I100" s="172">
        <f t="shared" ca="1" si="2"/>
        <v>0</v>
      </c>
      <c r="J100" s="177"/>
    </row>
    <row r="101" spans="1:12" ht="19.5" customHeight="1">
      <c r="A101" s="178"/>
      <c r="B101" s="177"/>
      <c r="C101" s="177"/>
      <c r="D101" s="177"/>
      <c r="E101" s="443"/>
      <c r="F101" s="179"/>
      <c r="G101" s="177"/>
      <c r="H101" s="177"/>
      <c r="I101" s="172"/>
      <c r="J101" s="177"/>
    </row>
    <row r="102" spans="1:12" s="167" customFormat="1" ht="19.5" customHeight="1">
      <c r="A102" s="180"/>
      <c r="B102" s="180"/>
      <c r="C102" s="180"/>
      <c r="D102" s="180"/>
      <c r="E102" s="180" t="s">
        <v>238</v>
      </c>
      <c r="F102" s="181" t="s">
        <v>26</v>
      </c>
      <c r="G102" s="180">
        <f ca="1">SUM(G14:G101)</f>
        <v>2962000000</v>
      </c>
      <c r="H102" s="180">
        <f ca="1">SUM(H14:H101)</f>
        <v>3064869729</v>
      </c>
      <c r="I102" s="181" t="s">
        <v>26</v>
      </c>
      <c r="J102" s="181" t="s">
        <v>26</v>
      </c>
    </row>
    <row r="103" spans="1:12" s="167" customFormat="1" ht="19.5" customHeight="1">
      <c r="A103" s="182"/>
      <c r="B103" s="182"/>
      <c r="C103" s="182"/>
      <c r="D103" s="182"/>
      <c r="E103" s="182" t="s">
        <v>239</v>
      </c>
      <c r="F103" s="183" t="s">
        <v>26</v>
      </c>
      <c r="G103" s="183" t="s">
        <v>26</v>
      </c>
      <c r="H103" s="183" t="s">
        <v>26</v>
      </c>
      <c r="I103" s="184">
        <f ca="1">I13+G102-H102</f>
        <v>674142414</v>
      </c>
      <c r="J103" s="183" t="s">
        <v>26</v>
      </c>
    </row>
    <row r="104" spans="1:12">
      <c r="L104" s="487" t="s">
        <v>361</v>
      </c>
    </row>
    <row r="105" spans="1:12">
      <c r="A105" s="185" t="s">
        <v>342</v>
      </c>
      <c r="L105" s="487" t="s">
        <v>362</v>
      </c>
    </row>
    <row r="106" spans="1:12">
      <c r="A106" s="263" t="str">
        <f ca="1">"- Ngày mở sổ: "&amp;DAY($A$14)&amp;"/"&amp;MONTH($A$14)&amp;"/ 2015"</f>
        <v>- Ngày mở sổ: 2/4/ 2015</v>
      </c>
      <c r="L106" s="487" t="s">
        <v>240</v>
      </c>
    </row>
    <row r="107" spans="1:12">
      <c r="I107" s="186" t="str">
        <f>"Ngày "&amp;IF(OR($O$11=3,$O$11=12),"31","30")&amp;" tháng "&amp;$O$11&amp;"  năm  2015 "</f>
        <v xml:space="preserve">Ngày 30 tháng 6  năm  2015 </v>
      </c>
      <c r="L107" s="487" t="s">
        <v>342</v>
      </c>
    </row>
    <row r="108" spans="1:12" s="187" customFormat="1" ht="14.25">
      <c r="C108" s="187" t="s">
        <v>14</v>
      </c>
      <c r="E108" s="187" t="s">
        <v>15</v>
      </c>
      <c r="I108" s="187" t="s">
        <v>206</v>
      </c>
    </row>
    <row r="109" spans="1:12" s="188" customFormat="1">
      <c r="C109" s="188" t="s">
        <v>16</v>
      </c>
      <c r="E109" s="188" t="s">
        <v>16</v>
      </c>
      <c r="I109" s="188" t="s">
        <v>241</v>
      </c>
    </row>
    <row r="110" spans="1:12" s="188" customFormat="1"/>
    <row r="111" spans="1:12" s="188" customFormat="1"/>
    <row r="112" spans="1:12" s="188" customFormat="1"/>
    <row r="113" spans="1:10" s="188" customFormat="1"/>
    <row r="116" spans="1:10" ht="15.75">
      <c r="C116" s="440" t="s">
        <v>337</v>
      </c>
      <c r="I116" s="441" t="s">
        <v>183</v>
      </c>
    </row>
    <row r="117" spans="1:10">
      <c r="E117" s="162">
        <f ca="1">SUMIF($D$14:$D$36,#REF!,H14:H36)</f>
        <v>0</v>
      </c>
    </row>
    <row r="120" spans="1:10">
      <c r="A120" s="162">
        <v>2</v>
      </c>
      <c r="B120" s="162">
        <v>3</v>
      </c>
      <c r="C120" s="162">
        <v>4</v>
      </c>
      <c r="D120" s="162">
        <v>5</v>
      </c>
      <c r="E120" s="162">
        <v>6</v>
      </c>
      <c r="F120" s="162">
        <v>9</v>
      </c>
      <c r="G120" s="162">
        <v>10</v>
      </c>
      <c r="H120" s="162">
        <v>11</v>
      </c>
      <c r="I120" s="162">
        <v>12</v>
      </c>
      <c r="J120" s="162">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33" customWidth="1"/>
    <col min="2" max="2" width="6" style="234" customWidth="1"/>
    <col min="3" max="3" width="7.7109375" style="233" customWidth="1"/>
    <col min="4" max="4" width="40.7109375" style="232" customWidth="1"/>
    <col min="5" max="5" width="6.5703125" style="232" customWidth="1"/>
    <col min="6" max="8" width="13.5703125" style="232" customWidth="1"/>
    <col min="9" max="9" width="6.5703125" style="232" customWidth="1"/>
    <col min="10" max="10" width="2.85546875" style="232" customWidth="1"/>
    <col min="11" max="11" width="10.7109375" style="232" bestFit="1" customWidth="1"/>
    <col min="12" max="12" width="4.140625" style="232" hidden="1" customWidth="1"/>
    <col min="13" max="14" width="4.5703125" style="232" hidden="1" customWidth="1"/>
    <col min="15" max="15" width="9.140625" style="232" hidden="1" customWidth="1"/>
    <col min="16" max="16384" width="9.140625" style="232"/>
  </cols>
  <sheetData>
    <row r="1" spans="1:14" s="192" customFormat="1" ht="16.5" customHeight="1">
      <c r="A1" s="134" t="s">
        <v>213</v>
      </c>
      <c r="B1" s="193"/>
      <c r="C1" s="194"/>
      <c r="F1" s="444"/>
      <c r="G1" s="446" t="s">
        <v>343</v>
      </c>
      <c r="H1" s="446"/>
      <c r="I1" s="444"/>
      <c r="K1" s="195"/>
    </row>
    <row r="2" spans="1:14" s="192" customFormat="1" ht="16.5" customHeight="1">
      <c r="A2" s="448" t="s">
        <v>214</v>
      </c>
      <c r="B2" s="235"/>
      <c r="C2" s="235"/>
      <c r="D2" s="235"/>
      <c r="F2" s="445"/>
      <c r="G2" s="447" t="s">
        <v>344</v>
      </c>
      <c r="H2" s="447"/>
      <c r="I2" s="445"/>
      <c r="K2" s="196"/>
    </row>
    <row r="3" spans="1:14" s="192" customFormat="1" ht="16.5" customHeight="1">
      <c r="A3" s="235"/>
      <c r="B3" s="235"/>
      <c r="C3" s="235"/>
      <c r="D3" s="235"/>
      <c r="F3" s="445"/>
      <c r="G3" s="447" t="s">
        <v>345</v>
      </c>
      <c r="H3" s="447"/>
      <c r="I3" s="445"/>
    </row>
    <row r="4" spans="1:14" s="192" customFormat="1" ht="19.5" customHeight="1">
      <c r="A4" s="1114" t="s">
        <v>246</v>
      </c>
      <c r="B4" s="1114"/>
      <c r="C4" s="1114"/>
      <c r="D4" s="1114"/>
      <c r="E4" s="1114"/>
      <c r="F4" s="1114"/>
      <c r="G4" s="1114"/>
      <c r="H4" s="1114"/>
      <c r="I4" s="1114"/>
    </row>
    <row r="5" spans="1:14" s="192" customFormat="1" ht="15">
      <c r="A5" s="1115" t="s">
        <v>247</v>
      </c>
      <c r="B5" s="1115"/>
      <c r="C5" s="1115"/>
      <c r="D5" s="1115"/>
      <c r="E5" s="1115"/>
      <c r="F5" s="1115"/>
      <c r="G5" s="1115"/>
      <c r="H5" s="1115"/>
      <c r="I5" s="1115"/>
    </row>
    <row r="6" spans="1:14" s="192" customFormat="1" ht="15">
      <c r="D6" s="520" t="s">
        <v>466</v>
      </c>
      <c r="E6" s="1115" t="str">
        <f>IF($H$6="VNĐ","1402 148 5100 7445","1402 148 5102 8153")</f>
        <v>1402 148 5100 7445</v>
      </c>
      <c r="F6" s="1115"/>
      <c r="G6" s="1115"/>
      <c r="H6" s="192" t="s">
        <v>205</v>
      </c>
      <c r="I6" s="521" t="str">
        <f>IF(H6="VNĐ","1121","1122")</f>
        <v>1121</v>
      </c>
    </row>
    <row r="7" spans="1:14" s="192" customFormat="1" ht="8.25" customHeight="1">
      <c r="A7" s="197"/>
      <c r="B7" s="198"/>
      <c r="C7" s="197"/>
      <c r="D7" s="198"/>
      <c r="E7" s="198"/>
      <c r="F7" s="198"/>
      <c r="G7" s="198"/>
      <c r="H7" s="198"/>
      <c r="I7" s="198"/>
    </row>
    <row r="8" spans="1:14" s="200" customFormat="1" ht="22.5" customHeight="1" thickBot="1">
      <c r="A8" s="1116" t="s">
        <v>248</v>
      </c>
      <c r="B8" s="1118" t="s">
        <v>1</v>
      </c>
      <c r="C8" s="1119"/>
      <c r="D8" s="1120" t="s">
        <v>0</v>
      </c>
      <c r="E8" s="1122" t="s">
        <v>19</v>
      </c>
      <c r="F8" s="1118" t="s">
        <v>249</v>
      </c>
      <c r="G8" s="1118"/>
      <c r="H8" s="1119"/>
      <c r="I8" s="1120" t="s">
        <v>232</v>
      </c>
      <c r="K8" s="190"/>
      <c r="L8" s="162"/>
      <c r="M8" s="1109" t="s">
        <v>242</v>
      </c>
      <c r="N8" s="1109"/>
    </row>
    <row r="9" spans="1:14" s="200" customFormat="1" ht="22.5" customHeight="1" thickBot="1">
      <c r="A9" s="1117"/>
      <c r="B9" s="201" t="s">
        <v>20</v>
      </c>
      <c r="C9" s="202" t="s">
        <v>250</v>
      </c>
      <c r="D9" s="1121"/>
      <c r="E9" s="1123"/>
      <c r="F9" s="503" t="s">
        <v>251</v>
      </c>
      <c r="G9" s="203" t="s">
        <v>252</v>
      </c>
      <c r="H9" s="199" t="s">
        <v>253</v>
      </c>
      <c r="I9" s="1121"/>
      <c r="K9" s="236" t="s">
        <v>973</v>
      </c>
      <c r="L9" s="162"/>
      <c r="M9" s="237">
        <f>IF(K9="Quý I",1,IF(K9="Quý II",4,IF(K9="Quý III",7,IF(K9="Quý IV",10,""))))</f>
        <v>4</v>
      </c>
      <c r="N9" s="238">
        <f>IF(K9="Quý I",3,IF(K9="Quý II",6,IF(K9="Quý III",9,IF(K9="Quý IV",12,""))))</f>
        <v>6</v>
      </c>
    </row>
    <row r="10" spans="1:14" s="206" customFormat="1" ht="12">
      <c r="A10" s="204" t="s">
        <v>2</v>
      </c>
      <c r="B10" s="205" t="s">
        <v>3</v>
      </c>
      <c r="C10" s="204" t="s">
        <v>4</v>
      </c>
      <c r="D10" s="205" t="s">
        <v>5</v>
      </c>
      <c r="E10" s="205" t="s">
        <v>6</v>
      </c>
      <c r="F10" s="205">
        <v>1</v>
      </c>
      <c r="G10" s="205">
        <v>2</v>
      </c>
      <c r="H10" s="205">
        <v>3</v>
      </c>
      <c r="I10" s="205" t="s">
        <v>235</v>
      </c>
    </row>
    <row r="11" spans="1:14" s="211" customFormat="1" ht="20.25" customHeight="1">
      <c r="A11" s="207"/>
      <c r="B11" s="208"/>
      <c r="C11" s="207"/>
      <c r="D11" s="209" t="s">
        <v>7</v>
      </c>
      <c r="E11" s="209"/>
      <c r="F11" s="210"/>
      <c r="G11" s="209"/>
      <c r="H11" s="210">
        <f>IF($I$6="1121",CDPS!$C$12+SUMIF(_N112,"x",TH)-SUMIF(_C112,"x",TH),CDPS!C13+SUMIF(_N112,"x",TH)-SUMIF(_C112,"x",TH))</f>
        <v>4034953</v>
      </c>
      <c r="I11" s="209"/>
    </row>
    <row r="12" spans="1:14" s="200" customFormat="1" ht="20.25" customHeight="1">
      <c r="A12" s="212">
        <f ca="1">IF(ROWS($1:1)&gt;COUNT(Dong2),"",OFFSET(TH!C$1,SMALL(Dong2,ROWS($1:1)),))</f>
        <v>42481</v>
      </c>
      <c r="B12" s="212" t="str">
        <f ca="1">IF(ROWS($1:1)&gt;COUNT(Dong2),"",OFFSET(TH!D$1,SMALL(Dong2,ROWS($1:1)),))</f>
        <v>GBC</v>
      </c>
      <c r="C12" s="212">
        <f ca="1">IF(ROWS($1:1)&gt;COUNT(Dong2),"",OFFSET(TH!E$1,SMALL(Dong2,ROWS($1:1)),))</f>
        <v>42481</v>
      </c>
      <c r="D12" s="449" t="str">
        <f ca="1">IF(ROWS($1:1)&gt;COUNT(Dong2),"",OFFSET(TH!F$1,SMALL(Dong2,ROWS($1:1)),))</f>
        <v>Ứng vốn</v>
      </c>
      <c r="E12" s="212" t="str">
        <f ca="1">IF(ROWS($1:1)&gt;COUNT(Dong2),"",IF(OFFSET(TH!O$1,SMALL(Dong2,ROWS($1:1)),)=$I$6,OFFSET(TH!N$1,SMALL(Dong2,ROWS($1:1)),),OFFSET(TH!O$1,SMALL(Dong2,ROWS($1:1)),)))</f>
        <v>1388</v>
      </c>
      <c r="F12" s="213">
        <f ca="1">IF(ROWS($1:1)&gt;COUNT(Dong2),"",IF(OFFSET(TH!N$1,SMALL(Dong2,ROWS($1:1)),)=$I$6,IF($I$6="1121",OFFSET(TH!M$1,SMALL(Dong2,ROWS($1:1)),),OFFSET(TH!K$1,SMALL(Dong2,ROWS($1:1)),)),0))</f>
        <v>40000000</v>
      </c>
      <c r="G12" s="213">
        <f ca="1">IF(ROWS($1:1)&gt;COUNT(Dong2),"",IF(OFFSET(TH!O$1,SMALL(Dong2,ROWS($1:1)),)=$I$6,IF($I$6="1121",OFFSET(TH!M$1,SMALL(Dong2,ROWS($1:1)),),OFFSET(TH!K$1,SMALL(Dong2,ROWS($1:1)),)),0))</f>
        <v>0</v>
      </c>
      <c r="H12" s="214">
        <f t="shared" ref="H12:H43" ca="1" si="0">IF(A12&lt;&gt;"",H11+F12-G12,0)</f>
        <v>44034953</v>
      </c>
      <c r="I12" s="214"/>
    </row>
    <row r="13" spans="1:14" s="200" customFormat="1" ht="20.25" customHeight="1">
      <c r="A13" s="212">
        <f ca="1">IF(ROWS($1:2)&gt;COUNT(Dong2),"",OFFSET(TH!C$1,SMALL(Dong2,ROWS($1:2)),))</f>
        <v>42481</v>
      </c>
      <c r="B13" s="212" t="str">
        <f ca="1">IF(ROWS($1:2)&gt;COUNT(Dong2),"",OFFSET(TH!D$1,SMALL(Dong2,ROWS($1:2)),))</f>
        <v>C19</v>
      </c>
      <c r="C13" s="212">
        <f ca="1">IF(ROWS($1:2)&gt;COUNT(Dong2),"",OFFSET(TH!E$1,SMALL(Dong2,ROWS($1:2)),))</f>
        <v>42481</v>
      </c>
      <c r="D13" s="449" t="str">
        <f ca="1">IF(ROWS($1:2)&gt;COUNT(Dong2),"",OFFSET(TH!F$1,SMALL(Dong2,ROWS($1:2)),))</f>
        <v>Q4 - Nộp tiền mặt</v>
      </c>
      <c r="E13" s="212" t="str">
        <f ca="1">IF(ROWS($1:2)&gt;COUNT(Dong2),"",IF(OFFSET(TH!O$1,SMALL(Dong2,ROWS($1:2)),)=$I$6,OFFSET(TH!N$1,SMALL(Dong2,ROWS($1:2)),),OFFSET(TH!O$1,SMALL(Dong2,ROWS($1:2)),)))</f>
        <v>1111</v>
      </c>
      <c r="F13" s="213">
        <f ca="1">IF(ROWS($1:2)&gt;COUNT(Dong2),"",IF(OFFSET(TH!N$1,SMALL(Dong2,ROWS($1:2)),)=$I$6,IF($I$6="1121",OFFSET(TH!M$1,SMALL(Dong2,ROWS($1:2)),),OFFSET(TH!K$1,SMALL(Dong2,ROWS($1:2)),)),0))</f>
        <v>130000000</v>
      </c>
      <c r="G13" s="213">
        <f ca="1">IF(ROWS($1:2)&gt;COUNT(Dong2),"",IF(OFFSET(TH!O$1,SMALL(Dong2,ROWS($1:2)),)=$I$6,IF($I$6="1121",OFFSET(TH!M$1,SMALL(Dong2,ROWS($1:2)),),OFFSET(TH!K$1,SMALL(Dong2,ROWS($1:2)),)),0))</f>
        <v>0</v>
      </c>
      <c r="H13" s="214">
        <f t="shared" ca="1" si="0"/>
        <v>174034953</v>
      </c>
      <c r="I13" s="214"/>
    </row>
    <row r="14" spans="1:14" s="200" customFormat="1" ht="20.25" customHeight="1">
      <c r="A14" s="212">
        <f ca="1">IF(ROWS($1:3)&gt;COUNT(Dong2),"",OFFSET(TH!C$1,SMALL(Dong2,ROWS($1:3)),))</f>
        <v>42481</v>
      </c>
      <c r="B14" s="212" t="str">
        <f ca="1">IF(ROWS($1:3)&gt;COUNT(Dong2),"",OFFSET(TH!D$1,SMALL(Dong2,ROWS($1:3)),))</f>
        <v>C19</v>
      </c>
      <c r="C14" s="212">
        <f ca="1">IF(ROWS($1:3)&gt;COUNT(Dong2),"",OFFSET(TH!E$1,SMALL(Dong2,ROWS($1:3)),))</f>
        <v>42481</v>
      </c>
      <c r="D14" s="449" t="str">
        <f ca="1">IF(ROWS($1:3)&gt;COUNT(Dong2),"",OFFSET(TH!F$1,SMALL(Dong2,ROWS($1:3)),))</f>
        <v>Q4 - Nộp tiền mặt</v>
      </c>
      <c r="E14" s="212" t="str">
        <f ca="1">IF(ROWS($1:3)&gt;COUNT(Dong2),"",IF(OFFSET(TH!O$1,SMALL(Dong2,ROWS($1:3)),)=$I$6,OFFSET(TH!N$1,SMALL(Dong2,ROWS($1:3)),),OFFSET(TH!O$1,SMALL(Dong2,ROWS($1:3)),)))</f>
        <v>1111</v>
      </c>
      <c r="F14" s="213">
        <f ca="1">IF(ROWS($1:3)&gt;COUNT(Dong2),"",IF(OFFSET(TH!N$1,SMALL(Dong2,ROWS($1:3)),)=$I$6,IF($I$6="1121",OFFSET(TH!M$1,SMALL(Dong2,ROWS($1:3)),),OFFSET(TH!K$1,SMALL(Dong2,ROWS($1:3)),)),0))</f>
        <v>60000000</v>
      </c>
      <c r="G14" s="213">
        <f ca="1">IF(ROWS($1:3)&gt;COUNT(Dong2),"",IF(OFFSET(TH!O$1,SMALL(Dong2,ROWS($1:3)),)=$I$6,IF($I$6="1121",OFFSET(TH!M$1,SMALL(Dong2,ROWS($1:3)),),OFFSET(TH!K$1,SMALL(Dong2,ROWS($1:3)),)),0))</f>
        <v>0</v>
      </c>
      <c r="H14" s="214">
        <f t="shared" ca="1" si="0"/>
        <v>234034953</v>
      </c>
      <c r="I14" s="214"/>
    </row>
    <row r="15" spans="1:14" s="200" customFormat="1" ht="20.25" customHeight="1">
      <c r="A15" s="212">
        <f ca="1">IF(ROWS($1:4)&gt;COUNT(Dong2),"",OFFSET(TH!C$1,SMALL(Dong2,ROWS($1:4)),))</f>
        <v>42481</v>
      </c>
      <c r="B15" s="212" t="str">
        <f ca="1">IF(ROWS($1:4)&gt;COUNT(Dong2),"",OFFSET(TH!D$1,SMALL(Dong2,ROWS($1:4)),))</f>
        <v>GBN</v>
      </c>
      <c r="C15" s="212">
        <f ca="1">IF(ROWS($1:4)&gt;COUNT(Dong2),"",OFFSET(TH!E$1,SMALL(Dong2,ROWS($1:4)),))</f>
        <v>42481</v>
      </c>
      <c r="D15" s="449" t="str">
        <f ca="1">IF(ROWS($1:4)&gt;COUNT(Dong2),"",OFFSET(TH!F$1,SMALL(Dong2,ROWS($1:4)),))</f>
        <v>Lãi vay</v>
      </c>
      <c r="E15" s="212" t="str">
        <f ca="1">IF(ROWS($1:4)&gt;COUNT(Dong2),"",IF(OFFSET(TH!O$1,SMALL(Dong2,ROWS($1:4)),)=$I$6,OFFSET(TH!N$1,SMALL(Dong2,ROWS($1:4)),),OFFSET(TH!O$1,SMALL(Dong2,ROWS($1:4)),)))</f>
        <v>635</v>
      </c>
      <c r="F15" s="213">
        <f ca="1">IF(ROWS($1:4)&gt;COUNT(Dong2),"",IF(OFFSET(TH!N$1,SMALL(Dong2,ROWS($1:4)),)=$I$6,IF($I$6="1121",OFFSET(TH!M$1,SMALL(Dong2,ROWS($1:4)),),OFFSET(TH!K$1,SMALL(Dong2,ROWS($1:4)),)),0))</f>
        <v>0</v>
      </c>
      <c r="G15" s="213">
        <f ca="1">IF(ROWS($1:4)&gt;COUNT(Dong2),"",IF(OFFSET(TH!O$1,SMALL(Dong2,ROWS($1:4)),)=$I$6,IF($I$6="1121",OFFSET(TH!M$1,SMALL(Dong2,ROWS($1:4)),),OFFSET(TH!K$1,SMALL(Dong2,ROWS($1:4)),)),0))</f>
        <v>8187032</v>
      </c>
      <c r="H15" s="214">
        <f t="shared" ca="1" si="0"/>
        <v>225847921</v>
      </c>
      <c r="I15" s="214"/>
    </row>
    <row r="16" spans="1:14" s="200" customFormat="1" ht="20.25" customHeight="1">
      <c r="A16" s="212">
        <f ca="1">IF(ROWS($1:5)&gt;COUNT(Dong2),"",OFFSET(TH!C$1,SMALL(Dong2,ROWS($1:5)),))</f>
        <v>42481</v>
      </c>
      <c r="B16" s="212" t="str">
        <f ca="1">IF(ROWS($1:5)&gt;COUNT(Dong2),"",OFFSET(TH!D$1,SMALL(Dong2,ROWS($1:5)),))</f>
        <v>GBN</v>
      </c>
      <c r="C16" s="212">
        <f ca="1">IF(ROWS($1:5)&gt;COUNT(Dong2),"",OFFSET(TH!E$1,SMALL(Dong2,ROWS($1:5)),))</f>
        <v>42481</v>
      </c>
      <c r="D16" s="449" t="str">
        <f ca="1">IF(ROWS($1:5)&gt;COUNT(Dong2),"",OFFSET(TH!F$1,SMALL(Dong2,ROWS($1:5)),))</f>
        <v>Lãi vay</v>
      </c>
      <c r="E16" s="212" t="str">
        <f ca="1">IF(ROWS($1:5)&gt;COUNT(Dong2),"",IF(OFFSET(TH!O$1,SMALL(Dong2,ROWS($1:5)),)=$I$6,OFFSET(TH!N$1,SMALL(Dong2,ROWS($1:5)),),OFFSET(TH!O$1,SMALL(Dong2,ROWS($1:5)),)))</f>
        <v>635</v>
      </c>
      <c r="F16" s="213">
        <f ca="1">IF(ROWS($1:5)&gt;COUNT(Dong2),"",IF(OFFSET(TH!N$1,SMALL(Dong2,ROWS($1:5)),)=$I$6,IF($I$6="1121",OFFSET(TH!M$1,SMALL(Dong2,ROWS($1:5)),),OFFSET(TH!K$1,SMALL(Dong2,ROWS($1:5)),)),0))</f>
        <v>0</v>
      </c>
      <c r="G16" s="213">
        <f ca="1">IF(ROWS($1:5)&gt;COUNT(Dong2),"",IF(OFFSET(TH!O$1,SMALL(Dong2,ROWS($1:5)),)=$I$6,IF($I$6="1121",OFFSET(TH!M$1,SMALL(Dong2,ROWS($1:5)),),OFFSET(TH!K$1,SMALL(Dong2,ROWS($1:5)),)),0))</f>
        <v>16374064</v>
      </c>
      <c r="H16" s="214">
        <f t="shared" ca="1" si="0"/>
        <v>209473857</v>
      </c>
      <c r="I16" s="214"/>
    </row>
    <row r="17" spans="1:9" s="200" customFormat="1" ht="20.25" customHeight="1">
      <c r="A17" s="212">
        <f ca="1">IF(ROWS($1:6)&gt;COUNT(Dong2),"",OFFSET(TH!C$1,SMALL(Dong2,ROWS($1:6)),))</f>
        <v>42481</v>
      </c>
      <c r="B17" s="212" t="str">
        <f ca="1">IF(ROWS($1:6)&gt;COUNT(Dong2),"",OFFSET(TH!D$1,SMALL(Dong2,ROWS($1:6)),))</f>
        <v>GBN</v>
      </c>
      <c r="C17" s="212">
        <f ca="1">IF(ROWS($1:6)&gt;COUNT(Dong2),"",OFFSET(TH!E$1,SMALL(Dong2,ROWS($1:6)),))</f>
        <v>42481</v>
      </c>
      <c r="D17" s="449" t="str">
        <f ca="1">IF(ROWS($1:6)&gt;COUNT(Dong2),"",OFFSET(TH!F$1,SMALL(Dong2,ROWS($1:6)),))</f>
        <v>Lãi vay</v>
      </c>
      <c r="E17" s="212" t="str">
        <f ca="1">IF(ROWS($1:6)&gt;COUNT(Dong2),"",IF(OFFSET(TH!O$1,SMALL(Dong2,ROWS($1:6)),)=$I$6,OFFSET(TH!N$1,SMALL(Dong2,ROWS($1:6)),),OFFSET(TH!O$1,SMALL(Dong2,ROWS($1:6)),)))</f>
        <v>635</v>
      </c>
      <c r="F17" s="213">
        <f ca="1">IF(ROWS($1:6)&gt;COUNT(Dong2),"",IF(OFFSET(TH!N$1,SMALL(Dong2,ROWS($1:6)),)=$I$6,IF($I$6="1121",OFFSET(TH!M$1,SMALL(Dong2,ROWS($1:6)),),OFFSET(TH!K$1,SMALL(Dong2,ROWS($1:6)),)),0))</f>
        <v>0</v>
      </c>
      <c r="G17" s="213">
        <f ca="1">IF(ROWS($1:6)&gt;COUNT(Dong2),"",IF(OFFSET(TH!O$1,SMALL(Dong2,ROWS($1:6)),)=$I$6,IF($I$6="1121",OFFSET(TH!M$1,SMALL(Dong2,ROWS($1:6)),),OFFSET(TH!K$1,SMALL(Dong2,ROWS($1:6)),)),0))</f>
        <v>13099251</v>
      </c>
      <c r="H17" s="214">
        <f t="shared" ca="1" si="0"/>
        <v>196374606</v>
      </c>
      <c r="I17" s="214"/>
    </row>
    <row r="18" spans="1:9" s="200" customFormat="1" ht="20.25" customHeight="1">
      <c r="A18" s="212">
        <f ca="1">IF(ROWS($1:7)&gt;COUNT(Dong2),"",OFFSET(TH!C$1,SMALL(Dong2,ROWS($1:7)),))</f>
        <v>42481</v>
      </c>
      <c r="B18" s="212" t="str">
        <f ca="1">IF(ROWS($1:7)&gt;COUNT(Dong2),"",OFFSET(TH!D$1,SMALL(Dong2,ROWS($1:7)),))</f>
        <v>GBN</v>
      </c>
      <c r="C18" s="212">
        <f ca="1">IF(ROWS($1:7)&gt;COUNT(Dong2),"",OFFSET(TH!E$1,SMALL(Dong2,ROWS($1:7)),))</f>
        <v>42481</v>
      </c>
      <c r="D18" s="449" t="str">
        <f ca="1">IF(ROWS($1:7)&gt;COUNT(Dong2),"",OFFSET(TH!F$1,SMALL(Dong2,ROWS($1:7)),))</f>
        <v>Lãi vay</v>
      </c>
      <c r="E18" s="212" t="str">
        <f ca="1">IF(ROWS($1:7)&gt;COUNT(Dong2),"",IF(OFFSET(TH!O$1,SMALL(Dong2,ROWS($1:7)),)=$I$6,OFFSET(TH!N$1,SMALL(Dong2,ROWS($1:7)),),OFFSET(TH!O$1,SMALL(Dong2,ROWS($1:7)),)))</f>
        <v>635</v>
      </c>
      <c r="F18" s="213">
        <f ca="1">IF(ROWS($1:7)&gt;COUNT(Dong2),"",IF(OFFSET(TH!N$1,SMALL(Dong2,ROWS($1:7)),)=$I$6,IF($I$6="1121",OFFSET(TH!M$1,SMALL(Dong2,ROWS($1:7)),),OFFSET(TH!K$1,SMALL(Dong2,ROWS($1:7)),)),0))</f>
        <v>0</v>
      </c>
      <c r="G18" s="213">
        <f ca="1">IF(ROWS($1:7)&gt;COUNT(Dong2),"",IF(OFFSET(TH!O$1,SMALL(Dong2,ROWS($1:7)),)=$I$6,IF($I$6="1121",OFFSET(TH!M$1,SMALL(Dong2,ROWS($1:7)),),OFFSET(TH!K$1,SMALL(Dong2,ROWS($1:7)),)),0))</f>
        <v>12280547</v>
      </c>
      <c r="H18" s="214">
        <f t="shared" ca="1" si="0"/>
        <v>184094059</v>
      </c>
      <c r="I18" s="214"/>
    </row>
    <row r="19" spans="1:9" s="200" customFormat="1" ht="20.25" customHeight="1">
      <c r="A19" s="212">
        <f ca="1">IF(ROWS($1:8)&gt;COUNT(Dong2),"",OFFSET(TH!C$1,SMALL(Dong2,ROWS($1:8)),))</f>
        <v>42481</v>
      </c>
      <c r="B19" s="212" t="str">
        <f ca="1">IF(ROWS($1:8)&gt;COUNT(Dong2),"",OFFSET(TH!D$1,SMALL(Dong2,ROWS($1:8)),))</f>
        <v>GBN</v>
      </c>
      <c r="C19" s="212">
        <f ca="1">IF(ROWS($1:8)&gt;COUNT(Dong2),"",OFFSET(TH!E$1,SMALL(Dong2,ROWS($1:8)),))</f>
        <v>42481</v>
      </c>
      <c r="D19" s="449" t="str">
        <f ca="1">IF(ROWS($1:8)&gt;COUNT(Dong2),"",OFFSET(TH!F$1,SMALL(Dong2,ROWS($1:8)),))</f>
        <v>Lãi vay</v>
      </c>
      <c r="E19" s="212" t="str">
        <f ca="1">IF(ROWS($1:8)&gt;COUNT(Dong2),"",IF(OFFSET(TH!O$1,SMALL(Dong2,ROWS($1:8)),)=$I$6,OFFSET(TH!N$1,SMALL(Dong2,ROWS($1:8)),),OFFSET(TH!O$1,SMALL(Dong2,ROWS($1:8)),)))</f>
        <v>635</v>
      </c>
      <c r="F19" s="213">
        <f ca="1">IF(ROWS($1:8)&gt;COUNT(Dong2),"",IF(OFFSET(TH!N$1,SMALL(Dong2,ROWS($1:8)),)=$I$6,IF($I$6="1121",OFFSET(TH!M$1,SMALL(Dong2,ROWS($1:8)),),OFFSET(TH!K$1,SMALL(Dong2,ROWS($1:8)),)),0))</f>
        <v>0</v>
      </c>
      <c r="G19" s="213">
        <f ca="1">IF(ROWS($1:8)&gt;COUNT(Dong2),"",IF(OFFSET(TH!O$1,SMALL(Dong2,ROWS($1:8)),)=$I$6,IF($I$6="1121",OFFSET(TH!M$1,SMALL(Dong2,ROWS($1:8)),),OFFSET(TH!K$1,SMALL(Dong2,ROWS($1:8)),)),0))</f>
        <v>8187032</v>
      </c>
      <c r="H19" s="214">
        <f t="shared" ca="1" si="0"/>
        <v>175907027</v>
      </c>
      <c r="I19" s="214"/>
    </row>
    <row r="20" spans="1:9" s="200" customFormat="1" ht="20.25" customHeight="1">
      <c r="A20" s="212">
        <f ca="1">IF(ROWS($1:9)&gt;COUNT(Dong2),"",OFFSET(TH!C$1,SMALL(Dong2,ROWS($1:9)),))</f>
        <v>42481</v>
      </c>
      <c r="B20" s="212" t="str">
        <f ca="1">IF(ROWS($1:9)&gt;COUNT(Dong2),"",OFFSET(TH!D$1,SMALL(Dong2,ROWS($1:9)),))</f>
        <v>GBN</v>
      </c>
      <c r="C20" s="212">
        <f ca="1">IF(ROWS($1:9)&gt;COUNT(Dong2),"",OFFSET(TH!E$1,SMALL(Dong2,ROWS($1:9)),))</f>
        <v>42481</v>
      </c>
      <c r="D20" s="449" t="str">
        <f ca="1">IF(ROWS($1:9)&gt;COUNT(Dong2),"",OFFSET(TH!F$1,SMALL(Dong2,ROWS($1:9)),))</f>
        <v>Lãi vay</v>
      </c>
      <c r="E20" s="212" t="str">
        <f ca="1">IF(ROWS($1:9)&gt;COUNT(Dong2),"",IF(OFFSET(TH!O$1,SMALL(Dong2,ROWS($1:9)),)=$I$6,OFFSET(TH!N$1,SMALL(Dong2,ROWS($1:9)),),OFFSET(TH!O$1,SMALL(Dong2,ROWS($1:9)),)))</f>
        <v>635</v>
      </c>
      <c r="F20" s="213">
        <f ca="1">IF(ROWS($1:9)&gt;COUNT(Dong2),"",IF(OFFSET(TH!N$1,SMALL(Dong2,ROWS($1:9)),)=$I$6,IF($I$6="1121",OFFSET(TH!M$1,SMALL(Dong2,ROWS($1:9)),),OFFSET(TH!K$1,SMALL(Dong2,ROWS($1:9)),)),0))</f>
        <v>0</v>
      </c>
      <c r="G20" s="213">
        <f ca="1">IF(ROWS($1:9)&gt;COUNT(Dong2),"",IF(OFFSET(TH!O$1,SMALL(Dong2,ROWS($1:9)),)=$I$6,IF($I$6="1121",OFFSET(TH!M$1,SMALL(Dong2,ROWS($1:9)),),OFFSET(TH!K$1,SMALL(Dong2,ROWS($1:9)),)),0))</f>
        <v>12280547</v>
      </c>
      <c r="H20" s="214">
        <f t="shared" ca="1" si="0"/>
        <v>163626480</v>
      </c>
      <c r="I20" s="214"/>
    </row>
    <row r="21" spans="1:9" s="200" customFormat="1" ht="20.25" customHeight="1">
      <c r="A21" s="212">
        <f ca="1">IF(ROWS($1:10)&gt;COUNT(Dong2),"",OFFSET(TH!C$1,SMALL(Dong2,ROWS($1:10)),))</f>
        <v>42481</v>
      </c>
      <c r="B21" s="212" t="str">
        <f ca="1">IF(ROWS($1:10)&gt;COUNT(Dong2),"",OFFSET(TH!D$1,SMALL(Dong2,ROWS($1:10)),))</f>
        <v>GBN</v>
      </c>
      <c r="C21" s="212">
        <f ca="1">IF(ROWS($1:10)&gt;COUNT(Dong2),"",OFFSET(TH!E$1,SMALL(Dong2,ROWS($1:10)),))</f>
        <v>42481</v>
      </c>
      <c r="D21" s="449" t="str">
        <f ca="1">IF(ROWS($1:10)&gt;COUNT(Dong2),"",OFFSET(TH!F$1,SMALL(Dong2,ROWS($1:10)),))</f>
        <v>Lãi vay</v>
      </c>
      <c r="E21" s="212" t="str">
        <f ca="1">IF(ROWS($1:10)&gt;COUNT(Dong2),"",IF(OFFSET(TH!O$1,SMALL(Dong2,ROWS($1:10)),)=$I$6,OFFSET(TH!N$1,SMALL(Dong2,ROWS($1:10)),),OFFSET(TH!O$1,SMALL(Dong2,ROWS($1:10)),)))</f>
        <v>635</v>
      </c>
      <c r="F21" s="213">
        <f ca="1">IF(ROWS($1:10)&gt;COUNT(Dong2),"",IF(OFFSET(TH!N$1,SMALL(Dong2,ROWS($1:10)),)=$I$6,IF($I$6="1121",OFFSET(TH!M$1,SMALL(Dong2,ROWS($1:10)),),OFFSET(TH!K$1,SMALL(Dong2,ROWS($1:10)),)),0))</f>
        <v>0</v>
      </c>
      <c r="G21" s="213">
        <f ca="1">IF(ROWS($1:10)&gt;COUNT(Dong2),"",IF(OFFSET(TH!O$1,SMALL(Dong2,ROWS($1:10)),)=$I$6,IF($I$6="1121",OFFSET(TH!M$1,SMALL(Dong2,ROWS($1:10)),),OFFSET(TH!K$1,SMALL(Dong2,ROWS($1:10)),)),0))</f>
        <v>16374064</v>
      </c>
      <c r="H21" s="214">
        <f t="shared" ca="1" si="0"/>
        <v>147252416</v>
      </c>
      <c r="I21" s="214"/>
    </row>
    <row r="22" spans="1:9" s="200" customFormat="1" ht="20.25" customHeight="1">
      <c r="A22" s="212">
        <f ca="1">IF(ROWS($1:11)&gt;COUNT(Dong2),"",OFFSET(TH!C$1,SMALL(Dong2,ROWS($1:11)),))</f>
        <v>42481</v>
      </c>
      <c r="B22" s="212" t="str">
        <f ca="1">IF(ROWS($1:11)&gt;COUNT(Dong2),"",OFFSET(TH!D$1,SMALL(Dong2,ROWS($1:11)),))</f>
        <v>GBN</v>
      </c>
      <c r="C22" s="212">
        <f ca="1">IF(ROWS($1:11)&gt;COUNT(Dong2),"",OFFSET(TH!E$1,SMALL(Dong2,ROWS($1:11)),))</f>
        <v>42481</v>
      </c>
      <c r="D22" s="449" t="str">
        <f ca="1">IF(ROWS($1:11)&gt;COUNT(Dong2),"",OFFSET(TH!F$1,SMALL(Dong2,ROWS($1:11)),))</f>
        <v>Lãi vay</v>
      </c>
      <c r="E22" s="212" t="str">
        <f ca="1">IF(ROWS($1:11)&gt;COUNT(Dong2),"",IF(OFFSET(TH!O$1,SMALL(Dong2,ROWS($1:11)),)=$I$6,OFFSET(TH!N$1,SMALL(Dong2,ROWS($1:11)),),OFFSET(TH!O$1,SMALL(Dong2,ROWS($1:11)),)))</f>
        <v>635</v>
      </c>
      <c r="F22" s="213">
        <f ca="1">IF(ROWS($1:11)&gt;COUNT(Dong2),"",IF(OFFSET(TH!N$1,SMALL(Dong2,ROWS($1:11)),)=$I$6,IF($I$6="1121",OFFSET(TH!M$1,SMALL(Dong2,ROWS($1:11)),),OFFSET(TH!K$1,SMALL(Dong2,ROWS($1:11)),)),0))</f>
        <v>0</v>
      </c>
      <c r="G22" s="213">
        <f ca="1">IF(ROWS($1:11)&gt;COUNT(Dong2),"",IF(OFFSET(TH!O$1,SMALL(Dong2,ROWS($1:11)),)=$I$6,IF($I$6="1121",OFFSET(TH!M$1,SMALL(Dong2,ROWS($1:11)),),OFFSET(TH!K$1,SMALL(Dong2,ROWS($1:11)),)),0))</f>
        <v>11461845</v>
      </c>
      <c r="H22" s="214">
        <f t="shared" ca="1" si="0"/>
        <v>135790571</v>
      </c>
      <c r="I22" s="214"/>
    </row>
    <row r="23" spans="1:9" s="200" customFormat="1" ht="20.25" customHeight="1">
      <c r="A23" s="212">
        <f ca="1">IF(ROWS($1:12)&gt;COUNT(Dong2),"",OFFSET(TH!C$1,SMALL(Dong2,ROWS($1:12)),))</f>
        <v>42481</v>
      </c>
      <c r="B23" s="212" t="str">
        <f ca="1">IF(ROWS($1:12)&gt;COUNT(Dong2),"",OFFSET(TH!D$1,SMALL(Dong2,ROWS($1:12)),))</f>
        <v>GBN</v>
      </c>
      <c r="C23" s="212">
        <f ca="1">IF(ROWS($1:12)&gt;COUNT(Dong2),"",OFFSET(TH!E$1,SMALL(Dong2,ROWS($1:12)),))</f>
        <v>42481</v>
      </c>
      <c r="D23" s="449" t="str">
        <f ca="1">IF(ROWS($1:12)&gt;COUNT(Dong2),"",OFFSET(TH!F$1,SMALL(Dong2,ROWS($1:12)),))</f>
        <v>Lãi vay</v>
      </c>
      <c r="E23" s="212" t="str">
        <f ca="1">IF(ROWS($1:12)&gt;COUNT(Dong2),"",IF(OFFSET(TH!O$1,SMALL(Dong2,ROWS($1:12)),)=$I$6,OFFSET(TH!N$1,SMALL(Dong2,ROWS($1:12)),),OFFSET(TH!O$1,SMALL(Dong2,ROWS($1:12)),)))</f>
        <v>635</v>
      </c>
      <c r="F23" s="213">
        <f ca="1">IF(ROWS($1:12)&gt;COUNT(Dong2),"",IF(OFFSET(TH!N$1,SMALL(Dong2,ROWS($1:12)),)=$I$6,IF($I$6="1121",OFFSET(TH!M$1,SMALL(Dong2,ROWS($1:12)),),OFFSET(TH!K$1,SMALL(Dong2,ROWS($1:12)),)),0))</f>
        <v>0</v>
      </c>
      <c r="G23" s="213">
        <f ca="1">IF(ROWS($1:12)&gt;COUNT(Dong2),"",IF(OFFSET(TH!O$1,SMALL(Dong2,ROWS($1:12)),)=$I$6,IF($I$6="1121",OFFSET(TH!M$1,SMALL(Dong2,ROWS($1:12)),),OFFSET(TH!K$1,SMALL(Dong2,ROWS($1:12)),)),0))</f>
        <v>12280547</v>
      </c>
      <c r="H23" s="214">
        <f t="shared" ca="1" si="0"/>
        <v>123510024</v>
      </c>
      <c r="I23" s="214"/>
    </row>
    <row r="24" spans="1:9" s="200" customFormat="1" ht="20.25" customHeight="1">
      <c r="A24" s="212">
        <f ca="1">IF(ROWS($1:13)&gt;COUNT(Dong2),"",OFFSET(TH!C$1,SMALL(Dong2,ROWS($1:13)),))</f>
        <v>42481</v>
      </c>
      <c r="B24" s="212" t="str">
        <f ca="1">IF(ROWS($1:13)&gt;COUNT(Dong2),"",OFFSET(TH!D$1,SMALL(Dong2,ROWS($1:13)),))</f>
        <v>GBN</v>
      </c>
      <c r="C24" s="212">
        <f ca="1">IF(ROWS($1:13)&gt;COUNT(Dong2),"",OFFSET(TH!E$1,SMALL(Dong2,ROWS($1:13)),))</f>
        <v>42481</v>
      </c>
      <c r="D24" s="449" t="str">
        <f ca="1">IF(ROWS($1:13)&gt;COUNT(Dong2),"",OFFSET(TH!F$1,SMALL(Dong2,ROWS($1:13)),))</f>
        <v>Lãi vay</v>
      </c>
      <c r="E24" s="212" t="str">
        <f ca="1">IF(ROWS($1:13)&gt;COUNT(Dong2),"",IF(OFFSET(TH!O$1,SMALL(Dong2,ROWS($1:13)),)=$I$6,OFFSET(TH!N$1,SMALL(Dong2,ROWS($1:13)),),OFFSET(TH!O$1,SMALL(Dong2,ROWS($1:13)),)))</f>
        <v>635</v>
      </c>
      <c r="F24" s="213">
        <f ca="1">IF(ROWS($1:13)&gt;COUNT(Dong2),"",IF(OFFSET(TH!N$1,SMALL(Dong2,ROWS($1:13)),)=$I$6,IF($I$6="1121",OFFSET(TH!M$1,SMALL(Dong2,ROWS($1:13)),),OFFSET(TH!K$1,SMALL(Dong2,ROWS($1:13)),)),0))</f>
        <v>0</v>
      </c>
      <c r="G24" s="213">
        <f ca="1">IF(ROWS($1:13)&gt;COUNT(Dong2),"",IF(OFFSET(TH!O$1,SMALL(Dong2,ROWS($1:13)),)=$I$6,IF($I$6="1121",OFFSET(TH!M$1,SMALL(Dong2,ROWS($1:13)),),OFFSET(TH!K$1,SMALL(Dong2,ROWS($1:13)),)),0))</f>
        <v>12280547</v>
      </c>
      <c r="H24" s="214">
        <f t="shared" ca="1" si="0"/>
        <v>111229477</v>
      </c>
      <c r="I24" s="214"/>
    </row>
    <row r="25" spans="1:9" s="200" customFormat="1" ht="20.25" customHeight="1">
      <c r="A25" s="212">
        <f ca="1">IF(ROWS($1:14)&gt;COUNT(Dong2),"",OFFSET(TH!C$1,SMALL(Dong2,ROWS($1:14)),))</f>
        <v>42481</v>
      </c>
      <c r="B25" s="212" t="str">
        <f ca="1">IF(ROWS($1:14)&gt;COUNT(Dong2),"",OFFSET(TH!D$1,SMALL(Dong2,ROWS($1:14)),))</f>
        <v>GBN</v>
      </c>
      <c r="C25" s="212">
        <f ca="1">IF(ROWS($1:14)&gt;COUNT(Dong2),"",OFFSET(TH!E$1,SMALL(Dong2,ROWS($1:14)),))</f>
        <v>42481</v>
      </c>
      <c r="D25" s="449" t="str">
        <f ca="1">IF(ROWS($1:14)&gt;COUNT(Dong2),"",OFFSET(TH!F$1,SMALL(Dong2,ROWS($1:14)),))</f>
        <v>Lãi vay</v>
      </c>
      <c r="E25" s="212" t="str">
        <f ca="1">IF(ROWS($1:14)&gt;COUNT(Dong2),"",IF(OFFSET(TH!O$1,SMALL(Dong2,ROWS($1:14)),)=$I$6,OFFSET(TH!N$1,SMALL(Dong2,ROWS($1:14)),),OFFSET(TH!O$1,SMALL(Dong2,ROWS($1:14)),)))</f>
        <v>635</v>
      </c>
      <c r="F25" s="213">
        <f ca="1">IF(ROWS($1:14)&gt;COUNT(Dong2),"",IF(OFFSET(TH!N$1,SMALL(Dong2,ROWS($1:14)),)=$I$6,IF($I$6="1121",OFFSET(TH!M$1,SMALL(Dong2,ROWS($1:14)),),OFFSET(TH!K$1,SMALL(Dong2,ROWS($1:14)),)),0))</f>
        <v>0</v>
      </c>
      <c r="G25" s="213">
        <f ca="1">IF(ROWS($1:14)&gt;COUNT(Dong2),"",IF(OFFSET(TH!O$1,SMALL(Dong2,ROWS($1:14)),)=$I$6,IF($I$6="1121",OFFSET(TH!M$1,SMALL(Dong2,ROWS($1:14)),),OFFSET(TH!K$1,SMALL(Dong2,ROWS($1:14)),)),0))</f>
        <v>12280547</v>
      </c>
      <c r="H25" s="214">
        <f t="shared" ca="1" si="0"/>
        <v>98948930</v>
      </c>
      <c r="I25" s="214"/>
    </row>
    <row r="26" spans="1:9" s="200" customFormat="1" ht="20.25" customHeight="1">
      <c r="A26" s="212">
        <f ca="1">IF(ROWS($1:15)&gt;COUNT(Dong2),"",OFFSET(TH!C$1,SMALL(Dong2,ROWS($1:15)),))</f>
        <v>42481</v>
      </c>
      <c r="B26" s="212" t="str">
        <f ca="1">IF(ROWS($1:15)&gt;COUNT(Dong2),"",OFFSET(TH!D$1,SMALL(Dong2,ROWS($1:15)),))</f>
        <v>GBN</v>
      </c>
      <c r="C26" s="212">
        <f ca="1">IF(ROWS($1:15)&gt;COUNT(Dong2),"",OFFSET(TH!E$1,SMALL(Dong2,ROWS($1:15)),))</f>
        <v>42481</v>
      </c>
      <c r="D26" s="449" t="str">
        <f ca="1">IF(ROWS($1:15)&gt;COUNT(Dong2),"",OFFSET(TH!F$1,SMALL(Dong2,ROWS($1:15)),))</f>
        <v>Lãi vay</v>
      </c>
      <c r="E26" s="212" t="str">
        <f ca="1">IF(ROWS($1:15)&gt;COUNT(Dong2),"",IF(OFFSET(TH!O$1,SMALL(Dong2,ROWS($1:15)),)=$I$6,OFFSET(TH!N$1,SMALL(Dong2,ROWS($1:15)),),OFFSET(TH!O$1,SMALL(Dong2,ROWS($1:15)),)))</f>
        <v>635</v>
      </c>
      <c r="F26" s="213">
        <f ca="1">IF(ROWS($1:15)&gt;COUNT(Dong2),"",IF(OFFSET(TH!N$1,SMALL(Dong2,ROWS($1:15)),)=$I$6,IF($I$6="1121",OFFSET(TH!M$1,SMALL(Dong2,ROWS($1:15)),),OFFSET(TH!K$1,SMALL(Dong2,ROWS($1:15)),)),0))</f>
        <v>0</v>
      </c>
      <c r="G26" s="213">
        <f ca="1">IF(ROWS($1:15)&gt;COUNT(Dong2),"",IF(OFFSET(TH!O$1,SMALL(Dong2,ROWS($1:15)),)=$I$6,IF($I$6="1121",OFFSET(TH!M$1,SMALL(Dong2,ROWS($1:15)),),OFFSET(TH!K$1,SMALL(Dong2,ROWS($1:15)),)),0))</f>
        <v>8187032</v>
      </c>
      <c r="H26" s="214">
        <f t="shared" ca="1" si="0"/>
        <v>90761898</v>
      </c>
      <c r="I26" s="214"/>
    </row>
    <row r="27" spans="1:9" s="200" customFormat="1" ht="20.25" customHeight="1">
      <c r="A27" s="212">
        <f ca="1">IF(ROWS($1:16)&gt;COUNT(Dong2),"",OFFSET(TH!C$1,SMALL(Dong2,ROWS($1:16)),))</f>
        <v>42481</v>
      </c>
      <c r="B27" s="212" t="str">
        <f ca="1">IF(ROWS($1:16)&gt;COUNT(Dong2),"",OFFSET(TH!D$1,SMALL(Dong2,ROWS($1:16)),))</f>
        <v>GBN</v>
      </c>
      <c r="C27" s="212">
        <f ca="1">IF(ROWS($1:16)&gt;COUNT(Dong2),"",OFFSET(TH!E$1,SMALL(Dong2,ROWS($1:16)),))</f>
        <v>42481</v>
      </c>
      <c r="D27" s="449" t="str">
        <f ca="1">IF(ROWS($1:16)&gt;COUNT(Dong2),"",OFFSET(TH!F$1,SMALL(Dong2,ROWS($1:16)),))</f>
        <v>Lãi vay</v>
      </c>
      <c r="E27" s="212" t="str">
        <f ca="1">IF(ROWS($1:16)&gt;COUNT(Dong2),"",IF(OFFSET(TH!O$1,SMALL(Dong2,ROWS($1:16)),)=$I$6,OFFSET(TH!N$1,SMALL(Dong2,ROWS($1:16)),),OFFSET(TH!O$1,SMALL(Dong2,ROWS($1:16)),)))</f>
        <v>635</v>
      </c>
      <c r="F27" s="213">
        <f ca="1">IF(ROWS($1:16)&gt;COUNT(Dong2),"",IF(OFFSET(TH!N$1,SMALL(Dong2,ROWS($1:16)),)=$I$6,IF($I$6="1121",OFFSET(TH!M$1,SMALL(Dong2,ROWS($1:16)),),OFFSET(TH!K$1,SMALL(Dong2,ROWS($1:16)),)),0))</f>
        <v>0</v>
      </c>
      <c r="G27" s="213">
        <f ca="1">IF(ROWS($1:16)&gt;COUNT(Dong2),"",IF(OFFSET(TH!O$1,SMALL(Dong2,ROWS($1:16)),)=$I$6,IF($I$6="1121",OFFSET(TH!M$1,SMALL(Dong2,ROWS($1:16)),),OFFSET(TH!K$1,SMALL(Dong2,ROWS($1:16)),)),0))</f>
        <v>8187032</v>
      </c>
      <c r="H27" s="214">
        <f t="shared" ca="1" si="0"/>
        <v>82574866</v>
      </c>
      <c r="I27" s="214"/>
    </row>
    <row r="28" spans="1:9" s="200" customFormat="1" ht="20.25" customHeight="1">
      <c r="A28" s="212">
        <f ca="1">IF(ROWS($1:17)&gt;COUNT(Dong2),"",OFFSET(TH!C$1,SMALL(Dong2,ROWS($1:17)),))</f>
        <v>42481</v>
      </c>
      <c r="B28" s="212" t="str">
        <f ca="1">IF(ROWS($1:17)&gt;COUNT(Dong2),"",OFFSET(TH!D$1,SMALL(Dong2,ROWS($1:17)),))</f>
        <v>GBN</v>
      </c>
      <c r="C28" s="212">
        <f ca="1">IF(ROWS($1:17)&gt;COUNT(Dong2),"",OFFSET(TH!E$1,SMALL(Dong2,ROWS($1:17)),))</f>
        <v>42481</v>
      </c>
      <c r="D28" s="449" t="str">
        <f ca="1">IF(ROWS($1:17)&gt;COUNT(Dong2),"",OFFSET(TH!F$1,SMALL(Dong2,ROWS($1:17)),))</f>
        <v>Lãi vay</v>
      </c>
      <c r="E28" s="212" t="str">
        <f ca="1">IF(ROWS($1:17)&gt;COUNT(Dong2),"",IF(OFFSET(TH!O$1,SMALL(Dong2,ROWS($1:17)),)=$I$6,OFFSET(TH!N$1,SMALL(Dong2,ROWS($1:17)),),OFFSET(TH!O$1,SMALL(Dong2,ROWS($1:17)),)))</f>
        <v>635</v>
      </c>
      <c r="F28" s="213">
        <f ca="1">IF(ROWS($1:17)&gt;COUNT(Dong2),"",IF(OFFSET(TH!N$1,SMALL(Dong2,ROWS($1:17)),)=$I$6,IF($I$6="1121",OFFSET(TH!M$1,SMALL(Dong2,ROWS($1:17)),),OFFSET(TH!K$1,SMALL(Dong2,ROWS($1:17)),)),0))</f>
        <v>0</v>
      </c>
      <c r="G28" s="213">
        <f ca="1">IF(ROWS($1:17)&gt;COUNT(Dong2),"",IF(OFFSET(TH!O$1,SMALL(Dong2,ROWS($1:17)),)=$I$6,IF($I$6="1121",OFFSET(TH!M$1,SMALL(Dong2,ROWS($1:17)),),OFFSET(TH!K$1,SMALL(Dong2,ROWS($1:17)),)),0))</f>
        <v>6772110</v>
      </c>
      <c r="H28" s="214">
        <f t="shared" ca="1" si="0"/>
        <v>75802756</v>
      </c>
      <c r="I28" s="214"/>
    </row>
    <row r="29" spans="1:9" s="200" customFormat="1" ht="20.25" customHeight="1">
      <c r="A29" s="212">
        <f ca="1">IF(ROWS($1:18)&gt;COUNT(Dong2),"",OFFSET(TH!C$1,SMALL(Dong2,ROWS($1:18)),))</f>
        <v>42481</v>
      </c>
      <c r="B29" s="212" t="str">
        <f ca="1">IF(ROWS($1:18)&gt;COUNT(Dong2),"",OFFSET(TH!D$1,SMALL(Dong2,ROWS($1:18)),))</f>
        <v>GBN</v>
      </c>
      <c r="C29" s="212">
        <f ca="1">IF(ROWS($1:18)&gt;COUNT(Dong2),"",OFFSET(TH!E$1,SMALL(Dong2,ROWS($1:18)),))</f>
        <v>42481</v>
      </c>
      <c r="D29" s="449" t="str">
        <f ca="1">IF(ROWS($1:18)&gt;COUNT(Dong2),"",OFFSET(TH!F$1,SMALL(Dong2,ROWS($1:18)),))</f>
        <v>Lãi vay</v>
      </c>
      <c r="E29" s="212" t="str">
        <f ca="1">IF(ROWS($1:18)&gt;COUNT(Dong2),"",IF(OFFSET(TH!O$1,SMALL(Dong2,ROWS($1:18)),)=$I$6,OFFSET(TH!N$1,SMALL(Dong2,ROWS($1:18)),),OFFSET(TH!O$1,SMALL(Dong2,ROWS($1:18)),)))</f>
        <v>635</v>
      </c>
      <c r="F29" s="213">
        <f ca="1">IF(ROWS($1:18)&gt;COUNT(Dong2),"",IF(OFFSET(TH!N$1,SMALL(Dong2,ROWS($1:18)),)=$I$6,IF($I$6="1121",OFFSET(TH!M$1,SMALL(Dong2,ROWS($1:18)),),OFFSET(TH!K$1,SMALL(Dong2,ROWS($1:18)),)),0))</f>
        <v>0</v>
      </c>
      <c r="G29" s="213">
        <f ca="1">IF(ROWS($1:18)&gt;COUNT(Dong2),"",IF(OFFSET(TH!O$1,SMALL(Dong2,ROWS($1:18)),)=$I$6,IF($I$6="1121",OFFSET(TH!M$1,SMALL(Dong2,ROWS($1:18)),),OFFSET(TH!K$1,SMALL(Dong2,ROWS($1:18)),)),0))</f>
        <v>12280547</v>
      </c>
      <c r="H29" s="214">
        <f t="shared" ca="1" si="0"/>
        <v>63522209</v>
      </c>
      <c r="I29" s="214"/>
    </row>
    <row r="30" spans="1:9" s="200" customFormat="1" ht="20.25" customHeight="1">
      <c r="A30" s="212">
        <f ca="1">IF(ROWS($1:19)&gt;COUNT(Dong2),"",OFFSET(TH!C$1,SMALL(Dong2,ROWS($1:19)),))</f>
        <v>42482</v>
      </c>
      <c r="B30" s="212" t="str">
        <f ca="1">IF(ROWS($1:19)&gt;COUNT(Dong2),"",OFFSET(TH!D$1,SMALL(Dong2,ROWS($1:19)),))</f>
        <v>GBN</v>
      </c>
      <c r="C30" s="212">
        <f ca="1">IF(ROWS($1:19)&gt;COUNT(Dong2),"",OFFSET(TH!E$1,SMALL(Dong2,ROWS($1:19)),))</f>
        <v>42482</v>
      </c>
      <c r="D30" s="449" t="str">
        <f ca="1">IF(ROWS($1:19)&gt;COUNT(Dong2),"",OFFSET(TH!F$1,SMALL(Dong2,ROWS($1:19)),))</f>
        <v>Thanh toán tiền công trình</v>
      </c>
      <c r="E30" s="212" t="str">
        <f ca="1">IF(ROWS($1:19)&gt;COUNT(Dong2),"",IF(OFFSET(TH!O$1,SMALL(Dong2,ROWS($1:19)),)=$I$6,OFFSET(TH!N$1,SMALL(Dong2,ROWS($1:19)),),OFFSET(TH!O$1,SMALL(Dong2,ROWS($1:19)),)))</f>
        <v>331</v>
      </c>
      <c r="F30" s="213">
        <f ca="1">IF(ROWS($1:19)&gt;COUNT(Dong2),"",IF(OFFSET(TH!N$1,SMALL(Dong2,ROWS($1:19)),)=$I$6,IF($I$6="1121",OFFSET(TH!M$1,SMALL(Dong2,ROWS($1:19)),),OFFSET(TH!K$1,SMALL(Dong2,ROWS($1:19)),)),0))</f>
        <v>0</v>
      </c>
      <c r="G30" s="213">
        <f ca="1">IF(ROWS($1:19)&gt;COUNT(Dong2),"",IF(OFFSET(TH!O$1,SMALL(Dong2,ROWS($1:19)),)=$I$6,IF($I$6="1121",OFFSET(TH!M$1,SMALL(Dong2,ROWS($1:19)),),OFFSET(TH!K$1,SMALL(Dong2,ROWS($1:19)),)),0))</f>
        <v>60000000</v>
      </c>
      <c r="H30" s="214">
        <f t="shared" ca="1" si="0"/>
        <v>3522209</v>
      </c>
      <c r="I30" s="214"/>
    </row>
    <row r="31" spans="1:9" s="200" customFormat="1" ht="20.25" customHeight="1">
      <c r="A31" s="212">
        <f ca="1">IF(ROWS($1:20)&gt;COUNT(Dong2),"",OFFSET(TH!C$1,SMALL(Dong2,ROWS($1:20)),))</f>
        <v>42482</v>
      </c>
      <c r="B31" s="212" t="str">
        <f ca="1">IF(ROWS($1:20)&gt;COUNT(Dong2),"",OFFSET(TH!D$1,SMALL(Dong2,ROWS($1:20)),))</f>
        <v>GBN</v>
      </c>
      <c r="C31" s="212">
        <f ca="1">IF(ROWS($1:20)&gt;COUNT(Dong2),"",OFFSET(TH!E$1,SMALL(Dong2,ROWS($1:20)),))</f>
        <v>42482</v>
      </c>
      <c r="D31" s="449" t="str">
        <f ca="1">IF(ROWS($1:20)&gt;COUNT(Dong2),"",OFFSET(TH!F$1,SMALL(Dong2,ROWS($1:20)),))</f>
        <v xml:space="preserve">Phí chuyển tiền </v>
      </c>
      <c r="E31" s="212" t="str">
        <f ca="1">IF(ROWS($1:20)&gt;COUNT(Dong2),"",IF(OFFSET(TH!O$1,SMALL(Dong2,ROWS($1:20)),)=$I$6,OFFSET(TH!N$1,SMALL(Dong2,ROWS($1:20)),),OFFSET(TH!O$1,SMALL(Dong2,ROWS($1:20)),)))</f>
        <v>642</v>
      </c>
      <c r="F31" s="213">
        <f ca="1">IF(ROWS($1:20)&gt;COUNT(Dong2),"",IF(OFFSET(TH!N$1,SMALL(Dong2,ROWS($1:20)),)=$I$6,IF($I$6="1121",OFFSET(TH!M$1,SMALL(Dong2,ROWS($1:20)),),OFFSET(TH!K$1,SMALL(Dong2,ROWS($1:20)),)),0))</f>
        <v>0</v>
      </c>
      <c r="G31" s="213">
        <f ca="1">IF(ROWS($1:20)&gt;COUNT(Dong2),"",IF(OFFSET(TH!O$1,SMALL(Dong2,ROWS($1:20)),)=$I$6,IF($I$6="1121",OFFSET(TH!M$1,SMALL(Dong2,ROWS($1:20)),),OFFSET(TH!K$1,SMALL(Dong2,ROWS($1:20)),)),0))</f>
        <v>50000</v>
      </c>
      <c r="H31" s="214">
        <f t="shared" ca="1" si="0"/>
        <v>3472209</v>
      </c>
      <c r="I31" s="214"/>
    </row>
    <row r="32" spans="1:9" s="200" customFormat="1" ht="20.25" customHeight="1">
      <c r="A32" s="212">
        <f ca="1">IF(ROWS($1:21)&gt;COUNT(Dong2),"",OFFSET(TH!C$1,SMALL(Dong2,ROWS($1:21)),))</f>
        <v>42482</v>
      </c>
      <c r="B32" s="212" t="str">
        <f ca="1">IF(ROWS($1:21)&gt;COUNT(Dong2),"",OFFSET(TH!D$1,SMALL(Dong2,ROWS($1:21)),))</f>
        <v>GBN</v>
      </c>
      <c r="C32" s="212">
        <f ca="1">IF(ROWS($1:21)&gt;COUNT(Dong2),"",OFFSET(TH!E$1,SMALL(Dong2,ROWS($1:21)),))</f>
        <v>42482</v>
      </c>
      <c r="D32" s="449" t="str">
        <f ca="1">IF(ROWS($1:21)&gt;COUNT(Dong2),"",OFFSET(TH!F$1,SMALL(Dong2,ROWS($1:21)),))</f>
        <v xml:space="preserve">VAT Phí chuyển tiền </v>
      </c>
      <c r="E32" s="212" t="str">
        <f ca="1">IF(ROWS($1:21)&gt;COUNT(Dong2),"",IF(OFFSET(TH!O$1,SMALL(Dong2,ROWS($1:21)),)=$I$6,OFFSET(TH!N$1,SMALL(Dong2,ROWS($1:21)),),OFFSET(TH!O$1,SMALL(Dong2,ROWS($1:21)),)))</f>
        <v>1331</v>
      </c>
      <c r="F32" s="213">
        <f ca="1">IF(ROWS($1:21)&gt;COUNT(Dong2),"",IF(OFFSET(TH!N$1,SMALL(Dong2,ROWS($1:21)),)=$I$6,IF($I$6="1121",OFFSET(TH!M$1,SMALL(Dong2,ROWS($1:21)),),OFFSET(TH!K$1,SMALL(Dong2,ROWS($1:21)),)),0))</f>
        <v>0</v>
      </c>
      <c r="G32" s="213">
        <f ca="1">IF(ROWS($1:21)&gt;COUNT(Dong2),"",IF(OFFSET(TH!O$1,SMALL(Dong2,ROWS($1:21)),)=$I$6,IF($I$6="1121",OFFSET(TH!M$1,SMALL(Dong2,ROWS($1:21)),),OFFSET(TH!K$1,SMALL(Dong2,ROWS($1:21)),)),0))</f>
        <v>5000</v>
      </c>
      <c r="H32" s="214">
        <f t="shared" ca="1" si="0"/>
        <v>3467209</v>
      </c>
      <c r="I32" s="214"/>
    </row>
    <row r="33" spans="1:9" s="200" customFormat="1" ht="20.25" customHeight="1">
      <c r="A33" s="212">
        <f ca="1">IF(ROWS($1:22)&gt;COUNT(Dong2),"",OFFSET(TH!C$1,SMALL(Dong2,ROWS($1:22)),))</f>
        <v>42487</v>
      </c>
      <c r="B33" s="212" t="str">
        <f ca="1">IF(ROWS($1:22)&gt;COUNT(Dong2),"",OFFSET(TH!D$1,SMALL(Dong2,ROWS($1:22)),))</f>
        <v>C24</v>
      </c>
      <c r="C33" s="212">
        <f ca="1">IF(ROWS($1:22)&gt;COUNT(Dong2),"",OFFSET(TH!E$1,SMALL(Dong2,ROWS($1:22)),))</f>
        <v>42487</v>
      </c>
      <c r="D33" s="449" t="str">
        <f ca="1">IF(ROWS($1:22)&gt;COUNT(Dong2),"",OFFSET(TH!F$1,SMALL(Dong2,ROWS($1:22)),))</f>
        <v>Q4 - Nộp tiền mặt</v>
      </c>
      <c r="E33" s="212" t="str">
        <f ca="1">IF(ROWS($1:22)&gt;COUNT(Dong2),"",IF(OFFSET(TH!O$1,SMALL(Dong2,ROWS($1:22)),)=$I$6,OFFSET(TH!N$1,SMALL(Dong2,ROWS($1:22)),),OFFSET(TH!O$1,SMALL(Dong2,ROWS($1:22)),)))</f>
        <v>1111</v>
      </c>
      <c r="F33" s="213">
        <f ca="1">IF(ROWS($1:22)&gt;COUNT(Dong2),"",IF(OFFSET(TH!N$1,SMALL(Dong2,ROWS($1:22)),)=$I$6,IF($I$6="1121",OFFSET(TH!M$1,SMALL(Dong2,ROWS($1:22)),),OFFSET(TH!K$1,SMALL(Dong2,ROWS($1:22)),)),0))</f>
        <v>47000000</v>
      </c>
      <c r="G33" s="213">
        <f ca="1">IF(ROWS($1:22)&gt;COUNT(Dong2),"",IF(OFFSET(TH!O$1,SMALL(Dong2,ROWS($1:22)),)=$I$6,IF($I$6="1121",OFFSET(TH!M$1,SMALL(Dong2,ROWS($1:22)),),OFFSET(TH!K$1,SMALL(Dong2,ROWS($1:22)),)),0))</f>
        <v>0</v>
      </c>
      <c r="H33" s="214">
        <f t="shared" ca="1" si="0"/>
        <v>50467209</v>
      </c>
      <c r="I33" s="214"/>
    </row>
    <row r="34" spans="1:9" s="200" customFormat="1" ht="20.25" customHeight="1">
      <c r="A34" s="212">
        <f ca="1">IF(ROWS($1:23)&gt;COUNT(Dong2),"",OFFSET(TH!C$1,SMALL(Dong2,ROWS($1:23)),))</f>
        <v>42487</v>
      </c>
      <c r="B34" s="212" t="str">
        <f ca="1">IF(ROWS($1:23)&gt;COUNT(Dong2),"",OFFSET(TH!D$1,SMALL(Dong2,ROWS($1:23)),))</f>
        <v>GBN</v>
      </c>
      <c r="C34" s="212">
        <f ca="1">IF(ROWS($1:23)&gt;COUNT(Dong2),"",OFFSET(TH!E$1,SMALL(Dong2,ROWS($1:23)),))</f>
        <v>42487</v>
      </c>
      <c r="D34" s="449" t="str">
        <f ca="1">IF(ROWS($1:23)&gt;COUNT(Dong2),"",OFFSET(TH!F$1,SMALL(Dong2,ROWS($1:23)),))</f>
        <v>Thanh toán tiền điện kỳ 2 tháng 3</v>
      </c>
      <c r="E34" s="212" t="str">
        <f ca="1">IF(ROWS($1:23)&gt;COUNT(Dong2),"",IF(OFFSET(TH!O$1,SMALL(Dong2,ROWS($1:23)),)=$I$6,OFFSET(TH!N$1,SMALL(Dong2,ROWS($1:23)),),OFFSET(TH!O$1,SMALL(Dong2,ROWS($1:23)),)))</f>
        <v>331</v>
      </c>
      <c r="F34" s="213">
        <f ca="1">IF(ROWS($1:23)&gt;COUNT(Dong2),"",IF(OFFSET(TH!N$1,SMALL(Dong2,ROWS($1:23)),)=$I$6,IF($I$6="1121",OFFSET(TH!M$1,SMALL(Dong2,ROWS($1:23)),),OFFSET(TH!K$1,SMALL(Dong2,ROWS($1:23)),)),0))</f>
        <v>0</v>
      </c>
      <c r="G34" s="213">
        <f ca="1">IF(ROWS($1:23)&gt;COUNT(Dong2),"",IF(OFFSET(TH!O$1,SMALL(Dong2,ROWS($1:23)),)=$I$6,IF($I$6="1121",OFFSET(TH!M$1,SMALL(Dong2,ROWS($1:23)),),OFFSET(TH!K$1,SMALL(Dong2,ROWS($1:23)),)),0))</f>
        <v>46697530</v>
      </c>
      <c r="H34" s="214">
        <f t="shared" ca="1" si="0"/>
        <v>3769679</v>
      </c>
      <c r="I34" s="214"/>
    </row>
    <row r="35" spans="1:9" s="200" customFormat="1" ht="20.25" customHeight="1">
      <c r="A35" s="212">
        <f ca="1">IF(ROWS($1:24)&gt;COUNT(Dong2),"",OFFSET(TH!C$1,SMALL(Dong2,ROWS($1:24)),))</f>
        <v>42487</v>
      </c>
      <c r="B35" s="212" t="str">
        <f ca="1">IF(ROWS($1:24)&gt;COUNT(Dong2),"",OFFSET(TH!D$1,SMALL(Dong2,ROWS($1:24)),))</f>
        <v>GBN</v>
      </c>
      <c r="C35" s="212">
        <f ca="1">IF(ROWS($1:24)&gt;COUNT(Dong2),"",OFFSET(TH!E$1,SMALL(Dong2,ROWS($1:24)),))</f>
        <v>42487</v>
      </c>
      <c r="D35" s="449" t="str">
        <f ca="1">IF(ROWS($1:24)&gt;COUNT(Dong2),"",OFFSET(TH!F$1,SMALL(Dong2,ROWS($1:24)),))</f>
        <v xml:space="preserve">Phí chuyển tiền </v>
      </c>
      <c r="E35" s="212" t="str">
        <f ca="1">IF(ROWS($1:24)&gt;COUNT(Dong2),"",IF(OFFSET(TH!O$1,SMALL(Dong2,ROWS($1:24)),)=$I$6,OFFSET(TH!N$1,SMALL(Dong2,ROWS($1:24)),),OFFSET(TH!O$1,SMALL(Dong2,ROWS($1:24)),)))</f>
        <v>642</v>
      </c>
      <c r="F35" s="213">
        <f ca="1">IF(ROWS($1:24)&gt;COUNT(Dong2),"",IF(OFFSET(TH!N$1,SMALL(Dong2,ROWS($1:24)),)=$I$6,IF($I$6="1121",OFFSET(TH!M$1,SMALL(Dong2,ROWS($1:24)),),OFFSET(TH!K$1,SMALL(Dong2,ROWS($1:24)),)),0))</f>
        <v>0</v>
      </c>
      <c r="G35" s="213">
        <f ca="1">IF(ROWS($1:24)&gt;COUNT(Dong2),"",IF(OFFSET(TH!O$1,SMALL(Dong2,ROWS($1:24)),)=$I$6,IF($I$6="1121",OFFSET(TH!M$1,SMALL(Dong2,ROWS($1:24)),),OFFSET(TH!K$1,SMALL(Dong2,ROWS($1:24)),)),0))</f>
        <v>45000</v>
      </c>
      <c r="H35" s="214">
        <f t="shared" ca="1" si="0"/>
        <v>3724679</v>
      </c>
      <c r="I35" s="214"/>
    </row>
    <row r="36" spans="1:9" s="200" customFormat="1" ht="20.25" customHeight="1">
      <c r="A36" s="212">
        <f ca="1">IF(ROWS($1:25)&gt;COUNT(Dong2),"",OFFSET(TH!C$1,SMALL(Dong2,ROWS($1:25)),))</f>
        <v>42487</v>
      </c>
      <c r="B36" s="212" t="str">
        <f ca="1">IF(ROWS($1:25)&gt;COUNT(Dong2),"",OFFSET(TH!D$1,SMALL(Dong2,ROWS($1:25)),))</f>
        <v>GBN</v>
      </c>
      <c r="C36" s="212">
        <f ca="1">IF(ROWS($1:25)&gt;COUNT(Dong2),"",OFFSET(TH!E$1,SMALL(Dong2,ROWS($1:25)),))</f>
        <v>42487</v>
      </c>
      <c r="D36" s="449" t="str">
        <f ca="1">IF(ROWS($1:25)&gt;COUNT(Dong2),"",OFFSET(TH!F$1,SMALL(Dong2,ROWS($1:25)),))</f>
        <v xml:space="preserve">VAT Phí chuyển tiền </v>
      </c>
      <c r="E36" s="212" t="str">
        <f ca="1">IF(ROWS($1:25)&gt;COUNT(Dong2),"",IF(OFFSET(TH!O$1,SMALL(Dong2,ROWS($1:25)),)=$I$6,OFFSET(TH!N$1,SMALL(Dong2,ROWS($1:25)),),OFFSET(TH!O$1,SMALL(Dong2,ROWS($1:25)),)))</f>
        <v>1331</v>
      </c>
      <c r="F36" s="213">
        <f ca="1">IF(ROWS($1:25)&gt;COUNT(Dong2),"",IF(OFFSET(TH!N$1,SMALL(Dong2,ROWS($1:25)),)=$I$6,IF($I$6="1121",OFFSET(TH!M$1,SMALL(Dong2,ROWS($1:25)),),OFFSET(TH!K$1,SMALL(Dong2,ROWS($1:25)),)),0))</f>
        <v>0</v>
      </c>
      <c r="G36" s="213">
        <f ca="1">IF(ROWS($1:25)&gt;COUNT(Dong2),"",IF(OFFSET(TH!O$1,SMALL(Dong2,ROWS($1:25)),)=$I$6,IF($I$6="1121",OFFSET(TH!M$1,SMALL(Dong2,ROWS($1:25)),),OFFSET(TH!K$1,SMALL(Dong2,ROWS($1:25)),)),0))</f>
        <v>4500</v>
      </c>
      <c r="H36" s="214">
        <f t="shared" ca="1" si="0"/>
        <v>3720179</v>
      </c>
      <c r="I36" s="214"/>
    </row>
    <row r="37" spans="1:9" s="200" customFormat="1" ht="20.25" customHeight="1">
      <c r="A37" s="212">
        <f ca="1">IF(ROWS($1:26)&gt;COUNT(Dong2),"",OFFSET(TH!C$1,SMALL(Dong2,ROWS($1:26)),))</f>
        <v>42494</v>
      </c>
      <c r="B37" s="212" t="str">
        <f ca="1">IF(ROWS($1:26)&gt;COUNT(Dong2),"",OFFSET(TH!D$1,SMALL(Dong2,ROWS($1:26)),))</f>
        <v>GBC</v>
      </c>
      <c r="C37" s="212">
        <f ca="1">IF(ROWS($1:26)&gt;COUNT(Dong2),"",OFFSET(TH!E$1,SMALL(Dong2,ROWS($1:26)),))</f>
        <v>42494</v>
      </c>
      <c r="D37" s="449" t="str">
        <f ca="1">IF(ROWS($1:26)&gt;COUNT(Dong2),"",OFFSET(TH!F$1,SMALL(Dong2,ROWS($1:26)),))</f>
        <v>Ứng vốn</v>
      </c>
      <c r="E37" s="212" t="str">
        <f ca="1">IF(ROWS($1:26)&gt;COUNT(Dong2),"",IF(OFFSET(TH!O$1,SMALL(Dong2,ROWS($1:26)),)=$I$6,OFFSET(TH!N$1,SMALL(Dong2,ROWS($1:26)),),OFFSET(TH!O$1,SMALL(Dong2,ROWS($1:26)),)))</f>
        <v>1388</v>
      </c>
      <c r="F37" s="213">
        <f ca="1">IF(ROWS($1:26)&gt;COUNT(Dong2),"",IF(OFFSET(TH!N$1,SMALL(Dong2,ROWS($1:26)),)=$I$6,IF($I$6="1121",OFFSET(TH!M$1,SMALL(Dong2,ROWS($1:26)),),OFFSET(TH!K$1,SMALL(Dong2,ROWS($1:26)),)),0))</f>
        <v>95000000</v>
      </c>
      <c r="G37" s="213">
        <f ca="1">IF(ROWS($1:26)&gt;COUNT(Dong2),"",IF(OFFSET(TH!O$1,SMALL(Dong2,ROWS($1:26)),)=$I$6,IF($I$6="1121",OFFSET(TH!M$1,SMALL(Dong2,ROWS($1:26)),),OFFSET(TH!K$1,SMALL(Dong2,ROWS($1:26)),)),0))</f>
        <v>0</v>
      </c>
      <c r="H37" s="214">
        <f t="shared" ca="1" si="0"/>
        <v>98720179</v>
      </c>
      <c r="I37" s="214"/>
    </row>
    <row r="38" spans="1:9" s="200" customFormat="1" ht="20.25" customHeight="1">
      <c r="A38" s="212">
        <f ca="1">IF(ROWS($1:27)&gt;COUNT(Dong2),"",OFFSET(TH!C$1,SMALL(Dong2,ROWS($1:27)),))</f>
        <v>42494</v>
      </c>
      <c r="B38" s="212" t="str">
        <f ca="1">IF(ROWS($1:27)&gt;COUNT(Dong2),"",OFFSET(TH!D$1,SMALL(Dong2,ROWS($1:27)),))</f>
        <v>GBN</v>
      </c>
      <c r="C38" s="212">
        <f ca="1">IF(ROWS($1:27)&gt;COUNT(Dong2),"",OFFSET(TH!E$1,SMALL(Dong2,ROWS($1:27)),))</f>
        <v>42494</v>
      </c>
      <c r="D38" s="449" t="str">
        <f ca="1">IF(ROWS($1:27)&gt;COUNT(Dong2),"",OFFSET(TH!F$1,SMALL(Dong2,ROWS($1:27)),))</f>
        <v>Thanh toán tiền điện kỳ 1&amp;2 tháng 4</v>
      </c>
      <c r="E38" s="212" t="str">
        <f ca="1">IF(ROWS($1:27)&gt;COUNT(Dong2),"",IF(OFFSET(TH!O$1,SMALL(Dong2,ROWS($1:27)),)=$I$6,OFFSET(TH!N$1,SMALL(Dong2,ROWS($1:27)),),OFFSET(TH!O$1,SMALL(Dong2,ROWS($1:27)),)))</f>
        <v>331</v>
      </c>
      <c r="F38" s="213">
        <f ca="1">IF(ROWS($1:27)&gt;COUNT(Dong2),"",IF(OFFSET(TH!N$1,SMALL(Dong2,ROWS($1:27)),)=$I$6,IF($I$6="1121",OFFSET(TH!M$1,SMALL(Dong2,ROWS($1:27)),),OFFSET(TH!K$1,SMALL(Dong2,ROWS($1:27)),)),0))</f>
        <v>0</v>
      </c>
      <c r="G38" s="213">
        <f ca="1">IF(ROWS($1:27)&gt;COUNT(Dong2),"",IF(OFFSET(TH!O$1,SMALL(Dong2,ROWS($1:27)),)=$I$6,IF($I$6="1121",OFFSET(TH!M$1,SMALL(Dong2,ROWS($1:27)),),OFFSET(TH!K$1,SMALL(Dong2,ROWS($1:27)),)),0))</f>
        <v>92467100</v>
      </c>
      <c r="H38" s="214">
        <f t="shared" ca="1" si="0"/>
        <v>6253079</v>
      </c>
      <c r="I38" s="214"/>
    </row>
    <row r="39" spans="1:9" s="200" customFormat="1" ht="20.25" customHeight="1">
      <c r="A39" s="212">
        <f ca="1">IF(ROWS($1:28)&gt;COUNT(Dong2),"",OFFSET(TH!C$1,SMALL(Dong2,ROWS($1:28)),))</f>
        <v>42494</v>
      </c>
      <c r="B39" s="212" t="str">
        <f ca="1">IF(ROWS($1:28)&gt;COUNT(Dong2),"",OFFSET(TH!D$1,SMALL(Dong2,ROWS($1:28)),))</f>
        <v>GBN</v>
      </c>
      <c r="C39" s="212">
        <f ca="1">IF(ROWS($1:28)&gt;COUNT(Dong2),"",OFFSET(TH!E$1,SMALL(Dong2,ROWS($1:28)),))</f>
        <v>42494</v>
      </c>
      <c r="D39" s="449" t="str">
        <f ca="1">IF(ROWS($1:28)&gt;COUNT(Dong2),"",OFFSET(TH!F$1,SMALL(Dong2,ROWS($1:28)),))</f>
        <v xml:space="preserve">Phí chuyển tiền </v>
      </c>
      <c r="E39" s="212" t="str">
        <f ca="1">IF(ROWS($1:28)&gt;COUNT(Dong2),"",IF(OFFSET(TH!O$1,SMALL(Dong2,ROWS($1:28)),)=$I$6,OFFSET(TH!N$1,SMALL(Dong2,ROWS($1:28)),),OFFSET(TH!O$1,SMALL(Dong2,ROWS($1:28)),)))</f>
        <v>642</v>
      </c>
      <c r="F39" s="213">
        <f ca="1">IF(ROWS($1:28)&gt;COUNT(Dong2),"",IF(OFFSET(TH!N$1,SMALL(Dong2,ROWS($1:28)),)=$I$6,IF($I$6="1121",OFFSET(TH!M$1,SMALL(Dong2,ROWS($1:28)),),OFFSET(TH!K$1,SMALL(Dong2,ROWS($1:28)),)),0))</f>
        <v>0</v>
      </c>
      <c r="G39" s="213">
        <f ca="1">IF(ROWS($1:28)&gt;COUNT(Dong2),"",IF(OFFSET(TH!O$1,SMALL(Dong2,ROWS($1:28)),)=$I$6,IF($I$6="1121",OFFSET(TH!M$1,SMALL(Dong2,ROWS($1:28)),),OFFSET(TH!K$1,SMALL(Dong2,ROWS($1:28)),)),0))</f>
        <v>46234</v>
      </c>
      <c r="H39" s="214">
        <f t="shared" ca="1" si="0"/>
        <v>6206845</v>
      </c>
      <c r="I39" s="214"/>
    </row>
    <row r="40" spans="1:9" s="200" customFormat="1" ht="20.25" customHeight="1">
      <c r="A40" s="212">
        <f ca="1">IF(ROWS($1:29)&gt;COUNT(Dong2),"",OFFSET(TH!C$1,SMALL(Dong2,ROWS($1:29)),))</f>
        <v>42494</v>
      </c>
      <c r="B40" s="212" t="str">
        <f ca="1">IF(ROWS($1:29)&gt;COUNT(Dong2),"",OFFSET(TH!D$1,SMALL(Dong2,ROWS($1:29)),))</f>
        <v>GBN</v>
      </c>
      <c r="C40" s="212">
        <f ca="1">IF(ROWS($1:29)&gt;COUNT(Dong2),"",OFFSET(TH!E$1,SMALL(Dong2,ROWS($1:29)),))</f>
        <v>42494</v>
      </c>
      <c r="D40" s="449" t="str">
        <f ca="1">IF(ROWS($1:29)&gt;COUNT(Dong2),"",OFFSET(TH!F$1,SMALL(Dong2,ROWS($1:29)),))</f>
        <v xml:space="preserve">VAT Phí chuyển tiền </v>
      </c>
      <c r="E40" s="212" t="str">
        <f ca="1">IF(ROWS($1:29)&gt;COUNT(Dong2),"",IF(OFFSET(TH!O$1,SMALL(Dong2,ROWS($1:29)),)=$I$6,OFFSET(TH!N$1,SMALL(Dong2,ROWS($1:29)),),OFFSET(TH!O$1,SMALL(Dong2,ROWS($1:29)),)))</f>
        <v>1331</v>
      </c>
      <c r="F40" s="213">
        <f ca="1">IF(ROWS($1:29)&gt;COUNT(Dong2),"",IF(OFFSET(TH!N$1,SMALL(Dong2,ROWS($1:29)),)=$I$6,IF($I$6="1121",OFFSET(TH!M$1,SMALL(Dong2,ROWS($1:29)),),OFFSET(TH!K$1,SMALL(Dong2,ROWS($1:29)),)),0))</f>
        <v>0</v>
      </c>
      <c r="G40" s="213">
        <f ca="1">IF(ROWS($1:29)&gt;COUNT(Dong2),"",IF(OFFSET(TH!O$1,SMALL(Dong2,ROWS($1:29)),)=$I$6,IF($I$6="1121",OFFSET(TH!M$1,SMALL(Dong2,ROWS($1:29)),),OFFSET(TH!K$1,SMALL(Dong2,ROWS($1:29)),)),0))</f>
        <v>4623</v>
      </c>
      <c r="H40" s="214">
        <f t="shared" ca="1" si="0"/>
        <v>6202222</v>
      </c>
      <c r="I40" s="214"/>
    </row>
    <row r="41" spans="1:9" s="200" customFormat="1" ht="20.25" customHeight="1">
      <c r="A41" s="212">
        <f ca="1">IF(ROWS($1:30)&gt;COUNT(Dong2),"",OFFSET(TH!C$1,SMALL(Dong2,ROWS($1:30)),))</f>
        <v>42509</v>
      </c>
      <c r="B41" s="212" t="str">
        <f ca="1">IF(ROWS($1:30)&gt;COUNT(Dong2),"",OFFSET(TH!D$1,SMALL(Dong2,ROWS($1:30)),))</f>
        <v>GBC</v>
      </c>
      <c r="C41" s="212">
        <f ca="1">IF(ROWS($1:30)&gt;COUNT(Dong2),"",OFFSET(TH!E$1,SMALL(Dong2,ROWS($1:30)),))</f>
        <v>42509</v>
      </c>
      <c r="D41" s="449" t="str">
        <f ca="1">IF(ROWS($1:30)&gt;COUNT(Dong2),"",OFFSET(TH!F$1,SMALL(Dong2,ROWS($1:30)),))</f>
        <v>Ứng vốn</v>
      </c>
      <c r="E41" s="212" t="str">
        <f ca="1">IF(ROWS($1:30)&gt;COUNT(Dong2),"",IF(OFFSET(TH!O$1,SMALL(Dong2,ROWS($1:30)),)=$I$6,OFFSET(TH!N$1,SMALL(Dong2,ROWS($1:30)),),OFFSET(TH!O$1,SMALL(Dong2,ROWS($1:30)),)))</f>
        <v>1388</v>
      </c>
      <c r="F41" s="213">
        <f ca="1">IF(ROWS($1:30)&gt;COUNT(Dong2),"",IF(OFFSET(TH!N$1,SMALL(Dong2,ROWS($1:30)),)=$I$6,IF($I$6="1121",OFFSET(TH!M$1,SMALL(Dong2,ROWS($1:30)),),OFFSET(TH!K$1,SMALL(Dong2,ROWS($1:30)),)),0))</f>
        <v>14000000</v>
      </c>
      <c r="G41" s="213">
        <f ca="1">IF(ROWS($1:30)&gt;COUNT(Dong2),"",IF(OFFSET(TH!O$1,SMALL(Dong2,ROWS($1:30)),)=$I$6,IF($I$6="1121",OFFSET(TH!M$1,SMALL(Dong2,ROWS($1:30)),),OFFSET(TH!K$1,SMALL(Dong2,ROWS($1:30)),)),0))</f>
        <v>0</v>
      </c>
      <c r="H41" s="214">
        <f t="shared" ca="1" si="0"/>
        <v>20202222</v>
      </c>
      <c r="I41" s="214"/>
    </row>
    <row r="42" spans="1:9" s="200" customFormat="1" ht="20.25" customHeight="1">
      <c r="A42" s="212">
        <f ca="1">IF(ROWS($1:31)&gt;COUNT(Dong2),"",OFFSET(TH!C$1,SMALL(Dong2,ROWS($1:31)),))</f>
        <v>42509</v>
      </c>
      <c r="B42" s="212" t="str">
        <f ca="1">IF(ROWS($1:31)&gt;COUNT(Dong2),"",OFFSET(TH!D$1,SMALL(Dong2,ROWS($1:31)),))</f>
        <v>GBN</v>
      </c>
      <c r="C42" s="212">
        <f ca="1">IF(ROWS($1:31)&gt;COUNT(Dong2),"",OFFSET(TH!E$1,SMALL(Dong2,ROWS($1:31)),))</f>
        <v>42509</v>
      </c>
      <c r="D42" s="449" t="str">
        <f ca="1">IF(ROWS($1:31)&gt;COUNT(Dong2),"",OFFSET(TH!F$1,SMALL(Dong2,ROWS($1:31)),))</f>
        <v>Lãi vay</v>
      </c>
      <c r="E42" s="212" t="str">
        <f ca="1">IF(ROWS($1:31)&gt;COUNT(Dong2),"",IF(OFFSET(TH!O$1,SMALL(Dong2,ROWS($1:31)),)=$I$6,OFFSET(TH!N$1,SMALL(Dong2,ROWS($1:31)),),OFFSET(TH!O$1,SMALL(Dong2,ROWS($1:31)),)))</f>
        <v>635</v>
      </c>
      <c r="F42" s="213">
        <f ca="1">IF(ROWS($1:31)&gt;COUNT(Dong2),"",IF(OFFSET(TH!N$1,SMALL(Dong2,ROWS($1:31)),)=$I$6,IF($I$6="1121",OFFSET(TH!M$1,SMALL(Dong2,ROWS($1:31)),),OFFSET(TH!K$1,SMALL(Dong2,ROWS($1:31)),)),0))</f>
        <v>0</v>
      </c>
      <c r="G42" s="213">
        <f ca="1">IF(ROWS($1:31)&gt;COUNT(Dong2),"",IF(OFFSET(TH!O$1,SMALL(Dong2,ROWS($1:31)),)=$I$6,IF($I$6="1121",OFFSET(TH!M$1,SMALL(Dong2,ROWS($1:31)),),OFFSET(TH!K$1,SMALL(Dong2,ROWS($1:31)),)),0))</f>
        <v>6557460</v>
      </c>
      <c r="H42" s="214">
        <f t="shared" ca="1" si="0"/>
        <v>13644762</v>
      </c>
      <c r="I42" s="214"/>
    </row>
    <row r="43" spans="1:9" s="200" customFormat="1" ht="20.25" customHeight="1">
      <c r="A43" s="212">
        <f ca="1">IF(ROWS($1:32)&gt;COUNT(Dong2),"",OFFSET(TH!C$1,SMALL(Dong2,ROWS($1:32)),))</f>
        <v>42515</v>
      </c>
      <c r="B43" s="212" t="str">
        <f ca="1">IF(ROWS($1:32)&gt;COUNT(Dong2),"",OFFSET(TH!D$1,SMALL(Dong2,ROWS($1:32)),))</f>
        <v>GBC</v>
      </c>
      <c r="C43" s="212">
        <f ca="1">IF(ROWS($1:32)&gt;COUNT(Dong2),"",OFFSET(TH!E$1,SMALL(Dong2,ROWS($1:32)),))</f>
        <v>42515</v>
      </c>
      <c r="D43" s="449" t="str">
        <f ca="1">IF(ROWS($1:32)&gt;COUNT(Dong2),"",OFFSET(TH!F$1,SMALL(Dong2,ROWS($1:32)),))</f>
        <v>Ứng vốn</v>
      </c>
      <c r="E43" s="212" t="str">
        <f ca="1">IF(ROWS($1:32)&gt;COUNT(Dong2),"",IF(OFFSET(TH!O$1,SMALL(Dong2,ROWS($1:32)),)=$I$6,OFFSET(TH!N$1,SMALL(Dong2,ROWS($1:32)),),OFFSET(TH!O$1,SMALL(Dong2,ROWS($1:32)),)))</f>
        <v>1388</v>
      </c>
      <c r="F43" s="213">
        <f ca="1">IF(ROWS($1:32)&gt;COUNT(Dong2),"",IF(OFFSET(TH!N$1,SMALL(Dong2,ROWS($1:32)),)=$I$6,IF($I$6="1121",OFFSET(TH!M$1,SMALL(Dong2,ROWS($1:32)),),OFFSET(TH!K$1,SMALL(Dong2,ROWS($1:32)),)),0))</f>
        <v>85000000</v>
      </c>
      <c r="G43" s="213">
        <f ca="1">IF(ROWS($1:32)&gt;COUNT(Dong2),"",IF(OFFSET(TH!O$1,SMALL(Dong2,ROWS($1:32)),)=$I$6,IF($I$6="1121",OFFSET(TH!M$1,SMALL(Dong2,ROWS($1:32)),),OFFSET(TH!K$1,SMALL(Dong2,ROWS($1:32)),)),0))</f>
        <v>0</v>
      </c>
      <c r="H43" s="214">
        <f t="shared" ca="1" si="0"/>
        <v>98644762</v>
      </c>
      <c r="I43" s="214"/>
    </row>
    <row r="44" spans="1:9" s="200" customFormat="1" ht="20.25" customHeight="1">
      <c r="A44" s="212">
        <f ca="1">IF(ROWS($1:33)&gt;COUNT(Dong2),"",OFFSET(TH!C$1,SMALL(Dong2,ROWS($1:33)),))</f>
        <v>42515</v>
      </c>
      <c r="B44" s="212" t="str">
        <f ca="1">IF(ROWS($1:33)&gt;COUNT(Dong2),"",OFFSET(TH!D$1,SMALL(Dong2,ROWS($1:33)),))</f>
        <v>C35</v>
      </c>
      <c r="C44" s="212">
        <f ca="1">IF(ROWS($1:33)&gt;COUNT(Dong2),"",OFFSET(TH!E$1,SMALL(Dong2,ROWS($1:33)),))</f>
        <v>42515</v>
      </c>
      <c r="D44" s="449" t="str">
        <f ca="1">IF(ROWS($1:33)&gt;COUNT(Dong2),"",OFFSET(TH!F$1,SMALL(Dong2,ROWS($1:33)),))</f>
        <v>Q4 - Nộp tiền mặt</v>
      </c>
      <c r="E44" s="212" t="str">
        <f ca="1">IF(ROWS($1:33)&gt;COUNT(Dong2),"",IF(OFFSET(TH!O$1,SMALL(Dong2,ROWS($1:33)),)=$I$6,OFFSET(TH!N$1,SMALL(Dong2,ROWS($1:33)),),OFFSET(TH!O$1,SMALL(Dong2,ROWS($1:33)),)))</f>
        <v>1111</v>
      </c>
      <c r="F44" s="213">
        <f ca="1">IF(ROWS($1:33)&gt;COUNT(Dong2),"",IF(OFFSET(TH!N$1,SMALL(Dong2,ROWS($1:33)),)=$I$6,IF($I$6="1121",OFFSET(TH!M$1,SMALL(Dong2,ROWS($1:33)),),OFFSET(TH!K$1,SMALL(Dong2,ROWS($1:33)),)),0))</f>
        <v>40000000</v>
      </c>
      <c r="G44" s="213">
        <f ca="1">IF(ROWS($1:33)&gt;COUNT(Dong2),"",IF(OFFSET(TH!O$1,SMALL(Dong2,ROWS($1:33)),)=$I$6,IF($I$6="1121",OFFSET(TH!M$1,SMALL(Dong2,ROWS($1:33)),),OFFSET(TH!K$1,SMALL(Dong2,ROWS($1:33)),)),0))</f>
        <v>0</v>
      </c>
      <c r="H44" s="214">
        <f t="shared" ref="H44:H75" ca="1" si="1">IF(A44&lt;&gt;"",H43+F44-G44,0)</f>
        <v>138644762</v>
      </c>
      <c r="I44" s="214"/>
    </row>
    <row r="45" spans="1:9" s="200" customFormat="1" ht="20.25" customHeight="1">
      <c r="A45" s="212">
        <f ca="1">IF(ROWS($1:34)&gt;COUNT(Dong2),"",OFFSET(TH!C$1,SMALL(Dong2,ROWS($1:34)),))</f>
        <v>42515</v>
      </c>
      <c r="B45" s="212" t="str">
        <f ca="1">IF(ROWS($1:34)&gt;COUNT(Dong2),"",OFFSET(TH!D$1,SMALL(Dong2,ROWS($1:34)),))</f>
        <v>GBN</v>
      </c>
      <c r="C45" s="212">
        <f ca="1">IF(ROWS($1:34)&gt;COUNT(Dong2),"",OFFSET(TH!E$1,SMALL(Dong2,ROWS($1:34)),))</f>
        <v>42515</v>
      </c>
      <c r="D45" s="449" t="str">
        <f ca="1">IF(ROWS($1:34)&gt;COUNT(Dong2),"",OFFSET(TH!F$1,SMALL(Dong2,ROWS($1:34)),))</f>
        <v>Lãi vay</v>
      </c>
      <c r="E45" s="212" t="str">
        <f ca="1">IF(ROWS($1:34)&gt;COUNT(Dong2),"",IF(OFFSET(TH!O$1,SMALL(Dong2,ROWS($1:34)),)=$I$6,OFFSET(TH!N$1,SMALL(Dong2,ROWS($1:34)),),OFFSET(TH!O$1,SMALL(Dong2,ROWS($1:34)),)))</f>
        <v>635</v>
      </c>
      <c r="F45" s="213">
        <f ca="1">IF(ROWS($1:34)&gt;COUNT(Dong2),"",IF(OFFSET(TH!N$1,SMALL(Dong2,ROWS($1:34)),)=$I$6,IF($I$6="1121",OFFSET(TH!M$1,SMALL(Dong2,ROWS($1:34)),),OFFSET(TH!K$1,SMALL(Dong2,ROWS($1:34)),)),0))</f>
        <v>0</v>
      </c>
      <c r="G45" s="213">
        <f ca="1">IF(ROWS($1:34)&gt;COUNT(Dong2),"",IF(OFFSET(TH!O$1,SMALL(Dong2,ROWS($1:34)),)=$I$6,IF($I$6="1121",OFFSET(TH!M$1,SMALL(Dong2,ROWS($1:34)),),OFFSET(TH!K$1,SMALL(Dong2,ROWS($1:34)),)),0))</f>
        <v>7935469</v>
      </c>
      <c r="H45" s="214">
        <f t="shared" ca="1" si="1"/>
        <v>130709293</v>
      </c>
      <c r="I45" s="214"/>
    </row>
    <row r="46" spans="1:9" s="200" customFormat="1" ht="20.25" customHeight="1">
      <c r="A46" s="212">
        <f ca="1">IF(ROWS($1:35)&gt;COUNT(Dong2),"",OFFSET(TH!C$1,SMALL(Dong2,ROWS($1:35)),))</f>
        <v>42515</v>
      </c>
      <c r="B46" s="212" t="str">
        <f ca="1">IF(ROWS($1:35)&gt;COUNT(Dong2),"",OFFSET(TH!D$1,SMALL(Dong2,ROWS($1:35)),))</f>
        <v>GBN</v>
      </c>
      <c r="C46" s="212">
        <f ca="1">IF(ROWS($1:35)&gt;COUNT(Dong2),"",OFFSET(TH!E$1,SMALL(Dong2,ROWS($1:35)),))</f>
        <v>42515</v>
      </c>
      <c r="D46" s="449" t="str">
        <f ca="1">IF(ROWS($1:35)&gt;COUNT(Dong2),"",OFFSET(TH!F$1,SMALL(Dong2,ROWS($1:35)),))</f>
        <v>Lãi vay</v>
      </c>
      <c r="E46" s="212" t="str">
        <f ca="1">IF(ROWS($1:35)&gt;COUNT(Dong2),"",IF(OFFSET(TH!O$1,SMALL(Dong2,ROWS($1:35)),)=$I$6,OFFSET(TH!N$1,SMALL(Dong2,ROWS($1:35)),),OFFSET(TH!O$1,SMALL(Dong2,ROWS($1:35)),)))</f>
        <v>635</v>
      </c>
      <c r="F46" s="213">
        <f ca="1">IF(ROWS($1:35)&gt;COUNT(Dong2),"",IF(OFFSET(TH!N$1,SMALL(Dong2,ROWS($1:35)),)=$I$6,IF($I$6="1121",OFFSET(TH!M$1,SMALL(Dong2,ROWS($1:35)),),OFFSET(TH!K$1,SMALL(Dong2,ROWS($1:35)),)),0))</f>
        <v>0</v>
      </c>
      <c r="G46" s="213">
        <f ca="1">IF(ROWS($1:35)&gt;COUNT(Dong2),"",IF(OFFSET(TH!O$1,SMALL(Dong2,ROWS($1:35)),)=$I$6,IF($I$6="1121",OFFSET(TH!M$1,SMALL(Dong2,ROWS($1:35)),),OFFSET(TH!K$1,SMALL(Dong2,ROWS($1:35)),)),0))</f>
        <v>15870937</v>
      </c>
      <c r="H46" s="214">
        <f t="shared" ca="1" si="1"/>
        <v>114838356</v>
      </c>
      <c r="I46" s="214"/>
    </row>
    <row r="47" spans="1:9" s="200" customFormat="1" ht="20.25" customHeight="1">
      <c r="A47" s="212">
        <f ca="1">IF(ROWS($1:36)&gt;COUNT(Dong2),"",OFFSET(TH!C$1,SMALL(Dong2,ROWS($1:36)),))</f>
        <v>42515</v>
      </c>
      <c r="B47" s="212" t="str">
        <f ca="1">IF(ROWS($1:36)&gt;COUNT(Dong2),"",OFFSET(TH!D$1,SMALL(Dong2,ROWS($1:36)),))</f>
        <v>GBN</v>
      </c>
      <c r="C47" s="212">
        <f ca="1">IF(ROWS($1:36)&gt;COUNT(Dong2),"",OFFSET(TH!E$1,SMALL(Dong2,ROWS($1:36)),))</f>
        <v>42515</v>
      </c>
      <c r="D47" s="449" t="str">
        <f ca="1">IF(ROWS($1:36)&gt;COUNT(Dong2),"",OFFSET(TH!F$1,SMALL(Dong2,ROWS($1:36)),))</f>
        <v>Lãi vay</v>
      </c>
      <c r="E47" s="212" t="str">
        <f ca="1">IF(ROWS($1:36)&gt;COUNT(Dong2),"",IF(OFFSET(TH!O$1,SMALL(Dong2,ROWS($1:36)),)=$I$6,OFFSET(TH!N$1,SMALL(Dong2,ROWS($1:36)),),OFFSET(TH!O$1,SMALL(Dong2,ROWS($1:36)),)))</f>
        <v>635</v>
      </c>
      <c r="F47" s="213">
        <f ca="1">IF(ROWS($1:36)&gt;COUNT(Dong2),"",IF(OFFSET(TH!N$1,SMALL(Dong2,ROWS($1:36)),)=$I$6,IF($I$6="1121",OFFSET(TH!M$1,SMALL(Dong2,ROWS($1:36)),),OFFSET(TH!K$1,SMALL(Dong2,ROWS($1:36)),)),0))</f>
        <v>0</v>
      </c>
      <c r="G47" s="213">
        <f ca="1">IF(ROWS($1:36)&gt;COUNT(Dong2),"",IF(OFFSET(TH!O$1,SMALL(Dong2,ROWS($1:36)),)=$I$6,IF($I$6="1121",OFFSET(TH!M$1,SMALL(Dong2,ROWS($1:36)),),OFFSET(TH!K$1,SMALL(Dong2,ROWS($1:36)),)),0))</f>
        <v>12696750</v>
      </c>
      <c r="H47" s="214">
        <f t="shared" ca="1" si="1"/>
        <v>102141606</v>
      </c>
      <c r="I47" s="214"/>
    </row>
    <row r="48" spans="1:9" s="200" customFormat="1" ht="20.25" customHeight="1">
      <c r="A48" s="212">
        <f ca="1">IF(ROWS($1:37)&gt;COUNT(Dong2),"",OFFSET(TH!C$1,SMALL(Dong2,ROWS($1:37)),))</f>
        <v>42515</v>
      </c>
      <c r="B48" s="212" t="str">
        <f ca="1">IF(ROWS($1:37)&gt;COUNT(Dong2),"",OFFSET(TH!D$1,SMALL(Dong2,ROWS($1:37)),))</f>
        <v>GBN</v>
      </c>
      <c r="C48" s="212">
        <f ca="1">IF(ROWS($1:37)&gt;COUNT(Dong2),"",OFFSET(TH!E$1,SMALL(Dong2,ROWS($1:37)),))</f>
        <v>42515</v>
      </c>
      <c r="D48" s="449" t="str">
        <f ca="1">IF(ROWS($1:37)&gt;COUNT(Dong2),"",OFFSET(TH!F$1,SMALL(Dong2,ROWS($1:37)),))</f>
        <v>Lãi vay</v>
      </c>
      <c r="E48" s="212" t="str">
        <f ca="1">IF(ROWS($1:37)&gt;COUNT(Dong2),"",IF(OFFSET(TH!O$1,SMALL(Dong2,ROWS($1:37)),)=$I$6,OFFSET(TH!N$1,SMALL(Dong2,ROWS($1:37)),),OFFSET(TH!O$1,SMALL(Dong2,ROWS($1:37)),)))</f>
        <v>635</v>
      </c>
      <c r="F48" s="213">
        <f ca="1">IF(ROWS($1:37)&gt;COUNT(Dong2),"",IF(OFFSET(TH!N$1,SMALL(Dong2,ROWS($1:37)),)=$I$6,IF($I$6="1121",OFFSET(TH!M$1,SMALL(Dong2,ROWS($1:37)),),OFFSET(TH!K$1,SMALL(Dong2,ROWS($1:37)),)),0))</f>
        <v>0</v>
      </c>
      <c r="G48" s="213">
        <f ca="1">IF(ROWS($1:37)&gt;COUNT(Dong2),"",IF(OFFSET(TH!O$1,SMALL(Dong2,ROWS($1:37)),)=$I$6,IF($I$6="1121",OFFSET(TH!M$1,SMALL(Dong2,ROWS($1:37)),),OFFSET(TH!K$1,SMALL(Dong2,ROWS($1:37)),)),0))</f>
        <v>11903203</v>
      </c>
      <c r="H48" s="214">
        <f t="shared" ca="1" si="1"/>
        <v>90238403</v>
      </c>
      <c r="I48" s="214"/>
    </row>
    <row r="49" spans="1:9" s="200" customFormat="1" ht="20.25" customHeight="1">
      <c r="A49" s="212">
        <f ca="1">IF(ROWS($1:38)&gt;COUNT(Dong2),"",OFFSET(TH!C$1,SMALL(Dong2,ROWS($1:38)),))</f>
        <v>42515</v>
      </c>
      <c r="B49" s="212" t="str">
        <f ca="1">IF(ROWS($1:38)&gt;COUNT(Dong2),"",OFFSET(TH!D$1,SMALL(Dong2,ROWS($1:38)),))</f>
        <v>GBN</v>
      </c>
      <c r="C49" s="212">
        <f ca="1">IF(ROWS($1:38)&gt;COUNT(Dong2),"",OFFSET(TH!E$1,SMALL(Dong2,ROWS($1:38)),))</f>
        <v>42515</v>
      </c>
      <c r="D49" s="449" t="str">
        <f ca="1">IF(ROWS($1:38)&gt;COUNT(Dong2),"",OFFSET(TH!F$1,SMALL(Dong2,ROWS($1:38)),))</f>
        <v>Lãi vay</v>
      </c>
      <c r="E49" s="212" t="str">
        <f ca="1">IF(ROWS($1:38)&gt;COUNT(Dong2),"",IF(OFFSET(TH!O$1,SMALL(Dong2,ROWS($1:38)),)=$I$6,OFFSET(TH!N$1,SMALL(Dong2,ROWS($1:38)),),OFFSET(TH!O$1,SMALL(Dong2,ROWS($1:38)),)))</f>
        <v>635</v>
      </c>
      <c r="F49" s="213">
        <f ca="1">IF(ROWS($1:38)&gt;COUNT(Dong2),"",IF(OFFSET(TH!N$1,SMALL(Dong2,ROWS($1:38)),)=$I$6,IF($I$6="1121",OFFSET(TH!M$1,SMALL(Dong2,ROWS($1:38)),),OFFSET(TH!K$1,SMALL(Dong2,ROWS($1:38)),)),0))</f>
        <v>0</v>
      </c>
      <c r="G49" s="213">
        <f ca="1">IF(ROWS($1:38)&gt;COUNT(Dong2),"",IF(OFFSET(TH!O$1,SMALL(Dong2,ROWS($1:38)),)=$I$6,IF($I$6="1121",OFFSET(TH!M$1,SMALL(Dong2,ROWS($1:38)),),OFFSET(TH!K$1,SMALL(Dong2,ROWS($1:38)),)),0))</f>
        <v>7935469</v>
      </c>
      <c r="H49" s="214">
        <f t="shared" ca="1" si="1"/>
        <v>82302934</v>
      </c>
      <c r="I49" s="214"/>
    </row>
    <row r="50" spans="1:9" s="200" customFormat="1" ht="20.25" customHeight="1">
      <c r="A50" s="212">
        <f ca="1">IF(ROWS($1:39)&gt;COUNT(Dong2),"",OFFSET(TH!C$1,SMALL(Dong2,ROWS($1:39)),))</f>
        <v>42515</v>
      </c>
      <c r="B50" s="212" t="str">
        <f ca="1">IF(ROWS($1:39)&gt;COUNT(Dong2),"",OFFSET(TH!D$1,SMALL(Dong2,ROWS($1:39)),))</f>
        <v>GBN</v>
      </c>
      <c r="C50" s="212">
        <f ca="1">IF(ROWS($1:39)&gt;COUNT(Dong2),"",OFFSET(TH!E$1,SMALL(Dong2,ROWS($1:39)),))</f>
        <v>42515</v>
      </c>
      <c r="D50" s="449" t="str">
        <f ca="1">IF(ROWS($1:39)&gt;COUNT(Dong2),"",OFFSET(TH!F$1,SMALL(Dong2,ROWS($1:39)),))</f>
        <v>Lãi vay</v>
      </c>
      <c r="E50" s="212" t="str">
        <f ca="1">IF(ROWS($1:39)&gt;COUNT(Dong2),"",IF(OFFSET(TH!O$1,SMALL(Dong2,ROWS($1:39)),)=$I$6,OFFSET(TH!N$1,SMALL(Dong2,ROWS($1:39)),),OFFSET(TH!O$1,SMALL(Dong2,ROWS($1:39)),)))</f>
        <v>635</v>
      </c>
      <c r="F50" s="213">
        <f ca="1">IF(ROWS($1:39)&gt;COUNT(Dong2),"",IF(OFFSET(TH!N$1,SMALL(Dong2,ROWS($1:39)),)=$I$6,IF($I$6="1121",OFFSET(TH!M$1,SMALL(Dong2,ROWS($1:39)),),OFFSET(TH!K$1,SMALL(Dong2,ROWS($1:39)),)),0))</f>
        <v>0</v>
      </c>
      <c r="G50" s="213">
        <f ca="1">IF(ROWS($1:39)&gt;COUNT(Dong2),"",IF(OFFSET(TH!O$1,SMALL(Dong2,ROWS($1:39)),)=$I$6,IF($I$6="1121",OFFSET(TH!M$1,SMALL(Dong2,ROWS($1:39)),),OFFSET(TH!K$1,SMALL(Dong2,ROWS($1:39)),)),0))</f>
        <v>11903203</v>
      </c>
      <c r="H50" s="214">
        <f t="shared" ca="1" si="1"/>
        <v>70399731</v>
      </c>
      <c r="I50" s="214"/>
    </row>
    <row r="51" spans="1:9" s="200" customFormat="1" ht="20.25" customHeight="1">
      <c r="A51" s="212">
        <f ca="1">IF(ROWS($1:40)&gt;COUNT(Dong2),"",OFFSET(TH!C$1,SMALL(Dong2,ROWS($1:40)),))</f>
        <v>42515</v>
      </c>
      <c r="B51" s="212" t="str">
        <f ca="1">IF(ROWS($1:40)&gt;COUNT(Dong2),"",OFFSET(TH!D$1,SMALL(Dong2,ROWS($1:40)),))</f>
        <v>GBN</v>
      </c>
      <c r="C51" s="212">
        <f ca="1">IF(ROWS($1:40)&gt;COUNT(Dong2),"",OFFSET(TH!E$1,SMALL(Dong2,ROWS($1:40)),))</f>
        <v>42515</v>
      </c>
      <c r="D51" s="449" t="str">
        <f ca="1">IF(ROWS($1:40)&gt;COUNT(Dong2),"",OFFSET(TH!F$1,SMALL(Dong2,ROWS($1:40)),))</f>
        <v>Lãi vay</v>
      </c>
      <c r="E51" s="212" t="str">
        <f ca="1">IF(ROWS($1:40)&gt;COUNT(Dong2),"",IF(OFFSET(TH!O$1,SMALL(Dong2,ROWS($1:40)),)=$I$6,OFFSET(TH!N$1,SMALL(Dong2,ROWS($1:40)),),OFFSET(TH!O$1,SMALL(Dong2,ROWS($1:40)),)))</f>
        <v>635</v>
      </c>
      <c r="F51" s="213">
        <f ca="1">IF(ROWS($1:40)&gt;COUNT(Dong2),"",IF(OFFSET(TH!N$1,SMALL(Dong2,ROWS($1:40)),)=$I$6,IF($I$6="1121",OFFSET(TH!M$1,SMALL(Dong2,ROWS($1:40)),),OFFSET(TH!K$1,SMALL(Dong2,ROWS($1:40)),)),0))</f>
        <v>0</v>
      </c>
      <c r="G51" s="213">
        <f ca="1">IF(ROWS($1:40)&gt;COUNT(Dong2),"",IF(OFFSET(TH!O$1,SMALL(Dong2,ROWS($1:40)),)=$I$6,IF($I$6="1121",OFFSET(TH!M$1,SMALL(Dong2,ROWS($1:40)),),OFFSET(TH!K$1,SMALL(Dong2,ROWS($1:40)),)),0))</f>
        <v>15870937</v>
      </c>
      <c r="H51" s="214">
        <f t="shared" ca="1" si="1"/>
        <v>54528794</v>
      </c>
      <c r="I51" s="214"/>
    </row>
    <row r="52" spans="1:9" s="200" customFormat="1" ht="20.25" customHeight="1">
      <c r="A52" s="212">
        <f ca="1">IF(ROWS($1:41)&gt;COUNT(Dong2),"",OFFSET(TH!C$1,SMALL(Dong2,ROWS($1:41)),))</f>
        <v>42515</v>
      </c>
      <c r="B52" s="212" t="str">
        <f ca="1">IF(ROWS($1:41)&gt;COUNT(Dong2),"",OFFSET(TH!D$1,SMALL(Dong2,ROWS($1:41)),))</f>
        <v>GBN</v>
      </c>
      <c r="C52" s="212">
        <f ca="1">IF(ROWS($1:41)&gt;COUNT(Dong2),"",OFFSET(TH!E$1,SMALL(Dong2,ROWS($1:41)),))</f>
        <v>42515</v>
      </c>
      <c r="D52" s="449" t="str">
        <f ca="1">IF(ROWS($1:41)&gt;COUNT(Dong2),"",OFFSET(TH!F$1,SMALL(Dong2,ROWS($1:41)),))</f>
        <v>Lãi vay</v>
      </c>
      <c r="E52" s="212" t="str">
        <f ca="1">IF(ROWS($1:41)&gt;COUNT(Dong2),"",IF(OFFSET(TH!O$1,SMALL(Dong2,ROWS($1:41)),)=$I$6,OFFSET(TH!N$1,SMALL(Dong2,ROWS($1:41)),),OFFSET(TH!O$1,SMALL(Dong2,ROWS($1:41)),)))</f>
        <v>635</v>
      </c>
      <c r="F52" s="213">
        <f ca="1">IF(ROWS($1:41)&gt;COUNT(Dong2),"",IF(OFFSET(TH!N$1,SMALL(Dong2,ROWS($1:41)),)=$I$6,IF($I$6="1121",OFFSET(TH!M$1,SMALL(Dong2,ROWS($1:41)),),OFFSET(TH!K$1,SMALL(Dong2,ROWS($1:41)),)),0))</f>
        <v>0</v>
      </c>
      <c r="G52" s="213">
        <f ca="1">IF(ROWS($1:41)&gt;COUNT(Dong2),"",IF(OFFSET(TH!O$1,SMALL(Dong2,ROWS($1:41)),)=$I$6,IF($I$6="1121",OFFSET(TH!M$1,SMALL(Dong2,ROWS($1:41)),),OFFSET(TH!K$1,SMALL(Dong2,ROWS($1:41)),)),0))</f>
        <v>7935469</v>
      </c>
      <c r="H52" s="214">
        <f t="shared" ca="1" si="1"/>
        <v>46593325</v>
      </c>
      <c r="I52" s="214"/>
    </row>
    <row r="53" spans="1:9" s="200" customFormat="1" ht="20.25" customHeight="1">
      <c r="A53" s="212">
        <f ca="1">IF(ROWS($1:42)&gt;COUNT(Dong2),"",OFFSET(TH!C$1,SMALL(Dong2,ROWS($1:42)),))</f>
        <v>42515</v>
      </c>
      <c r="B53" s="212" t="str">
        <f ca="1">IF(ROWS($1:42)&gt;COUNT(Dong2),"",OFFSET(TH!D$1,SMALL(Dong2,ROWS($1:42)),))</f>
        <v>GBN</v>
      </c>
      <c r="C53" s="212">
        <f ca="1">IF(ROWS($1:42)&gt;COUNT(Dong2),"",OFFSET(TH!E$1,SMALL(Dong2,ROWS($1:42)),))</f>
        <v>42515</v>
      </c>
      <c r="D53" s="449" t="str">
        <f ca="1">IF(ROWS($1:42)&gt;COUNT(Dong2),"",OFFSET(TH!F$1,SMALL(Dong2,ROWS($1:42)),))</f>
        <v>Lãi vay</v>
      </c>
      <c r="E53" s="212" t="str">
        <f ca="1">IF(ROWS($1:42)&gt;COUNT(Dong2),"",IF(OFFSET(TH!O$1,SMALL(Dong2,ROWS($1:42)),)=$I$6,OFFSET(TH!N$1,SMALL(Dong2,ROWS($1:42)),),OFFSET(TH!O$1,SMALL(Dong2,ROWS($1:42)),)))</f>
        <v>635</v>
      </c>
      <c r="F53" s="213">
        <f ca="1">IF(ROWS($1:42)&gt;COUNT(Dong2),"",IF(OFFSET(TH!N$1,SMALL(Dong2,ROWS($1:42)),)=$I$6,IF($I$6="1121",OFFSET(TH!M$1,SMALL(Dong2,ROWS($1:42)),),OFFSET(TH!K$1,SMALL(Dong2,ROWS($1:42)),)),0))</f>
        <v>0</v>
      </c>
      <c r="G53" s="213">
        <f ca="1">IF(ROWS($1:42)&gt;COUNT(Dong2),"",IF(OFFSET(TH!O$1,SMALL(Dong2,ROWS($1:42)),)=$I$6,IF($I$6="1121",OFFSET(TH!M$1,SMALL(Dong2,ROWS($1:42)),),OFFSET(TH!K$1,SMALL(Dong2,ROWS($1:42)),)),0))</f>
        <v>7935470</v>
      </c>
      <c r="H53" s="214">
        <f t="shared" ca="1" si="1"/>
        <v>38657855</v>
      </c>
      <c r="I53" s="214"/>
    </row>
    <row r="54" spans="1:9" s="200" customFormat="1" ht="20.25" customHeight="1">
      <c r="A54" s="212">
        <f ca="1">IF(ROWS($1:43)&gt;COUNT(Dong2),"",OFFSET(TH!C$1,SMALL(Dong2,ROWS($1:43)),))</f>
        <v>42515</v>
      </c>
      <c r="B54" s="212" t="str">
        <f ca="1">IF(ROWS($1:43)&gt;COUNT(Dong2),"",OFFSET(TH!D$1,SMALL(Dong2,ROWS($1:43)),))</f>
        <v>GBN</v>
      </c>
      <c r="C54" s="212">
        <f ca="1">IF(ROWS($1:43)&gt;COUNT(Dong2),"",OFFSET(TH!E$1,SMALL(Dong2,ROWS($1:43)),))</f>
        <v>42515</v>
      </c>
      <c r="D54" s="449" t="str">
        <f ca="1">IF(ROWS($1:43)&gt;COUNT(Dong2),"",OFFSET(TH!F$1,SMALL(Dong2,ROWS($1:43)),))</f>
        <v>Lãi vay</v>
      </c>
      <c r="E54" s="212" t="str">
        <f ca="1">IF(ROWS($1:43)&gt;COUNT(Dong2),"",IF(OFFSET(TH!O$1,SMALL(Dong2,ROWS($1:43)),)=$I$6,OFFSET(TH!N$1,SMALL(Dong2,ROWS($1:43)),),OFFSET(TH!O$1,SMALL(Dong2,ROWS($1:43)),)))</f>
        <v>635</v>
      </c>
      <c r="F54" s="213">
        <f ca="1">IF(ROWS($1:43)&gt;COUNT(Dong2),"",IF(OFFSET(TH!N$1,SMALL(Dong2,ROWS($1:43)),)=$I$6,IF($I$6="1121",OFFSET(TH!M$1,SMALL(Dong2,ROWS($1:43)),),OFFSET(TH!K$1,SMALL(Dong2,ROWS($1:43)),)),0))</f>
        <v>0</v>
      </c>
      <c r="G54" s="213">
        <f ca="1">IF(ROWS($1:43)&gt;COUNT(Dong2),"",IF(OFFSET(TH!O$1,SMALL(Dong2,ROWS($1:43)),)=$I$6,IF($I$6="1121",OFFSET(TH!M$1,SMALL(Dong2,ROWS($1:43)),),OFFSET(TH!K$1,SMALL(Dong2,ROWS($1:43)),)),0))</f>
        <v>11109656</v>
      </c>
      <c r="H54" s="214">
        <f t="shared" ca="1" si="1"/>
        <v>27548199</v>
      </c>
      <c r="I54" s="214"/>
    </row>
    <row r="55" spans="1:9" s="200" customFormat="1" ht="20.25" customHeight="1">
      <c r="A55" s="212">
        <f ca="1">IF(ROWS($1:44)&gt;COUNT(Dong2),"",OFFSET(TH!C$1,SMALL(Dong2,ROWS($1:44)),))</f>
        <v>42515</v>
      </c>
      <c r="B55" s="212" t="str">
        <f ca="1">IF(ROWS($1:44)&gt;COUNT(Dong2),"",OFFSET(TH!D$1,SMALL(Dong2,ROWS($1:44)),))</f>
        <v>GBN</v>
      </c>
      <c r="C55" s="212">
        <f ca="1">IF(ROWS($1:44)&gt;COUNT(Dong2),"",OFFSET(TH!E$1,SMALL(Dong2,ROWS($1:44)),))</f>
        <v>42515</v>
      </c>
      <c r="D55" s="449" t="str">
        <f ca="1">IF(ROWS($1:44)&gt;COUNT(Dong2),"",OFFSET(TH!F$1,SMALL(Dong2,ROWS($1:44)),))</f>
        <v>Lãi vay</v>
      </c>
      <c r="E55" s="212" t="str">
        <f ca="1">IF(ROWS($1:44)&gt;COUNT(Dong2),"",IF(OFFSET(TH!O$1,SMALL(Dong2,ROWS($1:44)),)=$I$6,OFFSET(TH!N$1,SMALL(Dong2,ROWS($1:44)),),OFFSET(TH!O$1,SMALL(Dong2,ROWS($1:44)),)))</f>
        <v>635</v>
      </c>
      <c r="F55" s="213">
        <f ca="1">IF(ROWS($1:44)&gt;COUNT(Dong2),"",IF(OFFSET(TH!N$1,SMALL(Dong2,ROWS($1:44)),)=$I$6,IF($I$6="1121",OFFSET(TH!M$1,SMALL(Dong2,ROWS($1:44)),),OFFSET(TH!K$1,SMALL(Dong2,ROWS($1:44)),)),0))</f>
        <v>0</v>
      </c>
      <c r="G55" s="213">
        <f ca="1">IF(ROWS($1:44)&gt;COUNT(Dong2),"",IF(OFFSET(TH!O$1,SMALL(Dong2,ROWS($1:44)),)=$I$6,IF($I$6="1121",OFFSET(TH!M$1,SMALL(Dong2,ROWS($1:44)),),OFFSET(TH!K$1,SMALL(Dong2,ROWS($1:44)),)),0))</f>
        <v>11903203</v>
      </c>
      <c r="H55" s="214">
        <f t="shared" ca="1" si="1"/>
        <v>15644996</v>
      </c>
      <c r="I55" s="214"/>
    </row>
    <row r="56" spans="1:9" s="200" customFormat="1" ht="20.25" customHeight="1">
      <c r="A56" s="212">
        <f ca="1">IF(ROWS($1:45)&gt;COUNT(Dong2),"",OFFSET(TH!C$1,SMALL(Dong2,ROWS($1:45)),))</f>
        <v>42515</v>
      </c>
      <c r="B56" s="212" t="str">
        <f ca="1">IF(ROWS($1:45)&gt;COUNT(Dong2),"",OFFSET(TH!D$1,SMALL(Dong2,ROWS($1:45)),))</f>
        <v>GBN</v>
      </c>
      <c r="C56" s="212">
        <f ca="1">IF(ROWS($1:45)&gt;COUNT(Dong2),"",OFFSET(TH!E$1,SMALL(Dong2,ROWS($1:45)),))</f>
        <v>42515</v>
      </c>
      <c r="D56" s="449" t="str">
        <f ca="1">IF(ROWS($1:45)&gt;COUNT(Dong2),"",OFFSET(TH!F$1,SMALL(Dong2,ROWS($1:45)),))</f>
        <v>Lãi vay</v>
      </c>
      <c r="E56" s="212" t="str">
        <f ca="1">IF(ROWS($1:45)&gt;COUNT(Dong2),"",IF(OFFSET(TH!O$1,SMALL(Dong2,ROWS($1:45)),)=$I$6,OFFSET(TH!N$1,SMALL(Dong2,ROWS($1:45)),),OFFSET(TH!O$1,SMALL(Dong2,ROWS($1:45)),)))</f>
        <v>635</v>
      </c>
      <c r="F56" s="213">
        <f ca="1">IF(ROWS($1:45)&gt;COUNT(Dong2),"",IF(OFFSET(TH!N$1,SMALL(Dong2,ROWS($1:45)),)=$I$6,IF($I$6="1121",OFFSET(TH!M$1,SMALL(Dong2,ROWS($1:45)),),OFFSET(TH!K$1,SMALL(Dong2,ROWS($1:45)),)),0))</f>
        <v>0</v>
      </c>
      <c r="G56" s="213">
        <f ca="1">IF(ROWS($1:45)&gt;COUNT(Dong2),"",IF(OFFSET(TH!O$1,SMALL(Dong2,ROWS($1:45)),)=$I$6,IF($I$6="1121",OFFSET(TH!M$1,SMALL(Dong2,ROWS($1:45)),),OFFSET(TH!K$1,SMALL(Dong2,ROWS($1:45)),)),0))</f>
        <v>11903203</v>
      </c>
      <c r="H56" s="214">
        <f t="shared" ca="1" si="1"/>
        <v>3741793</v>
      </c>
      <c r="I56" s="214"/>
    </row>
    <row r="57" spans="1:9" s="200" customFormat="1" ht="20.25" customHeight="1">
      <c r="A57" s="212">
        <f ca="1">IF(ROWS($1:46)&gt;COUNT(Dong2),"",OFFSET(TH!C$1,SMALL(Dong2,ROWS($1:46)),))</f>
        <v>42517</v>
      </c>
      <c r="B57" s="212" t="str">
        <f ca="1">IF(ROWS($1:46)&gt;COUNT(Dong2),"",OFFSET(TH!D$1,SMALL(Dong2,ROWS($1:46)),))</f>
        <v>C39</v>
      </c>
      <c r="C57" s="212">
        <f ca="1">IF(ROWS($1:46)&gt;COUNT(Dong2),"",OFFSET(TH!E$1,SMALL(Dong2,ROWS($1:46)),))</f>
        <v>42517</v>
      </c>
      <c r="D57" s="449" t="str">
        <f ca="1">IF(ROWS($1:46)&gt;COUNT(Dong2),"",OFFSET(TH!F$1,SMALL(Dong2,ROWS($1:46)),))</f>
        <v>Q4 - Nộp tiền mặt</v>
      </c>
      <c r="E57" s="212" t="str">
        <f ca="1">IF(ROWS($1:46)&gt;COUNT(Dong2),"",IF(OFFSET(TH!O$1,SMALL(Dong2,ROWS($1:46)),)=$I$6,OFFSET(TH!N$1,SMALL(Dong2,ROWS($1:46)),),OFFSET(TH!O$1,SMALL(Dong2,ROWS($1:46)),)))</f>
        <v>1111</v>
      </c>
      <c r="F57" s="213">
        <f ca="1">IF(ROWS($1:46)&gt;COUNT(Dong2),"",IF(OFFSET(TH!N$1,SMALL(Dong2,ROWS($1:46)),)=$I$6,IF($I$6="1121",OFFSET(TH!M$1,SMALL(Dong2,ROWS($1:46)),),OFFSET(TH!K$1,SMALL(Dong2,ROWS($1:46)),)),0))</f>
        <v>24000000</v>
      </c>
      <c r="G57" s="213">
        <f ca="1">IF(ROWS($1:46)&gt;COUNT(Dong2),"",IF(OFFSET(TH!O$1,SMALL(Dong2,ROWS($1:46)),)=$I$6,IF($I$6="1121",OFFSET(TH!M$1,SMALL(Dong2,ROWS($1:46)),),OFFSET(TH!K$1,SMALL(Dong2,ROWS($1:46)),)),0))</f>
        <v>0</v>
      </c>
      <c r="H57" s="214">
        <f t="shared" ca="1" si="1"/>
        <v>27741793</v>
      </c>
      <c r="I57" s="214"/>
    </row>
    <row r="58" spans="1:9" s="200" customFormat="1" ht="20.25" customHeight="1">
      <c r="A58" s="212">
        <f ca="1">IF(ROWS($1:47)&gt;COUNT(Dong2),"",OFFSET(TH!C$1,SMALL(Dong2,ROWS($1:47)),))</f>
        <v>42517</v>
      </c>
      <c r="B58" s="212" t="str">
        <f ca="1">IF(ROWS($1:47)&gt;COUNT(Dong2),"",OFFSET(TH!D$1,SMALL(Dong2,ROWS($1:47)),))</f>
        <v>GBN</v>
      </c>
      <c r="C58" s="212">
        <f ca="1">IF(ROWS($1:47)&gt;COUNT(Dong2),"",OFFSET(TH!E$1,SMALL(Dong2,ROWS($1:47)),))</f>
        <v>42517</v>
      </c>
      <c r="D58" s="449" t="str">
        <f ca="1">IF(ROWS($1:47)&gt;COUNT(Dong2),"",OFFSET(TH!F$1,SMALL(Dong2,ROWS($1:47)),))</f>
        <v>Lãi vay</v>
      </c>
      <c r="E58" s="212" t="str">
        <f ca="1">IF(ROWS($1:47)&gt;COUNT(Dong2),"",IF(OFFSET(TH!O$1,SMALL(Dong2,ROWS($1:47)),)=$I$6,OFFSET(TH!N$1,SMALL(Dong2,ROWS($1:47)),),OFFSET(TH!O$1,SMALL(Dong2,ROWS($1:47)),)))</f>
        <v>635</v>
      </c>
      <c r="F58" s="213">
        <f ca="1">IF(ROWS($1:47)&gt;COUNT(Dong2),"",IF(OFFSET(TH!N$1,SMALL(Dong2,ROWS($1:47)),)=$I$6,IF($I$6="1121",OFFSET(TH!M$1,SMALL(Dong2,ROWS($1:47)),),OFFSET(TH!K$1,SMALL(Dong2,ROWS($1:47)),)),0))</f>
        <v>0</v>
      </c>
      <c r="G58" s="213">
        <f ca="1">IF(ROWS($1:47)&gt;COUNT(Dong2),"",IF(OFFSET(TH!O$1,SMALL(Dong2,ROWS($1:47)),)=$I$6,IF($I$6="1121",OFFSET(TH!M$1,SMALL(Dong2,ROWS($1:47)),),OFFSET(TH!K$1,SMALL(Dong2,ROWS($1:47)),)),0))</f>
        <v>11912604</v>
      </c>
      <c r="H58" s="214">
        <f t="shared" ca="1" si="1"/>
        <v>15829189</v>
      </c>
      <c r="I58" s="214"/>
    </row>
    <row r="59" spans="1:9" s="200" customFormat="1" ht="20.25" customHeight="1">
      <c r="A59" s="212">
        <f ca="1">IF(ROWS($1:48)&gt;COUNT(Dong2),"",OFFSET(TH!C$1,SMALL(Dong2,ROWS($1:48)),))</f>
        <v>42517</v>
      </c>
      <c r="B59" s="212" t="str">
        <f ca="1">IF(ROWS($1:48)&gt;COUNT(Dong2),"",OFFSET(TH!D$1,SMALL(Dong2,ROWS($1:48)),))</f>
        <v>GBN</v>
      </c>
      <c r="C59" s="212">
        <f ca="1">IF(ROWS($1:48)&gt;COUNT(Dong2),"",OFFSET(TH!E$1,SMALL(Dong2,ROWS($1:48)),))</f>
        <v>42517</v>
      </c>
      <c r="D59" s="449" t="str">
        <f ca="1">IF(ROWS($1:48)&gt;COUNT(Dong2),"",OFFSET(TH!F$1,SMALL(Dong2,ROWS($1:48)),))</f>
        <v>Lãi vay</v>
      </c>
      <c r="E59" s="212" t="str">
        <f ca="1">IF(ROWS($1:48)&gt;COUNT(Dong2),"",IF(OFFSET(TH!O$1,SMALL(Dong2,ROWS($1:48)),)=$I$6,OFFSET(TH!N$1,SMALL(Dong2,ROWS($1:48)),),OFFSET(TH!O$1,SMALL(Dong2,ROWS($1:48)),)))</f>
        <v>635</v>
      </c>
      <c r="F59" s="213">
        <f ca="1">IF(ROWS($1:48)&gt;COUNT(Dong2),"",IF(OFFSET(TH!N$1,SMALL(Dong2,ROWS($1:48)),)=$I$6,IF($I$6="1121",OFFSET(TH!M$1,SMALL(Dong2,ROWS($1:48)),),OFFSET(TH!K$1,SMALL(Dong2,ROWS($1:48)),)),0))</f>
        <v>0</v>
      </c>
      <c r="G59" s="213">
        <f ca="1">IF(ROWS($1:48)&gt;COUNT(Dong2),"",IF(OFFSET(TH!O$1,SMALL(Dong2,ROWS($1:48)),)=$I$6,IF($I$6="1121",OFFSET(TH!M$1,SMALL(Dong2,ROWS($1:48)),),OFFSET(TH!K$1,SMALL(Dong2,ROWS($1:48)),)),0))</f>
        <v>11912604</v>
      </c>
      <c r="H59" s="214">
        <f t="shared" ca="1" si="1"/>
        <v>3916585</v>
      </c>
      <c r="I59" s="214"/>
    </row>
    <row r="60" spans="1:9" s="200" customFormat="1" ht="20.25" customHeight="1">
      <c r="A60" s="212">
        <f ca="1">IF(ROWS($1:49)&gt;COUNT(Dong2),"",OFFSET(TH!C$1,SMALL(Dong2,ROWS($1:49)),))</f>
        <v>42521</v>
      </c>
      <c r="B60" s="212" t="str">
        <f ca="1">IF(ROWS($1:49)&gt;COUNT(Dong2),"",OFFSET(TH!D$1,SMALL(Dong2,ROWS($1:49)),))</f>
        <v>C42</v>
      </c>
      <c r="C60" s="212">
        <f ca="1">IF(ROWS($1:49)&gt;COUNT(Dong2),"",OFFSET(TH!E$1,SMALL(Dong2,ROWS($1:49)),))</f>
        <v>42521</v>
      </c>
      <c r="D60" s="449" t="str">
        <f ca="1">IF(ROWS($1:49)&gt;COUNT(Dong2),"",OFFSET(TH!F$1,SMALL(Dong2,ROWS($1:49)),))</f>
        <v>Q4 - Nộp tiền mặt</v>
      </c>
      <c r="E60" s="212" t="str">
        <f ca="1">IF(ROWS($1:49)&gt;COUNT(Dong2),"",IF(OFFSET(TH!O$1,SMALL(Dong2,ROWS($1:49)),)=$I$6,OFFSET(TH!N$1,SMALL(Dong2,ROWS($1:49)),),OFFSET(TH!O$1,SMALL(Dong2,ROWS($1:49)),)))</f>
        <v>1111</v>
      </c>
      <c r="F60" s="213">
        <f ca="1">IF(ROWS($1:49)&gt;COUNT(Dong2),"",IF(OFFSET(TH!N$1,SMALL(Dong2,ROWS($1:49)),)=$I$6,IF($I$6="1121",OFFSET(TH!M$1,SMALL(Dong2,ROWS($1:49)),),OFFSET(TH!K$1,SMALL(Dong2,ROWS($1:49)),)),0))</f>
        <v>62000000</v>
      </c>
      <c r="G60" s="213">
        <f ca="1">IF(ROWS($1:49)&gt;COUNT(Dong2),"",IF(OFFSET(TH!O$1,SMALL(Dong2,ROWS($1:49)),)=$I$6,IF($I$6="1121",OFFSET(TH!M$1,SMALL(Dong2,ROWS($1:49)),),OFFSET(TH!K$1,SMALL(Dong2,ROWS($1:49)),)),0))</f>
        <v>0</v>
      </c>
      <c r="H60" s="214">
        <f t="shared" ca="1" si="1"/>
        <v>65916585</v>
      </c>
      <c r="I60" s="214"/>
    </row>
    <row r="61" spans="1:9" s="200" customFormat="1" ht="20.25" customHeight="1">
      <c r="A61" s="212">
        <f ca="1">IF(ROWS($1:50)&gt;COUNT(Dong2),"",OFFSET(TH!C$1,SMALL(Dong2,ROWS($1:50)),))</f>
        <v>42521</v>
      </c>
      <c r="B61" s="212" t="str">
        <f ca="1">IF(ROWS($1:50)&gt;COUNT(Dong2),"",OFFSET(TH!D$1,SMALL(Dong2,ROWS($1:50)),))</f>
        <v>GBN</v>
      </c>
      <c r="C61" s="212">
        <f ca="1">IF(ROWS($1:50)&gt;COUNT(Dong2),"",OFFSET(TH!E$1,SMALL(Dong2,ROWS($1:50)),))</f>
        <v>42521</v>
      </c>
      <c r="D61" s="449" t="str">
        <f ca="1">IF(ROWS($1:50)&gt;COUNT(Dong2),"",OFFSET(TH!F$1,SMALL(Dong2,ROWS($1:50)),))</f>
        <v>Thanh toán tiền điện kỳ 1&amp;2 tháng 5</v>
      </c>
      <c r="E61" s="212" t="str">
        <f ca="1">IF(ROWS($1:50)&gt;COUNT(Dong2),"",IF(OFFSET(TH!O$1,SMALL(Dong2,ROWS($1:50)),)=$I$6,OFFSET(TH!N$1,SMALL(Dong2,ROWS($1:50)),),OFFSET(TH!O$1,SMALL(Dong2,ROWS($1:50)),)))</f>
        <v>331</v>
      </c>
      <c r="F61" s="213">
        <f ca="1">IF(ROWS($1:50)&gt;COUNT(Dong2),"",IF(OFFSET(TH!N$1,SMALL(Dong2,ROWS($1:50)),)=$I$6,IF($I$6="1121",OFFSET(TH!M$1,SMALL(Dong2,ROWS($1:50)),),OFFSET(TH!K$1,SMALL(Dong2,ROWS($1:50)),)),0))</f>
        <v>0</v>
      </c>
      <c r="G61" s="213">
        <f ca="1">IF(ROWS($1:50)&gt;COUNT(Dong2),"",IF(OFFSET(TH!O$1,SMALL(Dong2,ROWS($1:50)),)=$I$6,IF($I$6="1121",OFFSET(TH!M$1,SMALL(Dong2,ROWS($1:50)),),OFFSET(TH!K$1,SMALL(Dong2,ROWS($1:50)),)),0))</f>
        <v>61262630</v>
      </c>
      <c r="H61" s="214">
        <f t="shared" ca="1" si="1"/>
        <v>4653955</v>
      </c>
      <c r="I61" s="214"/>
    </row>
    <row r="62" spans="1:9" s="200" customFormat="1" ht="20.25" customHeight="1">
      <c r="A62" s="212">
        <f ca="1">IF(ROWS($1:51)&gt;COUNT(Dong2),"",OFFSET(TH!C$1,SMALL(Dong2,ROWS($1:51)),))</f>
        <v>42521</v>
      </c>
      <c r="B62" s="212" t="str">
        <f ca="1">IF(ROWS($1:51)&gt;COUNT(Dong2),"",OFFSET(TH!D$1,SMALL(Dong2,ROWS($1:51)),))</f>
        <v>GBN</v>
      </c>
      <c r="C62" s="212">
        <f ca="1">IF(ROWS($1:51)&gt;COUNT(Dong2),"",OFFSET(TH!E$1,SMALL(Dong2,ROWS($1:51)),))</f>
        <v>42521</v>
      </c>
      <c r="D62" s="449" t="str">
        <f ca="1">IF(ROWS($1:51)&gt;COUNT(Dong2),"",OFFSET(TH!F$1,SMALL(Dong2,ROWS($1:51)),))</f>
        <v xml:space="preserve">Phí chuyển tiền </v>
      </c>
      <c r="E62" s="212" t="str">
        <f ca="1">IF(ROWS($1:51)&gt;COUNT(Dong2),"",IF(OFFSET(TH!O$1,SMALL(Dong2,ROWS($1:51)),)=$I$6,OFFSET(TH!N$1,SMALL(Dong2,ROWS($1:51)),),OFFSET(TH!O$1,SMALL(Dong2,ROWS($1:51)),)))</f>
        <v>642</v>
      </c>
      <c r="F62" s="213">
        <f ca="1">IF(ROWS($1:51)&gt;COUNT(Dong2),"",IF(OFFSET(TH!N$1,SMALL(Dong2,ROWS($1:51)),)=$I$6,IF($I$6="1121",OFFSET(TH!M$1,SMALL(Dong2,ROWS($1:51)),),OFFSET(TH!K$1,SMALL(Dong2,ROWS($1:51)),)),0))</f>
        <v>0</v>
      </c>
      <c r="G62" s="213">
        <f ca="1">IF(ROWS($1:51)&gt;COUNT(Dong2),"",IF(OFFSET(TH!O$1,SMALL(Dong2,ROWS($1:51)),)=$I$6,IF($I$6="1121",OFFSET(TH!M$1,SMALL(Dong2,ROWS($1:51)),),OFFSET(TH!K$1,SMALL(Dong2,ROWS($1:51)),)),0))</f>
        <v>50631</v>
      </c>
      <c r="H62" s="214">
        <f t="shared" ca="1" si="1"/>
        <v>4603324</v>
      </c>
      <c r="I62" s="214"/>
    </row>
    <row r="63" spans="1:9" s="200" customFormat="1" ht="20.25" customHeight="1">
      <c r="A63" s="212">
        <f ca="1">IF(ROWS($1:52)&gt;COUNT(Dong2),"",OFFSET(TH!C$1,SMALL(Dong2,ROWS($1:52)),))</f>
        <v>42521</v>
      </c>
      <c r="B63" s="212" t="str">
        <f ca="1">IF(ROWS($1:52)&gt;COUNT(Dong2),"",OFFSET(TH!D$1,SMALL(Dong2,ROWS($1:52)),))</f>
        <v>GBN</v>
      </c>
      <c r="C63" s="212">
        <f ca="1">IF(ROWS($1:52)&gt;COUNT(Dong2),"",OFFSET(TH!E$1,SMALL(Dong2,ROWS($1:52)),))</f>
        <v>42521</v>
      </c>
      <c r="D63" s="449" t="str">
        <f ca="1">IF(ROWS($1:52)&gt;COUNT(Dong2),"",OFFSET(TH!F$1,SMALL(Dong2,ROWS($1:52)),))</f>
        <v xml:space="preserve">VAT Phí chuyển tiền </v>
      </c>
      <c r="E63" s="212" t="str">
        <f ca="1">IF(ROWS($1:52)&gt;COUNT(Dong2),"",IF(OFFSET(TH!O$1,SMALL(Dong2,ROWS($1:52)),)=$I$6,OFFSET(TH!N$1,SMALL(Dong2,ROWS($1:52)),),OFFSET(TH!O$1,SMALL(Dong2,ROWS($1:52)),)))</f>
        <v>1331</v>
      </c>
      <c r="F63" s="213">
        <f ca="1">IF(ROWS($1:52)&gt;COUNT(Dong2),"",IF(OFFSET(TH!N$1,SMALL(Dong2,ROWS($1:52)),)=$I$6,IF($I$6="1121",OFFSET(TH!M$1,SMALL(Dong2,ROWS($1:52)),),OFFSET(TH!K$1,SMALL(Dong2,ROWS($1:52)),)),0))</f>
        <v>0</v>
      </c>
      <c r="G63" s="213">
        <f ca="1">IF(ROWS($1:52)&gt;COUNT(Dong2),"",IF(OFFSET(TH!O$1,SMALL(Dong2,ROWS($1:52)),)=$I$6,IF($I$6="1121",OFFSET(TH!M$1,SMALL(Dong2,ROWS($1:52)),),OFFSET(TH!K$1,SMALL(Dong2,ROWS($1:52)),)),0))</f>
        <v>5063</v>
      </c>
      <c r="H63" s="214">
        <f t="shared" ca="1" si="1"/>
        <v>4598261</v>
      </c>
      <c r="I63" s="214"/>
    </row>
    <row r="64" spans="1:9" s="200" customFormat="1" ht="20.25" customHeight="1">
      <c r="A64" s="212">
        <f ca="1">IF(ROWS($1:53)&gt;COUNT(Dong2),"",OFFSET(TH!C$1,SMALL(Dong2,ROWS($1:53)),))</f>
        <v>42538</v>
      </c>
      <c r="B64" s="212" t="str">
        <f ca="1">IF(ROWS($1:53)&gt;COUNT(Dong2),"",OFFSET(TH!D$1,SMALL(Dong2,ROWS($1:53)),))</f>
        <v>GBC</v>
      </c>
      <c r="C64" s="212">
        <f ca="1">IF(ROWS($1:53)&gt;COUNT(Dong2),"",OFFSET(TH!E$1,SMALL(Dong2,ROWS($1:53)),))</f>
        <v>42538</v>
      </c>
      <c r="D64" s="449" t="str">
        <f ca="1">IF(ROWS($1:53)&gt;COUNT(Dong2),"",OFFSET(TH!F$1,SMALL(Dong2,ROWS($1:53)),))</f>
        <v>Mua ngoại tệ trả nợ vay</v>
      </c>
      <c r="E64" s="212" t="str">
        <f ca="1">IF(ROWS($1:53)&gt;COUNT(Dong2),"",IF(OFFSET(TH!O$1,SMALL(Dong2,ROWS($1:53)),)=$I$6,OFFSET(TH!N$1,SMALL(Dong2,ROWS($1:53)),),OFFSET(TH!O$1,SMALL(Dong2,ROWS($1:53)),)))</f>
        <v>1122</v>
      </c>
      <c r="F64" s="213">
        <f ca="1">IF(ROWS($1:53)&gt;COUNT(Dong2),"",IF(OFFSET(TH!N$1,SMALL(Dong2,ROWS($1:53)),)=$I$6,IF($I$6="1121",OFFSET(TH!M$1,SMALL(Dong2,ROWS($1:53)),),OFFSET(TH!K$1,SMALL(Dong2,ROWS($1:53)),)),0))</f>
        <v>0</v>
      </c>
      <c r="G64" s="213">
        <f ca="1">IF(ROWS($1:53)&gt;COUNT(Dong2),"",IF(OFFSET(TH!O$1,SMALL(Dong2,ROWS($1:53)),)=$I$6,IF($I$6="1121",OFFSET(TH!M$1,SMALL(Dong2,ROWS($1:53)),),OFFSET(TH!K$1,SMALL(Dong2,ROWS($1:53)),)),0))</f>
        <v>1962840000</v>
      </c>
      <c r="H64" s="214">
        <f t="shared" ca="1" si="1"/>
        <v>-1958241739</v>
      </c>
      <c r="I64" s="214"/>
    </row>
    <row r="65" spans="1:9" s="200" customFormat="1" ht="20.25" customHeight="1">
      <c r="A65" s="212">
        <f ca="1">IF(ROWS($1:54)&gt;COUNT(Dong2),"",OFFSET(TH!C$1,SMALL(Dong2,ROWS($1:54)),))</f>
        <v>42538</v>
      </c>
      <c r="B65" s="212" t="str">
        <f ca="1">IF(ROWS($1:54)&gt;COUNT(Dong2),"",OFFSET(TH!D$1,SMALL(Dong2,ROWS($1:54)),))</f>
        <v>GBC</v>
      </c>
      <c r="C65" s="212">
        <f ca="1">IF(ROWS($1:54)&gt;COUNT(Dong2),"",OFFSET(TH!E$1,SMALL(Dong2,ROWS($1:54)),))</f>
        <v>42538</v>
      </c>
      <c r="D65" s="449" t="str">
        <f ca="1">IF(ROWS($1:54)&gt;COUNT(Dong2),"",OFFSET(TH!F$1,SMALL(Dong2,ROWS($1:54)),))</f>
        <v>Ứng vốn</v>
      </c>
      <c r="E65" s="212" t="str">
        <f ca="1">IF(ROWS($1:54)&gt;COUNT(Dong2),"",IF(OFFSET(TH!O$1,SMALL(Dong2,ROWS($1:54)),)=$I$6,OFFSET(TH!N$1,SMALL(Dong2,ROWS($1:54)),),OFFSET(TH!O$1,SMALL(Dong2,ROWS($1:54)),)))</f>
        <v>1388</v>
      </c>
      <c r="F65" s="213">
        <f ca="1">IF(ROWS($1:54)&gt;COUNT(Dong2),"",IF(OFFSET(TH!N$1,SMALL(Dong2,ROWS($1:54)),)=$I$6,IF($I$6="1121",OFFSET(TH!M$1,SMALL(Dong2,ROWS($1:54)),),OFFSET(TH!K$1,SMALL(Dong2,ROWS($1:54)),)),0))</f>
        <v>1975000000</v>
      </c>
      <c r="G65" s="213">
        <f ca="1">IF(ROWS($1:54)&gt;COUNT(Dong2),"",IF(OFFSET(TH!O$1,SMALL(Dong2,ROWS($1:54)),)=$I$6,IF($I$6="1121",OFFSET(TH!M$1,SMALL(Dong2,ROWS($1:54)),),OFFSET(TH!K$1,SMALL(Dong2,ROWS($1:54)),)),0))</f>
        <v>0</v>
      </c>
      <c r="H65" s="214">
        <f t="shared" ca="1" si="1"/>
        <v>16758261</v>
      </c>
      <c r="I65" s="214"/>
    </row>
    <row r="66" spans="1:9" s="200" customFormat="1" ht="20.25" customHeight="1">
      <c r="A66" s="212">
        <f ca="1">IF(ROWS($1:55)&gt;COUNT(Dong2),"",OFFSET(TH!C$1,SMALL(Dong2,ROWS($1:55)),))</f>
        <v>42538</v>
      </c>
      <c r="B66" s="212" t="str">
        <f ca="1">IF(ROWS($1:55)&gt;COUNT(Dong2),"",OFFSET(TH!D$1,SMALL(Dong2,ROWS($1:55)),))</f>
        <v>GBN</v>
      </c>
      <c r="C66" s="212">
        <f ca="1">IF(ROWS($1:55)&gt;COUNT(Dong2),"",OFFSET(TH!E$1,SMALL(Dong2,ROWS($1:55)),))</f>
        <v>42538</v>
      </c>
      <c r="D66" s="449" t="str">
        <f ca="1">IF(ROWS($1:55)&gt;COUNT(Dong2),"",OFFSET(TH!F$1,SMALL(Dong2,ROWS($1:55)),))</f>
        <v>Lãi vay tất toán</v>
      </c>
      <c r="E66" s="212" t="str">
        <f ca="1">IF(ROWS($1:55)&gt;COUNT(Dong2),"",IF(OFFSET(TH!O$1,SMALL(Dong2,ROWS($1:55)),)=$I$6,OFFSET(TH!N$1,SMALL(Dong2,ROWS($1:55)),),OFFSET(TH!O$1,SMALL(Dong2,ROWS($1:55)),)))</f>
        <v>635</v>
      </c>
      <c r="F66" s="213">
        <f ca="1">IF(ROWS($1:55)&gt;COUNT(Dong2),"",IF(OFFSET(TH!N$1,SMALL(Dong2,ROWS($1:55)),)=$I$6,IF($I$6="1121",OFFSET(TH!M$1,SMALL(Dong2,ROWS($1:55)),),OFFSET(TH!K$1,SMALL(Dong2,ROWS($1:55)),)),0))</f>
        <v>0</v>
      </c>
      <c r="G66" s="213">
        <f ca="1">IF(ROWS($1:55)&gt;COUNT(Dong2),"",IF(OFFSET(TH!O$1,SMALL(Dong2,ROWS($1:55)),)=$I$6,IF($I$6="1121",OFFSET(TH!M$1,SMALL(Dong2,ROWS($1:55)),),OFFSET(TH!K$1,SMALL(Dong2,ROWS($1:55)),)),0))</f>
        <v>7210682</v>
      </c>
      <c r="H66" s="214">
        <f t="shared" ca="1" si="1"/>
        <v>9547579</v>
      </c>
      <c r="I66" s="214"/>
    </row>
    <row r="67" spans="1:9" s="200" customFormat="1" ht="20.25" customHeight="1">
      <c r="A67" s="212">
        <f ca="1">IF(ROWS($1:56)&gt;COUNT(Dong2),"",OFFSET(TH!C$1,SMALL(Dong2,ROWS($1:56)),))</f>
        <v>42542</v>
      </c>
      <c r="B67" s="212" t="str">
        <f ca="1">IF(ROWS($1:56)&gt;COUNT(Dong2),"",OFFSET(TH!D$1,SMALL(Dong2,ROWS($1:56)),))</f>
        <v>C46</v>
      </c>
      <c r="C67" s="212">
        <f ca="1">IF(ROWS($1:56)&gt;COUNT(Dong2),"",OFFSET(TH!E$1,SMALL(Dong2,ROWS($1:56)),))</f>
        <v>42542</v>
      </c>
      <c r="D67" s="449" t="str">
        <f ca="1">IF(ROWS($1:56)&gt;COUNT(Dong2),"",OFFSET(TH!F$1,SMALL(Dong2,ROWS($1:56)),))</f>
        <v>Q4 - Nộp tiền mặt</v>
      </c>
      <c r="E67" s="212" t="str">
        <f ca="1">IF(ROWS($1:56)&gt;COUNT(Dong2),"",IF(OFFSET(TH!O$1,SMALL(Dong2,ROWS($1:56)),)=$I$6,OFFSET(TH!N$1,SMALL(Dong2,ROWS($1:56)),),OFFSET(TH!O$1,SMALL(Dong2,ROWS($1:56)),)))</f>
        <v>1111</v>
      </c>
      <c r="F67" s="213">
        <f ca="1">IF(ROWS($1:56)&gt;COUNT(Dong2),"",IF(OFFSET(TH!N$1,SMALL(Dong2,ROWS($1:56)),)=$I$6,IF($I$6="1121",OFFSET(TH!M$1,SMALL(Dong2,ROWS($1:56)),),OFFSET(TH!K$1,SMALL(Dong2,ROWS($1:56)),)),0))</f>
        <v>100000000</v>
      </c>
      <c r="G67" s="213">
        <f ca="1">IF(ROWS($1:56)&gt;COUNT(Dong2),"",IF(OFFSET(TH!O$1,SMALL(Dong2,ROWS($1:56)),)=$I$6,IF($I$6="1121",OFFSET(TH!M$1,SMALL(Dong2,ROWS($1:56)),),OFFSET(TH!K$1,SMALL(Dong2,ROWS($1:56)),)),0))</f>
        <v>0</v>
      </c>
      <c r="H67" s="214">
        <f t="shared" ca="1" si="1"/>
        <v>109547579</v>
      </c>
      <c r="I67" s="214"/>
    </row>
    <row r="68" spans="1:9" s="200" customFormat="1" ht="20.25" customHeight="1">
      <c r="A68" s="212">
        <f ca="1">IF(ROWS($1:57)&gt;COUNT(Dong2),"",OFFSET(TH!C$1,SMALL(Dong2,ROWS($1:57)),))</f>
        <v>42542</v>
      </c>
      <c r="B68" s="212" t="str">
        <f ca="1">IF(ROWS($1:57)&gt;COUNT(Dong2),"",OFFSET(TH!D$1,SMALL(Dong2,ROWS($1:57)),))</f>
        <v>C46</v>
      </c>
      <c r="C68" s="212">
        <f ca="1">IF(ROWS($1:57)&gt;COUNT(Dong2),"",OFFSET(TH!E$1,SMALL(Dong2,ROWS($1:57)),))</f>
        <v>42542</v>
      </c>
      <c r="D68" s="449" t="str">
        <f ca="1">IF(ROWS($1:57)&gt;COUNT(Dong2),"",OFFSET(TH!F$1,SMALL(Dong2,ROWS($1:57)),))</f>
        <v>Q4 - Nộp tiền mặt</v>
      </c>
      <c r="E68" s="212" t="str">
        <f ca="1">IF(ROWS($1:57)&gt;COUNT(Dong2),"",IF(OFFSET(TH!O$1,SMALL(Dong2,ROWS($1:57)),)=$I$6,OFFSET(TH!N$1,SMALL(Dong2,ROWS($1:57)),),OFFSET(TH!O$1,SMALL(Dong2,ROWS($1:57)),)))</f>
        <v>1111</v>
      </c>
      <c r="F68" s="213">
        <f ca="1">IF(ROWS($1:57)&gt;COUNT(Dong2),"",IF(OFFSET(TH!N$1,SMALL(Dong2,ROWS($1:57)),)=$I$6,IF($I$6="1121",OFFSET(TH!M$1,SMALL(Dong2,ROWS($1:57)),),OFFSET(TH!K$1,SMALL(Dong2,ROWS($1:57)),)),0))</f>
        <v>70000000</v>
      </c>
      <c r="G68" s="213">
        <f ca="1">IF(ROWS($1:57)&gt;COUNT(Dong2),"",IF(OFFSET(TH!O$1,SMALL(Dong2,ROWS($1:57)),)=$I$6,IF($I$6="1121",OFFSET(TH!M$1,SMALL(Dong2,ROWS($1:57)),),OFFSET(TH!K$1,SMALL(Dong2,ROWS($1:57)),)),0))</f>
        <v>0</v>
      </c>
      <c r="H68" s="214">
        <f t="shared" ca="1" si="1"/>
        <v>179547579</v>
      </c>
      <c r="I68" s="214"/>
    </row>
    <row r="69" spans="1:9" s="200" customFormat="1" ht="20.25" customHeight="1">
      <c r="A69" s="212">
        <f ca="1">IF(ROWS($1:58)&gt;COUNT(Dong2),"",OFFSET(TH!C$1,SMALL(Dong2,ROWS($1:58)),))</f>
        <v>42542</v>
      </c>
      <c r="B69" s="212" t="str">
        <f ca="1">IF(ROWS($1:58)&gt;COUNT(Dong2),"",OFFSET(TH!D$1,SMALL(Dong2,ROWS($1:58)),))</f>
        <v>GBN</v>
      </c>
      <c r="C69" s="212">
        <f ca="1">IF(ROWS($1:58)&gt;COUNT(Dong2),"",OFFSET(TH!E$1,SMALL(Dong2,ROWS($1:58)),))</f>
        <v>42542</v>
      </c>
      <c r="D69" s="449" t="str">
        <f ca="1">IF(ROWS($1:58)&gt;COUNT(Dong2),"",OFFSET(TH!F$1,SMALL(Dong2,ROWS($1:58)),))</f>
        <v>Lãi vay</v>
      </c>
      <c r="E69" s="212" t="str">
        <f ca="1">IF(ROWS($1:58)&gt;COUNT(Dong2),"",IF(OFFSET(TH!O$1,SMALL(Dong2,ROWS($1:58)),)=$I$6,OFFSET(TH!N$1,SMALL(Dong2,ROWS($1:58)),),OFFSET(TH!O$1,SMALL(Dong2,ROWS($1:58)),)))</f>
        <v>635</v>
      </c>
      <c r="F69" s="213">
        <f ca="1">IF(ROWS($1:58)&gt;COUNT(Dong2),"",IF(OFFSET(TH!N$1,SMALL(Dong2,ROWS($1:58)),)=$I$6,IF($I$6="1121",OFFSET(TH!M$1,SMALL(Dong2,ROWS($1:58)),),OFFSET(TH!K$1,SMALL(Dong2,ROWS($1:58)),)),0))</f>
        <v>0</v>
      </c>
      <c r="G69" s="213">
        <f ca="1">IF(ROWS($1:58)&gt;COUNT(Dong2),"",IF(OFFSET(TH!O$1,SMALL(Dong2,ROWS($1:58)),)=$I$6,IF($I$6="1121",OFFSET(TH!M$1,SMALL(Dong2,ROWS($1:58)),),OFFSET(TH!K$1,SMALL(Dong2,ROWS($1:58)),)),0))</f>
        <v>8187032</v>
      </c>
      <c r="H69" s="214">
        <f t="shared" ca="1" si="1"/>
        <v>171360547</v>
      </c>
      <c r="I69" s="214"/>
    </row>
    <row r="70" spans="1:9" s="200" customFormat="1" ht="20.25" customHeight="1">
      <c r="A70" s="212">
        <f ca="1">IF(ROWS($1:59)&gt;COUNT(Dong2),"",OFFSET(TH!C$1,SMALL(Dong2,ROWS($1:59)),))</f>
        <v>42542</v>
      </c>
      <c r="B70" s="212" t="str">
        <f ca="1">IF(ROWS($1:59)&gt;COUNT(Dong2),"",OFFSET(TH!D$1,SMALL(Dong2,ROWS($1:59)),))</f>
        <v>GBN</v>
      </c>
      <c r="C70" s="212">
        <f ca="1">IF(ROWS($1:59)&gt;COUNT(Dong2),"",OFFSET(TH!E$1,SMALL(Dong2,ROWS($1:59)),))</f>
        <v>42542</v>
      </c>
      <c r="D70" s="449" t="str">
        <f ca="1">IF(ROWS($1:59)&gt;COUNT(Dong2),"",OFFSET(TH!F$1,SMALL(Dong2,ROWS($1:59)),))</f>
        <v>Lãi vay</v>
      </c>
      <c r="E70" s="212" t="str">
        <f ca="1">IF(ROWS($1:59)&gt;COUNT(Dong2),"",IF(OFFSET(TH!O$1,SMALL(Dong2,ROWS($1:59)),)=$I$6,OFFSET(TH!N$1,SMALL(Dong2,ROWS($1:59)),),OFFSET(TH!O$1,SMALL(Dong2,ROWS($1:59)),)))</f>
        <v>635</v>
      </c>
      <c r="F70" s="213">
        <f ca="1">IF(ROWS($1:59)&gt;COUNT(Dong2),"",IF(OFFSET(TH!N$1,SMALL(Dong2,ROWS($1:59)),)=$I$6,IF($I$6="1121",OFFSET(TH!M$1,SMALL(Dong2,ROWS($1:59)),),OFFSET(TH!K$1,SMALL(Dong2,ROWS($1:59)),)),0))</f>
        <v>0</v>
      </c>
      <c r="G70" s="213">
        <f ca="1">IF(ROWS($1:59)&gt;COUNT(Dong2),"",IF(OFFSET(TH!O$1,SMALL(Dong2,ROWS($1:59)),)=$I$6,IF($I$6="1121",OFFSET(TH!M$1,SMALL(Dong2,ROWS($1:59)),),OFFSET(TH!K$1,SMALL(Dong2,ROWS($1:59)),)),0))</f>
        <v>16374064</v>
      </c>
      <c r="H70" s="214">
        <f t="shared" ca="1" si="1"/>
        <v>154986483</v>
      </c>
      <c r="I70" s="214"/>
    </row>
    <row r="71" spans="1:9" s="200" customFormat="1" ht="20.25" customHeight="1">
      <c r="A71" s="212">
        <f ca="1">IF(ROWS($1:60)&gt;COUNT(Dong2),"",OFFSET(TH!C$1,SMALL(Dong2,ROWS($1:60)),))</f>
        <v>42542</v>
      </c>
      <c r="B71" s="212" t="str">
        <f ca="1">IF(ROWS($1:60)&gt;COUNT(Dong2),"",OFFSET(TH!D$1,SMALL(Dong2,ROWS($1:60)),))</f>
        <v>GBN</v>
      </c>
      <c r="C71" s="212">
        <f ca="1">IF(ROWS($1:60)&gt;COUNT(Dong2),"",OFFSET(TH!E$1,SMALL(Dong2,ROWS($1:60)),))</f>
        <v>42542</v>
      </c>
      <c r="D71" s="449" t="str">
        <f ca="1">IF(ROWS($1:60)&gt;COUNT(Dong2),"",OFFSET(TH!F$1,SMALL(Dong2,ROWS($1:60)),))</f>
        <v>Lãi vay</v>
      </c>
      <c r="E71" s="212" t="str">
        <f ca="1">IF(ROWS($1:60)&gt;COUNT(Dong2),"",IF(OFFSET(TH!O$1,SMALL(Dong2,ROWS($1:60)),)=$I$6,OFFSET(TH!N$1,SMALL(Dong2,ROWS($1:60)),),OFFSET(TH!O$1,SMALL(Dong2,ROWS($1:60)),)))</f>
        <v>635</v>
      </c>
      <c r="F71" s="213">
        <f ca="1">IF(ROWS($1:60)&gt;COUNT(Dong2),"",IF(OFFSET(TH!N$1,SMALL(Dong2,ROWS($1:60)),)=$I$6,IF($I$6="1121",OFFSET(TH!M$1,SMALL(Dong2,ROWS($1:60)),),OFFSET(TH!K$1,SMALL(Dong2,ROWS($1:60)),)),0))</f>
        <v>0</v>
      </c>
      <c r="G71" s="213">
        <f ca="1">IF(ROWS($1:60)&gt;COUNT(Dong2),"",IF(OFFSET(TH!O$1,SMALL(Dong2,ROWS($1:60)),)=$I$6,IF($I$6="1121",OFFSET(TH!M$1,SMALL(Dong2,ROWS($1:60)),),OFFSET(TH!K$1,SMALL(Dong2,ROWS($1:60)),)),0))</f>
        <v>13099251</v>
      </c>
      <c r="H71" s="214">
        <f t="shared" ca="1" si="1"/>
        <v>141887232</v>
      </c>
      <c r="I71" s="214"/>
    </row>
    <row r="72" spans="1:9" s="200" customFormat="1" ht="20.25" customHeight="1">
      <c r="A72" s="212">
        <f ca="1">IF(ROWS($1:61)&gt;COUNT(Dong2),"",OFFSET(TH!C$1,SMALL(Dong2,ROWS($1:61)),))</f>
        <v>42542</v>
      </c>
      <c r="B72" s="212" t="str">
        <f ca="1">IF(ROWS($1:61)&gt;COUNT(Dong2),"",OFFSET(TH!D$1,SMALL(Dong2,ROWS($1:61)),))</f>
        <v>GBN</v>
      </c>
      <c r="C72" s="212">
        <f ca="1">IF(ROWS($1:61)&gt;COUNT(Dong2),"",OFFSET(TH!E$1,SMALL(Dong2,ROWS($1:61)),))</f>
        <v>42542</v>
      </c>
      <c r="D72" s="449" t="str">
        <f ca="1">IF(ROWS($1:61)&gt;COUNT(Dong2),"",OFFSET(TH!F$1,SMALL(Dong2,ROWS($1:61)),))</f>
        <v>Lãi vay</v>
      </c>
      <c r="E72" s="212" t="str">
        <f ca="1">IF(ROWS($1:61)&gt;COUNT(Dong2),"",IF(OFFSET(TH!O$1,SMALL(Dong2,ROWS($1:61)),)=$I$6,OFFSET(TH!N$1,SMALL(Dong2,ROWS($1:61)),),OFFSET(TH!O$1,SMALL(Dong2,ROWS($1:61)),)))</f>
        <v>635</v>
      </c>
      <c r="F72" s="213">
        <f ca="1">IF(ROWS($1:61)&gt;COUNT(Dong2),"",IF(OFFSET(TH!N$1,SMALL(Dong2,ROWS($1:61)),)=$I$6,IF($I$6="1121",OFFSET(TH!M$1,SMALL(Dong2,ROWS($1:61)),),OFFSET(TH!K$1,SMALL(Dong2,ROWS($1:61)),)),0))</f>
        <v>0</v>
      </c>
      <c r="G72" s="213">
        <f ca="1">IF(ROWS($1:61)&gt;COUNT(Dong2),"",IF(OFFSET(TH!O$1,SMALL(Dong2,ROWS($1:61)),)=$I$6,IF($I$6="1121",OFFSET(TH!M$1,SMALL(Dong2,ROWS($1:61)),),OFFSET(TH!K$1,SMALL(Dong2,ROWS($1:61)),)),0))</f>
        <v>12280547</v>
      </c>
      <c r="H72" s="214">
        <f t="shared" ca="1" si="1"/>
        <v>129606685</v>
      </c>
      <c r="I72" s="214"/>
    </row>
    <row r="73" spans="1:9" s="200" customFormat="1" ht="20.25" customHeight="1">
      <c r="A73" s="212">
        <f ca="1">IF(ROWS($1:62)&gt;COUNT(Dong2),"",OFFSET(TH!C$1,SMALL(Dong2,ROWS($1:62)),))</f>
        <v>42542</v>
      </c>
      <c r="B73" s="212" t="str">
        <f ca="1">IF(ROWS($1:62)&gt;COUNT(Dong2),"",OFFSET(TH!D$1,SMALL(Dong2,ROWS($1:62)),))</f>
        <v>GBN</v>
      </c>
      <c r="C73" s="212">
        <f ca="1">IF(ROWS($1:62)&gt;COUNT(Dong2),"",OFFSET(TH!E$1,SMALL(Dong2,ROWS($1:62)),))</f>
        <v>42542</v>
      </c>
      <c r="D73" s="449" t="str">
        <f ca="1">IF(ROWS($1:62)&gt;COUNT(Dong2),"",OFFSET(TH!F$1,SMALL(Dong2,ROWS($1:62)),))</f>
        <v>Lãi vay</v>
      </c>
      <c r="E73" s="212" t="str">
        <f ca="1">IF(ROWS($1:62)&gt;COUNT(Dong2),"",IF(OFFSET(TH!O$1,SMALL(Dong2,ROWS($1:62)),)=$I$6,OFFSET(TH!N$1,SMALL(Dong2,ROWS($1:62)),),OFFSET(TH!O$1,SMALL(Dong2,ROWS($1:62)),)))</f>
        <v>635</v>
      </c>
      <c r="F73" s="213">
        <f ca="1">IF(ROWS($1:62)&gt;COUNT(Dong2),"",IF(OFFSET(TH!N$1,SMALL(Dong2,ROWS($1:62)),)=$I$6,IF($I$6="1121",OFFSET(TH!M$1,SMALL(Dong2,ROWS($1:62)),),OFFSET(TH!K$1,SMALL(Dong2,ROWS($1:62)),)),0))</f>
        <v>0</v>
      </c>
      <c r="G73" s="213">
        <f ca="1">IF(ROWS($1:62)&gt;COUNT(Dong2),"",IF(OFFSET(TH!O$1,SMALL(Dong2,ROWS($1:62)),)=$I$6,IF($I$6="1121",OFFSET(TH!M$1,SMALL(Dong2,ROWS($1:62)),),OFFSET(TH!K$1,SMALL(Dong2,ROWS($1:62)),)),0))</f>
        <v>8187032</v>
      </c>
      <c r="H73" s="214">
        <f t="shared" ca="1" si="1"/>
        <v>121419653</v>
      </c>
      <c r="I73" s="214"/>
    </row>
    <row r="74" spans="1:9" s="200" customFormat="1" ht="20.25" customHeight="1">
      <c r="A74" s="212">
        <f ca="1">IF(ROWS($1:63)&gt;COUNT(Dong2),"",OFFSET(TH!C$1,SMALL(Dong2,ROWS($1:63)),))</f>
        <v>42542</v>
      </c>
      <c r="B74" s="212" t="str">
        <f ca="1">IF(ROWS($1:63)&gt;COUNT(Dong2),"",OFFSET(TH!D$1,SMALL(Dong2,ROWS($1:63)),))</f>
        <v>GBN</v>
      </c>
      <c r="C74" s="212">
        <f ca="1">IF(ROWS($1:63)&gt;COUNT(Dong2),"",OFFSET(TH!E$1,SMALL(Dong2,ROWS($1:63)),))</f>
        <v>42542</v>
      </c>
      <c r="D74" s="449" t="str">
        <f ca="1">IF(ROWS($1:63)&gt;COUNT(Dong2),"",OFFSET(TH!F$1,SMALL(Dong2,ROWS($1:63)),))</f>
        <v>Lãi vay</v>
      </c>
      <c r="E74" s="212" t="str">
        <f ca="1">IF(ROWS($1:63)&gt;COUNT(Dong2),"",IF(OFFSET(TH!O$1,SMALL(Dong2,ROWS($1:63)),)=$I$6,OFFSET(TH!N$1,SMALL(Dong2,ROWS($1:63)),),OFFSET(TH!O$1,SMALL(Dong2,ROWS($1:63)),)))</f>
        <v>635</v>
      </c>
      <c r="F74" s="213">
        <f ca="1">IF(ROWS($1:63)&gt;COUNT(Dong2),"",IF(OFFSET(TH!N$1,SMALL(Dong2,ROWS($1:63)),)=$I$6,IF($I$6="1121",OFFSET(TH!M$1,SMALL(Dong2,ROWS($1:63)),),OFFSET(TH!K$1,SMALL(Dong2,ROWS($1:63)),)),0))</f>
        <v>0</v>
      </c>
      <c r="G74" s="213">
        <f ca="1">IF(ROWS($1:63)&gt;COUNT(Dong2),"",IF(OFFSET(TH!O$1,SMALL(Dong2,ROWS($1:63)),)=$I$6,IF($I$6="1121",OFFSET(TH!M$1,SMALL(Dong2,ROWS($1:63)),),OFFSET(TH!K$1,SMALL(Dong2,ROWS($1:63)),)),0))</f>
        <v>12280547</v>
      </c>
      <c r="H74" s="214">
        <f t="shared" ca="1" si="1"/>
        <v>109139106</v>
      </c>
      <c r="I74" s="214"/>
    </row>
    <row r="75" spans="1:9" s="200" customFormat="1" ht="20.25" customHeight="1">
      <c r="A75" s="212">
        <f ca="1">IF(ROWS($1:64)&gt;COUNT(Dong2),"",OFFSET(TH!C$1,SMALL(Dong2,ROWS($1:64)),))</f>
        <v>42542</v>
      </c>
      <c r="B75" s="212" t="str">
        <f ca="1">IF(ROWS($1:64)&gt;COUNT(Dong2),"",OFFSET(TH!D$1,SMALL(Dong2,ROWS($1:64)),))</f>
        <v>GBN</v>
      </c>
      <c r="C75" s="212">
        <f ca="1">IF(ROWS($1:64)&gt;COUNT(Dong2),"",OFFSET(TH!E$1,SMALL(Dong2,ROWS($1:64)),))</f>
        <v>42542</v>
      </c>
      <c r="D75" s="449" t="str">
        <f ca="1">IF(ROWS($1:64)&gt;COUNT(Dong2),"",OFFSET(TH!F$1,SMALL(Dong2,ROWS($1:64)),))</f>
        <v>Lãi vay</v>
      </c>
      <c r="E75" s="212" t="str">
        <f ca="1">IF(ROWS($1:64)&gt;COUNT(Dong2),"",IF(OFFSET(TH!O$1,SMALL(Dong2,ROWS($1:64)),)=$I$6,OFFSET(TH!N$1,SMALL(Dong2,ROWS($1:64)),),OFFSET(TH!O$1,SMALL(Dong2,ROWS($1:64)),)))</f>
        <v>635</v>
      </c>
      <c r="F75" s="213">
        <f ca="1">IF(ROWS($1:64)&gt;COUNT(Dong2),"",IF(OFFSET(TH!N$1,SMALL(Dong2,ROWS($1:64)),)=$I$6,IF($I$6="1121",OFFSET(TH!M$1,SMALL(Dong2,ROWS($1:64)),),OFFSET(TH!K$1,SMALL(Dong2,ROWS($1:64)),)),0))</f>
        <v>0</v>
      </c>
      <c r="G75" s="213">
        <f ca="1">IF(ROWS($1:64)&gt;COUNT(Dong2),"",IF(OFFSET(TH!O$1,SMALL(Dong2,ROWS($1:64)),)=$I$6,IF($I$6="1121",OFFSET(TH!M$1,SMALL(Dong2,ROWS($1:64)),),OFFSET(TH!K$1,SMALL(Dong2,ROWS($1:64)),)),0))</f>
        <v>16374064</v>
      </c>
      <c r="H75" s="214">
        <f t="shared" ca="1" si="1"/>
        <v>92765042</v>
      </c>
      <c r="I75" s="214"/>
    </row>
    <row r="76" spans="1:9" s="200" customFormat="1" ht="20.25" customHeight="1">
      <c r="A76" s="212">
        <f ca="1">IF(ROWS($1:65)&gt;COUNT(Dong2),"",OFFSET(TH!C$1,SMALL(Dong2,ROWS($1:65)),))</f>
        <v>42542</v>
      </c>
      <c r="B76" s="212" t="str">
        <f ca="1">IF(ROWS($1:65)&gt;COUNT(Dong2),"",OFFSET(TH!D$1,SMALL(Dong2,ROWS($1:65)),))</f>
        <v>GBN</v>
      </c>
      <c r="C76" s="212">
        <f ca="1">IF(ROWS($1:65)&gt;COUNT(Dong2),"",OFFSET(TH!E$1,SMALL(Dong2,ROWS($1:65)),))</f>
        <v>42542</v>
      </c>
      <c r="D76" s="449" t="str">
        <f ca="1">IF(ROWS($1:65)&gt;COUNT(Dong2),"",OFFSET(TH!F$1,SMALL(Dong2,ROWS($1:65)),))</f>
        <v>Lãi vay</v>
      </c>
      <c r="E76" s="212" t="str">
        <f ca="1">IF(ROWS($1:65)&gt;COUNT(Dong2),"",IF(OFFSET(TH!O$1,SMALL(Dong2,ROWS($1:65)),)=$I$6,OFFSET(TH!N$1,SMALL(Dong2,ROWS($1:65)),),OFFSET(TH!O$1,SMALL(Dong2,ROWS($1:65)),)))</f>
        <v>635</v>
      </c>
      <c r="F76" s="213">
        <f ca="1">IF(ROWS($1:65)&gt;COUNT(Dong2),"",IF(OFFSET(TH!N$1,SMALL(Dong2,ROWS($1:65)),)=$I$6,IF($I$6="1121",OFFSET(TH!M$1,SMALL(Dong2,ROWS($1:65)),),OFFSET(TH!K$1,SMALL(Dong2,ROWS($1:65)),)),0))</f>
        <v>0</v>
      </c>
      <c r="G76" s="213">
        <f ca="1">IF(ROWS($1:65)&gt;COUNT(Dong2),"",IF(OFFSET(TH!O$1,SMALL(Dong2,ROWS($1:65)),)=$I$6,IF($I$6="1121",OFFSET(TH!M$1,SMALL(Dong2,ROWS($1:65)),),OFFSET(TH!K$1,SMALL(Dong2,ROWS($1:65)),)),0))</f>
        <v>11461845</v>
      </c>
      <c r="H76" s="214">
        <f t="shared" ref="H76:H107" ca="1" si="2">IF(A76&lt;&gt;"",H75+F76-G76,0)</f>
        <v>81303197</v>
      </c>
      <c r="I76" s="214"/>
    </row>
    <row r="77" spans="1:9" s="200" customFormat="1" ht="20.25" customHeight="1">
      <c r="A77" s="212">
        <f ca="1">IF(ROWS($1:66)&gt;COUNT(Dong2),"",OFFSET(TH!C$1,SMALL(Dong2,ROWS($1:66)),))</f>
        <v>42542</v>
      </c>
      <c r="B77" s="212" t="str">
        <f ca="1">IF(ROWS($1:66)&gt;COUNT(Dong2),"",OFFSET(TH!D$1,SMALL(Dong2,ROWS($1:66)),))</f>
        <v>GBN</v>
      </c>
      <c r="C77" s="212">
        <f ca="1">IF(ROWS($1:66)&gt;COUNT(Dong2),"",OFFSET(TH!E$1,SMALL(Dong2,ROWS($1:66)),))</f>
        <v>42542</v>
      </c>
      <c r="D77" s="449" t="str">
        <f ca="1">IF(ROWS($1:66)&gt;COUNT(Dong2),"",OFFSET(TH!F$1,SMALL(Dong2,ROWS($1:66)),))</f>
        <v>Lãi vay</v>
      </c>
      <c r="E77" s="212" t="str">
        <f ca="1">IF(ROWS($1:66)&gt;COUNT(Dong2),"",IF(OFFSET(TH!O$1,SMALL(Dong2,ROWS($1:66)),)=$I$6,OFFSET(TH!N$1,SMALL(Dong2,ROWS($1:66)),),OFFSET(TH!O$1,SMALL(Dong2,ROWS($1:66)),)))</f>
        <v>635</v>
      </c>
      <c r="F77" s="213">
        <f ca="1">IF(ROWS($1:66)&gt;COUNT(Dong2),"",IF(OFFSET(TH!N$1,SMALL(Dong2,ROWS($1:66)),)=$I$6,IF($I$6="1121",OFFSET(TH!M$1,SMALL(Dong2,ROWS($1:66)),),OFFSET(TH!K$1,SMALL(Dong2,ROWS($1:66)),)),0))</f>
        <v>0</v>
      </c>
      <c r="G77" s="213">
        <f ca="1">IF(ROWS($1:66)&gt;COUNT(Dong2),"",IF(OFFSET(TH!O$1,SMALL(Dong2,ROWS($1:66)),)=$I$6,IF($I$6="1121",OFFSET(TH!M$1,SMALL(Dong2,ROWS($1:66)),),OFFSET(TH!K$1,SMALL(Dong2,ROWS($1:66)),)),0))</f>
        <v>12280547</v>
      </c>
      <c r="H77" s="214">
        <f t="shared" ca="1" si="2"/>
        <v>69022650</v>
      </c>
      <c r="I77" s="214"/>
    </row>
    <row r="78" spans="1:9" s="200" customFormat="1" ht="20.25" customHeight="1">
      <c r="A78" s="212">
        <f ca="1">IF(ROWS($1:67)&gt;COUNT(Dong2),"",OFFSET(TH!C$1,SMALL(Dong2,ROWS($1:67)),))</f>
        <v>42542</v>
      </c>
      <c r="B78" s="212" t="str">
        <f ca="1">IF(ROWS($1:67)&gt;COUNT(Dong2),"",OFFSET(TH!D$1,SMALL(Dong2,ROWS($1:67)),))</f>
        <v>GBN</v>
      </c>
      <c r="C78" s="212">
        <f ca="1">IF(ROWS($1:67)&gt;COUNT(Dong2),"",OFFSET(TH!E$1,SMALL(Dong2,ROWS($1:67)),))</f>
        <v>42542</v>
      </c>
      <c r="D78" s="449" t="str">
        <f ca="1">IF(ROWS($1:67)&gt;COUNT(Dong2),"",OFFSET(TH!F$1,SMALL(Dong2,ROWS($1:67)),))</f>
        <v>Lãi vay</v>
      </c>
      <c r="E78" s="212" t="str">
        <f ca="1">IF(ROWS($1:67)&gt;COUNT(Dong2),"",IF(OFFSET(TH!O$1,SMALL(Dong2,ROWS($1:67)),)=$I$6,OFFSET(TH!N$1,SMALL(Dong2,ROWS($1:67)),),OFFSET(TH!O$1,SMALL(Dong2,ROWS($1:67)),)))</f>
        <v>635</v>
      </c>
      <c r="F78" s="213">
        <f ca="1">IF(ROWS($1:67)&gt;COUNT(Dong2),"",IF(OFFSET(TH!N$1,SMALL(Dong2,ROWS($1:67)),)=$I$6,IF($I$6="1121",OFFSET(TH!M$1,SMALL(Dong2,ROWS($1:67)),),OFFSET(TH!K$1,SMALL(Dong2,ROWS($1:67)),)),0))</f>
        <v>0</v>
      </c>
      <c r="G78" s="213">
        <f ca="1">IF(ROWS($1:67)&gt;COUNT(Dong2),"",IF(OFFSET(TH!O$1,SMALL(Dong2,ROWS($1:67)),)=$I$6,IF($I$6="1121",OFFSET(TH!M$1,SMALL(Dong2,ROWS($1:67)),),OFFSET(TH!K$1,SMALL(Dong2,ROWS($1:67)),)),0))</f>
        <v>12280547</v>
      </c>
      <c r="H78" s="214">
        <f t="shared" ca="1" si="2"/>
        <v>56742103</v>
      </c>
      <c r="I78" s="214"/>
    </row>
    <row r="79" spans="1:9" s="200" customFormat="1" ht="20.25" customHeight="1">
      <c r="A79" s="212">
        <f ca="1">IF(ROWS($1:68)&gt;COUNT(Dong2),"",OFFSET(TH!C$1,SMALL(Dong2,ROWS($1:68)),))</f>
        <v>42542</v>
      </c>
      <c r="B79" s="212" t="str">
        <f ca="1">IF(ROWS($1:68)&gt;COUNT(Dong2),"",OFFSET(TH!D$1,SMALL(Dong2,ROWS($1:68)),))</f>
        <v>GBN</v>
      </c>
      <c r="C79" s="212">
        <f ca="1">IF(ROWS($1:68)&gt;COUNT(Dong2),"",OFFSET(TH!E$1,SMALL(Dong2,ROWS($1:68)),))</f>
        <v>42542</v>
      </c>
      <c r="D79" s="449" t="str">
        <f ca="1">IF(ROWS($1:68)&gt;COUNT(Dong2),"",OFFSET(TH!F$1,SMALL(Dong2,ROWS($1:68)),))</f>
        <v>Lãi vay</v>
      </c>
      <c r="E79" s="212" t="str">
        <f ca="1">IF(ROWS($1:68)&gt;COUNT(Dong2),"",IF(OFFSET(TH!O$1,SMALL(Dong2,ROWS($1:68)),)=$I$6,OFFSET(TH!N$1,SMALL(Dong2,ROWS($1:68)),),OFFSET(TH!O$1,SMALL(Dong2,ROWS($1:68)),)))</f>
        <v>635</v>
      </c>
      <c r="F79" s="213">
        <f ca="1">IF(ROWS($1:68)&gt;COUNT(Dong2),"",IF(OFFSET(TH!N$1,SMALL(Dong2,ROWS($1:68)),)=$I$6,IF($I$6="1121",OFFSET(TH!M$1,SMALL(Dong2,ROWS($1:68)),),OFFSET(TH!K$1,SMALL(Dong2,ROWS($1:68)),)),0))</f>
        <v>0</v>
      </c>
      <c r="G79" s="213">
        <f ca="1">IF(ROWS($1:68)&gt;COUNT(Dong2),"",IF(OFFSET(TH!O$1,SMALL(Dong2,ROWS($1:68)),)=$I$6,IF($I$6="1121",OFFSET(TH!M$1,SMALL(Dong2,ROWS($1:68)),),OFFSET(TH!K$1,SMALL(Dong2,ROWS($1:68)),)),0))</f>
        <v>12280547</v>
      </c>
      <c r="H79" s="214">
        <f t="shared" ca="1" si="2"/>
        <v>44461556</v>
      </c>
      <c r="I79" s="214"/>
    </row>
    <row r="80" spans="1:9" s="200" customFormat="1" ht="20.25" customHeight="1">
      <c r="A80" s="212">
        <f ca="1">IF(ROWS($1:69)&gt;COUNT(Dong2),"",OFFSET(TH!C$1,SMALL(Dong2,ROWS($1:69)),))</f>
        <v>42542</v>
      </c>
      <c r="B80" s="212" t="str">
        <f ca="1">IF(ROWS($1:69)&gt;COUNT(Dong2),"",OFFSET(TH!D$1,SMALL(Dong2,ROWS($1:69)),))</f>
        <v>GBN</v>
      </c>
      <c r="C80" s="212">
        <f ca="1">IF(ROWS($1:69)&gt;COUNT(Dong2),"",OFFSET(TH!E$1,SMALL(Dong2,ROWS($1:69)),))</f>
        <v>42542</v>
      </c>
      <c r="D80" s="449" t="str">
        <f ca="1">IF(ROWS($1:69)&gt;COUNT(Dong2),"",OFFSET(TH!F$1,SMALL(Dong2,ROWS($1:69)),))</f>
        <v>Lãi vay</v>
      </c>
      <c r="E80" s="212" t="str">
        <f ca="1">IF(ROWS($1:69)&gt;COUNT(Dong2),"",IF(OFFSET(TH!O$1,SMALL(Dong2,ROWS($1:69)),)=$I$6,OFFSET(TH!N$1,SMALL(Dong2,ROWS($1:69)),),OFFSET(TH!O$1,SMALL(Dong2,ROWS($1:69)),)))</f>
        <v>635</v>
      </c>
      <c r="F80" s="213">
        <f ca="1">IF(ROWS($1:69)&gt;COUNT(Dong2),"",IF(OFFSET(TH!N$1,SMALL(Dong2,ROWS($1:69)),)=$I$6,IF($I$6="1121",OFFSET(TH!M$1,SMALL(Dong2,ROWS($1:69)),),OFFSET(TH!K$1,SMALL(Dong2,ROWS($1:69)),)),0))</f>
        <v>0</v>
      </c>
      <c r="G80" s="213">
        <f ca="1">IF(ROWS($1:69)&gt;COUNT(Dong2),"",IF(OFFSET(TH!O$1,SMALL(Dong2,ROWS($1:69)),)=$I$6,IF($I$6="1121",OFFSET(TH!M$1,SMALL(Dong2,ROWS($1:69)),),OFFSET(TH!K$1,SMALL(Dong2,ROWS($1:69)),)),0))</f>
        <v>8187032</v>
      </c>
      <c r="H80" s="214">
        <f t="shared" ca="1" si="2"/>
        <v>36274524</v>
      </c>
      <c r="I80" s="214"/>
    </row>
    <row r="81" spans="1:9" s="200" customFormat="1" ht="20.25" customHeight="1">
      <c r="A81" s="212">
        <f ca="1">IF(ROWS($1:70)&gt;COUNT(Dong2),"",OFFSET(TH!C$1,SMALL(Dong2,ROWS($1:70)),))</f>
        <v>42542</v>
      </c>
      <c r="B81" s="212" t="str">
        <f ca="1">IF(ROWS($1:70)&gt;COUNT(Dong2),"",OFFSET(TH!D$1,SMALL(Dong2,ROWS($1:70)),))</f>
        <v>GBN</v>
      </c>
      <c r="C81" s="212">
        <f ca="1">IF(ROWS($1:70)&gt;COUNT(Dong2),"",OFFSET(TH!E$1,SMALL(Dong2,ROWS($1:70)),))</f>
        <v>42542</v>
      </c>
      <c r="D81" s="449" t="str">
        <f ca="1">IF(ROWS($1:70)&gt;COUNT(Dong2),"",OFFSET(TH!F$1,SMALL(Dong2,ROWS($1:70)),))</f>
        <v>Lãi vay</v>
      </c>
      <c r="E81" s="212" t="str">
        <f ca="1">IF(ROWS($1:70)&gt;COUNT(Dong2),"",IF(OFFSET(TH!O$1,SMALL(Dong2,ROWS($1:70)),)=$I$6,OFFSET(TH!N$1,SMALL(Dong2,ROWS($1:70)),),OFFSET(TH!O$1,SMALL(Dong2,ROWS($1:70)),)))</f>
        <v>635</v>
      </c>
      <c r="F81" s="213">
        <f ca="1">IF(ROWS($1:70)&gt;COUNT(Dong2),"",IF(OFFSET(TH!N$1,SMALL(Dong2,ROWS($1:70)),)=$I$6,IF($I$6="1121",OFFSET(TH!M$1,SMALL(Dong2,ROWS($1:70)),),OFFSET(TH!K$1,SMALL(Dong2,ROWS($1:70)),)),0))</f>
        <v>0</v>
      </c>
      <c r="G81" s="213">
        <f ca="1">IF(ROWS($1:70)&gt;COUNT(Dong2),"",IF(OFFSET(TH!O$1,SMALL(Dong2,ROWS($1:70)),)=$I$6,IF($I$6="1121",OFFSET(TH!M$1,SMALL(Dong2,ROWS($1:70)),),OFFSET(TH!K$1,SMALL(Dong2,ROWS($1:70)),)),0))</f>
        <v>8187032</v>
      </c>
      <c r="H81" s="214">
        <f t="shared" ca="1" si="2"/>
        <v>28087492</v>
      </c>
      <c r="I81" s="214"/>
    </row>
    <row r="82" spans="1:9" s="200" customFormat="1" ht="20.25" customHeight="1">
      <c r="A82" s="212">
        <f ca="1">IF(ROWS($1:71)&gt;COUNT(Dong2),"",OFFSET(TH!C$1,SMALL(Dong2,ROWS($1:71)),))</f>
        <v>42543</v>
      </c>
      <c r="B82" s="212" t="str">
        <f ca="1">IF(ROWS($1:71)&gt;COUNT(Dong2),"",OFFSET(TH!D$1,SMALL(Dong2,ROWS($1:71)),))</f>
        <v>GBC</v>
      </c>
      <c r="C82" s="212">
        <f ca="1">IF(ROWS($1:71)&gt;COUNT(Dong2),"",OFFSET(TH!E$1,SMALL(Dong2,ROWS($1:71)),))</f>
        <v>42543</v>
      </c>
      <c r="D82" s="449" t="str">
        <f ca="1">IF(ROWS($1:71)&gt;COUNT(Dong2),"",OFFSET(TH!F$1,SMALL(Dong2,ROWS($1:71)),))</f>
        <v>Vay vốn NH</v>
      </c>
      <c r="E82" s="212" t="str">
        <f ca="1">IF(ROWS($1:71)&gt;COUNT(Dong2),"",IF(OFFSET(TH!O$1,SMALL(Dong2,ROWS($1:71)),)=$I$6,OFFSET(TH!N$1,SMALL(Dong2,ROWS($1:71)),),OFFSET(TH!O$1,SMALL(Dong2,ROWS($1:71)),)))</f>
        <v>3412</v>
      </c>
      <c r="F82" s="213">
        <f ca="1">IF(ROWS($1:71)&gt;COUNT(Dong2),"",IF(OFFSET(TH!N$1,SMALL(Dong2,ROWS($1:71)),)=$I$6,IF($I$6="1121",OFFSET(TH!M$1,SMALL(Dong2,ROWS($1:71)),),OFFSET(TH!K$1,SMALL(Dong2,ROWS($1:71)),)),0))</f>
        <v>1961520000</v>
      </c>
      <c r="G82" s="213">
        <f ca="1">IF(ROWS($1:71)&gt;COUNT(Dong2),"",IF(OFFSET(TH!O$1,SMALL(Dong2,ROWS($1:71)),)=$I$6,IF($I$6="1121",OFFSET(TH!M$1,SMALL(Dong2,ROWS($1:71)),),OFFSET(TH!K$1,SMALL(Dong2,ROWS($1:71)),)),0))</f>
        <v>0</v>
      </c>
      <c r="H82" s="214">
        <f t="shared" ca="1" si="2"/>
        <v>1989607492</v>
      </c>
      <c r="I82" s="214"/>
    </row>
    <row r="83" spans="1:9" s="200" customFormat="1" ht="20.25" customHeight="1">
      <c r="A83" s="212">
        <f ca="1">IF(ROWS($1:72)&gt;COUNT(Dong2),"",OFFSET(TH!C$1,SMALL(Dong2,ROWS($1:72)),))</f>
        <v>42543</v>
      </c>
      <c r="B83" s="212" t="str">
        <f ca="1">IF(ROWS($1:72)&gt;COUNT(Dong2),"",OFFSET(TH!D$1,SMALL(Dong2,ROWS($1:72)),))</f>
        <v>GBN</v>
      </c>
      <c r="C83" s="212">
        <f ca="1">IF(ROWS($1:72)&gt;COUNT(Dong2),"",OFFSET(TH!E$1,SMALL(Dong2,ROWS($1:72)),))</f>
        <v>42543</v>
      </c>
      <c r="D83" s="449" t="str">
        <f ca="1">IF(ROWS($1:72)&gt;COUNT(Dong2),"",OFFSET(TH!F$1,SMALL(Dong2,ROWS($1:72)),))</f>
        <v>Lãi vay</v>
      </c>
      <c r="E83" s="212" t="str">
        <f ca="1">IF(ROWS($1:72)&gt;COUNT(Dong2),"",IF(OFFSET(TH!O$1,SMALL(Dong2,ROWS($1:72)),)=$I$6,OFFSET(TH!N$1,SMALL(Dong2,ROWS($1:72)),),OFFSET(TH!O$1,SMALL(Dong2,ROWS($1:72)),)))</f>
        <v>635</v>
      </c>
      <c r="F83" s="213">
        <f ca="1">IF(ROWS($1:72)&gt;COUNT(Dong2),"",IF(OFFSET(TH!N$1,SMALL(Dong2,ROWS($1:72)),)=$I$6,IF($I$6="1121",OFFSET(TH!M$1,SMALL(Dong2,ROWS($1:72)),),OFFSET(TH!K$1,SMALL(Dong2,ROWS($1:72)),)),0))</f>
        <v>0</v>
      </c>
      <c r="G83" s="213">
        <f ca="1">IF(ROWS($1:72)&gt;COUNT(Dong2),"",IF(OFFSET(TH!O$1,SMALL(Dong2,ROWS($1:72)),)=$I$6,IF($I$6="1121",OFFSET(TH!M$1,SMALL(Dong2,ROWS($1:72)),),OFFSET(TH!K$1,SMALL(Dong2,ROWS($1:72)),)),0))</f>
        <v>12280547</v>
      </c>
      <c r="H83" s="214">
        <f t="shared" ca="1" si="2"/>
        <v>1977326945</v>
      </c>
      <c r="I83" s="214"/>
    </row>
    <row r="84" spans="1:9" s="200" customFormat="1" ht="20.25" customHeight="1">
      <c r="A84" s="212">
        <f ca="1">IF(ROWS($1:73)&gt;COUNT(Dong2),"",OFFSET(TH!C$1,SMALL(Dong2,ROWS($1:73)),))</f>
        <v>42543</v>
      </c>
      <c r="B84" s="212" t="str">
        <f ca="1">IF(ROWS($1:73)&gt;COUNT(Dong2),"",OFFSET(TH!D$1,SMALL(Dong2,ROWS($1:73)),))</f>
        <v>GBN</v>
      </c>
      <c r="C84" s="212">
        <f ca="1">IF(ROWS($1:73)&gt;COUNT(Dong2),"",OFFSET(TH!E$1,SMALL(Dong2,ROWS($1:73)),))</f>
        <v>42543</v>
      </c>
      <c r="D84" s="449" t="str">
        <f ca="1">IF(ROWS($1:73)&gt;COUNT(Dong2),"",OFFSET(TH!F$1,SMALL(Dong2,ROWS($1:73)),))</f>
        <v>Hoàn vốn AL - Q4</v>
      </c>
      <c r="E84" s="212" t="str">
        <f ca="1">IF(ROWS($1:73)&gt;COUNT(Dong2),"",IF(OFFSET(TH!O$1,SMALL(Dong2,ROWS($1:73)),)=$I$6,OFFSET(TH!N$1,SMALL(Dong2,ROWS($1:73)),),OFFSET(TH!O$1,SMALL(Dong2,ROWS($1:73)),)))</f>
        <v>1388</v>
      </c>
      <c r="F84" s="213">
        <f ca="1">IF(ROWS($1:73)&gt;COUNT(Dong2),"",IF(OFFSET(TH!N$1,SMALL(Dong2,ROWS($1:73)),)=$I$6,IF($I$6="1121",OFFSET(TH!M$1,SMALL(Dong2,ROWS($1:73)),),OFFSET(TH!K$1,SMALL(Dong2,ROWS($1:73)),)),0))</f>
        <v>0</v>
      </c>
      <c r="G84" s="213">
        <f ca="1">IF(ROWS($1:73)&gt;COUNT(Dong2),"",IF(OFFSET(TH!O$1,SMALL(Dong2,ROWS($1:73)),)=$I$6,IF($I$6="1121",OFFSET(TH!M$1,SMALL(Dong2,ROWS($1:73)),),OFFSET(TH!K$1,SMALL(Dong2,ROWS($1:73)),)),0))</f>
        <v>8000000</v>
      </c>
      <c r="H84" s="214">
        <f t="shared" ca="1" si="2"/>
        <v>1969326945</v>
      </c>
      <c r="I84" s="214"/>
    </row>
    <row r="85" spans="1:9" s="200" customFormat="1" ht="20.25" customHeight="1">
      <c r="A85" s="212">
        <f ca="1">IF(ROWS($1:74)&gt;COUNT(Dong2),"",OFFSET(TH!C$1,SMALL(Dong2,ROWS($1:74)),))</f>
        <v>42543</v>
      </c>
      <c r="B85" s="212" t="str">
        <f ca="1">IF(ROWS($1:74)&gt;COUNT(Dong2),"",OFFSET(TH!D$1,SMALL(Dong2,ROWS($1:74)),))</f>
        <v>GBN</v>
      </c>
      <c r="C85" s="212">
        <f ca="1">IF(ROWS($1:74)&gt;COUNT(Dong2),"",OFFSET(TH!E$1,SMALL(Dong2,ROWS($1:74)),))</f>
        <v>42543</v>
      </c>
      <c r="D85" s="449" t="str">
        <f ca="1">IF(ROWS($1:74)&gt;COUNT(Dong2),"",OFFSET(TH!F$1,SMALL(Dong2,ROWS($1:74)),))</f>
        <v>Hoàn vốn AL - Q11</v>
      </c>
      <c r="E85" s="212" t="str">
        <f ca="1">IF(ROWS($1:74)&gt;COUNT(Dong2),"",IF(OFFSET(TH!O$1,SMALL(Dong2,ROWS($1:74)),)=$I$6,OFFSET(TH!N$1,SMALL(Dong2,ROWS($1:74)),),OFFSET(TH!O$1,SMALL(Dong2,ROWS($1:74)),)))</f>
        <v>1388</v>
      </c>
      <c r="F85" s="213">
        <f ca="1">IF(ROWS($1:74)&gt;COUNT(Dong2),"",IF(OFFSET(TH!N$1,SMALL(Dong2,ROWS($1:74)),)=$I$6,IF($I$6="1121",OFFSET(TH!M$1,SMALL(Dong2,ROWS($1:74)),),OFFSET(TH!K$1,SMALL(Dong2,ROWS($1:74)),)),0))</f>
        <v>0</v>
      </c>
      <c r="G85" s="213">
        <f ca="1">IF(ROWS($1:74)&gt;COUNT(Dong2),"",IF(OFFSET(TH!O$1,SMALL(Dong2,ROWS($1:74)),)=$I$6,IF($I$6="1121",OFFSET(TH!M$1,SMALL(Dong2,ROWS($1:74)),),OFFSET(TH!K$1,SMALL(Dong2,ROWS($1:74)),)),0))</f>
        <v>7000000</v>
      </c>
      <c r="H85" s="214">
        <f t="shared" ca="1" si="2"/>
        <v>1962326945</v>
      </c>
      <c r="I85" s="214"/>
    </row>
    <row r="86" spans="1:9" s="200" customFormat="1" ht="20.25" customHeight="1">
      <c r="A86" s="212">
        <f ca="1">IF(ROWS($1:75)&gt;COUNT(Dong2),"",OFFSET(TH!C$1,SMALL(Dong2,ROWS($1:75)),))</f>
        <v>42543</v>
      </c>
      <c r="B86" s="212" t="str">
        <f ca="1">IF(ROWS($1:75)&gt;COUNT(Dong2),"",OFFSET(TH!D$1,SMALL(Dong2,ROWS($1:75)),))</f>
        <v>GBN</v>
      </c>
      <c r="C86" s="212">
        <f ca="1">IF(ROWS($1:75)&gt;COUNT(Dong2),"",OFFSET(TH!E$1,SMALL(Dong2,ROWS($1:75)),))</f>
        <v>42543</v>
      </c>
      <c r="D86" s="449" t="str">
        <f ca="1">IF(ROWS($1:75)&gt;COUNT(Dong2),"",OFFSET(TH!F$1,SMALL(Dong2,ROWS($1:75)),))</f>
        <v>Phí kiểm đếm</v>
      </c>
      <c r="E86" s="212" t="str">
        <f ca="1">IF(ROWS($1:75)&gt;COUNT(Dong2),"",IF(OFFSET(TH!O$1,SMALL(Dong2,ROWS($1:75)),)=$I$6,OFFSET(TH!N$1,SMALL(Dong2,ROWS($1:75)),),OFFSET(TH!O$1,SMALL(Dong2,ROWS($1:75)),)))</f>
        <v>642</v>
      </c>
      <c r="F86" s="213">
        <f ca="1">IF(ROWS($1:75)&gt;COUNT(Dong2),"",IF(OFFSET(TH!N$1,SMALL(Dong2,ROWS($1:75)),)=$I$6,IF($I$6="1121",OFFSET(TH!M$1,SMALL(Dong2,ROWS($1:75)),),OFFSET(TH!K$1,SMALL(Dong2,ROWS($1:75)),)),0))</f>
        <v>0</v>
      </c>
      <c r="G86" s="213">
        <f ca="1">IF(ROWS($1:75)&gt;COUNT(Dong2),"",IF(OFFSET(TH!O$1,SMALL(Dong2,ROWS($1:75)),)=$I$6,IF($I$6="1121",OFFSET(TH!M$1,SMALL(Dong2,ROWS($1:75)),),OFFSET(TH!K$1,SMALL(Dong2,ROWS($1:75)),)),0))</f>
        <v>20000</v>
      </c>
      <c r="H86" s="214">
        <f t="shared" ca="1" si="2"/>
        <v>1962306945</v>
      </c>
      <c r="I86" s="214"/>
    </row>
    <row r="87" spans="1:9" s="200" customFormat="1" ht="20.25" customHeight="1">
      <c r="A87" s="212">
        <f ca="1">IF(ROWS($1:76)&gt;COUNT(Dong2),"",OFFSET(TH!C$1,SMALL(Dong2,ROWS($1:76)),))</f>
        <v>42543</v>
      </c>
      <c r="B87" s="212" t="str">
        <f ca="1">IF(ROWS($1:76)&gt;COUNT(Dong2),"",OFFSET(TH!D$1,SMALL(Dong2,ROWS($1:76)),))</f>
        <v>GBN</v>
      </c>
      <c r="C87" s="212">
        <f ca="1">IF(ROWS($1:76)&gt;COUNT(Dong2),"",OFFSET(TH!E$1,SMALL(Dong2,ROWS($1:76)),))</f>
        <v>42543</v>
      </c>
      <c r="D87" s="449" t="str">
        <f ca="1">IF(ROWS($1:76)&gt;COUNT(Dong2),"",OFFSET(TH!F$1,SMALL(Dong2,ROWS($1:76)),))</f>
        <v>VAT Phí kiểm đếm</v>
      </c>
      <c r="E87" s="212" t="str">
        <f ca="1">IF(ROWS($1:76)&gt;COUNT(Dong2),"",IF(OFFSET(TH!O$1,SMALL(Dong2,ROWS($1:76)),)=$I$6,OFFSET(TH!N$1,SMALL(Dong2,ROWS($1:76)),),OFFSET(TH!O$1,SMALL(Dong2,ROWS($1:76)),)))</f>
        <v>1331</v>
      </c>
      <c r="F87" s="213">
        <f ca="1">IF(ROWS($1:76)&gt;COUNT(Dong2),"",IF(OFFSET(TH!N$1,SMALL(Dong2,ROWS($1:76)),)=$I$6,IF($I$6="1121",OFFSET(TH!M$1,SMALL(Dong2,ROWS($1:76)),),OFFSET(TH!K$1,SMALL(Dong2,ROWS($1:76)),)),0))</f>
        <v>0</v>
      </c>
      <c r="G87" s="213">
        <f ca="1">IF(ROWS($1:76)&gt;COUNT(Dong2),"",IF(OFFSET(TH!O$1,SMALL(Dong2,ROWS($1:76)),)=$I$6,IF($I$6="1121",OFFSET(TH!M$1,SMALL(Dong2,ROWS($1:76)),),OFFSET(TH!K$1,SMALL(Dong2,ROWS($1:76)),)),0))</f>
        <v>2000</v>
      </c>
      <c r="H87" s="214">
        <f t="shared" ca="1" si="2"/>
        <v>1962304945</v>
      </c>
      <c r="I87" s="214"/>
    </row>
    <row r="88" spans="1:9" s="200" customFormat="1" ht="20.25" customHeight="1">
      <c r="A88" s="212">
        <f ca="1">IF(ROWS($1:77)&gt;COUNT(Dong2),"",OFFSET(TH!C$1,SMALL(Dong2,ROWS($1:77)),))</f>
        <v>42544</v>
      </c>
      <c r="B88" s="212" t="str">
        <f ca="1">IF(ROWS($1:77)&gt;COUNT(Dong2),"",OFFSET(TH!D$1,SMALL(Dong2,ROWS($1:77)),))</f>
        <v>T02</v>
      </c>
      <c r="C88" s="212">
        <f ca="1">IF(ROWS($1:77)&gt;COUNT(Dong2),"",OFFSET(TH!E$1,SMALL(Dong2,ROWS($1:77)),))</f>
        <v>42544</v>
      </c>
      <c r="D88" s="449" t="str">
        <f ca="1">IF(ROWS($1:77)&gt;COUNT(Dong2),"",OFFSET(TH!F$1,SMALL(Dong2,ROWS($1:77)),))</f>
        <v>Q4 - Rút tiền mặt</v>
      </c>
      <c r="E88" s="212" t="str">
        <f ca="1">IF(ROWS($1:77)&gt;COUNT(Dong2),"",IF(OFFSET(TH!O$1,SMALL(Dong2,ROWS($1:77)),)=$I$6,OFFSET(TH!N$1,SMALL(Dong2,ROWS($1:77)),),OFFSET(TH!O$1,SMALL(Dong2,ROWS($1:77)),)))</f>
        <v>1111</v>
      </c>
      <c r="F88" s="213">
        <f ca="1">IF(ROWS($1:77)&gt;COUNT(Dong2),"",IF(OFFSET(TH!N$1,SMALL(Dong2,ROWS($1:77)),)=$I$6,IF($I$6="1121",OFFSET(TH!M$1,SMALL(Dong2,ROWS($1:77)),),OFFSET(TH!K$1,SMALL(Dong2,ROWS($1:77)),)),0))</f>
        <v>0</v>
      </c>
      <c r="G88" s="213">
        <f ca="1">IF(ROWS($1:77)&gt;COUNT(Dong2),"",IF(OFFSET(TH!O$1,SMALL(Dong2,ROWS($1:77)),)=$I$6,IF($I$6="1121",OFFSET(TH!M$1,SMALL(Dong2,ROWS($1:77)),),OFFSET(TH!K$1,SMALL(Dong2,ROWS($1:77)),)),0))</f>
        <v>1960000000</v>
      </c>
      <c r="H88" s="214">
        <f t="shared" ca="1" si="2"/>
        <v>2304945</v>
      </c>
      <c r="I88" s="214"/>
    </row>
    <row r="89" spans="1:9" s="200" customFormat="1" ht="20.25" customHeight="1">
      <c r="A89" s="212">
        <f ca="1">IF(ROWS($1:78)&gt;COUNT(Dong2),"",OFFSET(TH!C$1,SMALL(Dong2,ROWS($1:78)),))</f>
        <v>42545</v>
      </c>
      <c r="B89" s="212" t="str">
        <f ca="1">IF(ROWS($1:78)&gt;COUNT(Dong2),"",OFFSET(TH!D$1,SMALL(Dong2,ROWS($1:78)),))</f>
        <v>GBC</v>
      </c>
      <c r="C89" s="212">
        <f ca="1">IF(ROWS($1:78)&gt;COUNT(Dong2),"",OFFSET(TH!E$1,SMALL(Dong2,ROWS($1:78)),))</f>
        <v>42545</v>
      </c>
      <c r="D89" s="449" t="str">
        <f ca="1">IF(ROWS($1:78)&gt;COUNT(Dong2),"",OFFSET(TH!F$1,SMALL(Dong2,ROWS($1:78)),))</f>
        <v>Lãi TG</v>
      </c>
      <c r="E89" s="212" t="str">
        <f ca="1">IF(ROWS($1:78)&gt;COUNT(Dong2),"",IF(OFFSET(TH!O$1,SMALL(Dong2,ROWS($1:78)),)=$I$6,OFFSET(TH!N$1,SMALL(Dong2,ROWS($1:78)),),OFFSET(TH!O$1,SMALL(Dong2,ROWS($1:78)),)))</f>
        <v>515</v>
      </c>
      <c r="F89" s="213">
        <f ca="1">IF(ROWS($1:78)&gt;COUNT(Dong2),"",IF(OFFSET(TH!N$1,SMALL(Dong2,ROWS($1:78)),)=$I$6,IF($I$6="1121",OFFSET(TH!M$1,SMALL(Dong2,ROWS($1:78)),),OFFSET(TH!K$1,SMALL(Dong2,ROWS($1:78)),)),0))</f>
        <v>17669</v>
      </c>
      <c r="G89" s="213">
        <f ca="1">IF(ROWS($1:78)&gt;COUNT(Dong2),"",IF(OFFSET(TH!O$1,SMALL(Dong2,ROWS($1:78)),)=$I$6,IF($I$6="1121",OFFSET(TH!M$1,SMALL(Dong2,ROWS($1:78)),),OFFSET(TH!K$1,SMALL(Dong2,ROWS($1:78)),)),0))</f>
        <v>0</v>
      </c>
      <c r="H89" s="214">
        <f t="shared" ca="1" si="2"/>
        <v>2322614</v>
      </c>
      <c r="I89" s="214"/>
    </row>
    <row r="90" spans="1:9" s="200" customFormat="1" ht="20.25" customHeight="1">
      <c r="A90" s="212">
        <f ca="1">IF(ROWS($1:79)&gt;COUNT(Dong2),"",OFFSET(TH!C$1,SMALL(Dong2,ROWS($1:79)),))</f>
        <v>42545</v>
      </c>
      <c r="B90" s="212" t="str">
        <f ca="1">IF(ROWS($1:79)&gt;COUNT(Dong2),"",OFFSET(TH!D$1,SMALL(Dong2,ROWS($1:79)),))</f>
        <v>T03</v>
      </c>
      <c r="C90" s="212">
        <f ca="1">IF(ROWS($1:79)&gt;COUNT(Dong2),"",OFFSET(TH!E$1,SMALL(Dong2,ROWS($1:79)),))</f>
        <v>42545</v>
      </c>
      <c r="D90" s="449" t="str">
        <f ca="1">IF(ROWS($1:79)&gt;COUNT(Dong2),"",OFFSET(TH!F$1,SMALL(Dong2,ROWS($1:79)),))</f>
        <v>Rút tiền mặt</v>
      </c>
      <c r="E90" s="212" t="str">
        <f ca="1">IF(ROWS($1:79)&gt;COUNT(Dong2),"",IF(OFFSET(TH!O$1,SMALL(Dong2,ROWS($1:79)),)=$I$6,OFFSET(TH!N$1,SMALL(Dong2,ROWS($1:79)),),OFFSET(TH!O$1,SMALL(Dong2,ROWS($1:79)),)))</f>
        <v>1111</v>
      </c>
      <c r="F90" s="213">
        <f ca="1">IF(ROWS($1:79)&gt;COUNT(Dong2),"",IF(OFFSET(TH!N$1,SMALL(Dong2,ROWS($1:79)),)=$I$6,IF($I$6="1121",OFFSET(TH!M$1,SMALL(Dong2,ROWS($1:79)),),OFFSET(TH!K$1,SMALL(Dong2,ROWS($1:79)),)),0))</f>
        <v>0</v>
      </c>
      <c r="G90" s="213">
        <f ca="1">IF(ROWS($1:79)&gt;COUNT(Dong2),"",IF(OFFSET(TH!O$1,SMALL(Dong2,ROWS($1:79)),)=$I$6,IF($I$6="1121",OFFSET(TH!M$1,SMALL(Dong2,ROWS($1:79)),),OFFSET(TH!K$1,SMALL(Dong2,ROWS($1:79)),)),0))</f>
        <v>2000000</v>
      </c>
      <c r="H90" s="214">
        <f t="shared" ca="1" si="2"/>
        <v>322614</v>
      </c>
      <c r="I90" s="214"/>
    </row>
    <row r="91" spans="1:9" s="200" customFormat="1" ht="20.25" customHeight="1">
      <c r="A91" s="212">
        <f ca="1">IF(ROWS($1:80)&gt;COUNT(Dong2),"",OFFSET(TH!C$1,SMALL(Dong2,ROWS($1:80)),))</f>
        <v>42546</v>
      </c>
      <c r="B91" s="212" t="str">
        <f ca="1">IF(ROWS($1:80)&gt;COUNT(Dong2),"",OFFSET(TH!D$1,SMALL(Dong2,ROWS($1:80)),))</f>
        <v>GBN</v>
      </c>
      <c r="C91" s="212">
        <f ca="1">IF(ROWS($1:80)&gt;COUNT(Dong2),"",OFFSET(TH!E$1,SMALL(Dong2,ROWS($1:80)),))</f>
        <v>42546</v>
      </c>
      <c r="D91" s="449" t="str">
        <f ca="1">IF(ROWS($1:80)&gt;COUNT(Dong2),"",OFFSET(TH!F$1,SMALL(Dong2,ROWS($1:80)),))</f>
        <v>Dịch vụ thông báo số dư 0903 921 945 VNĐ</v>
      </c>
      <c r="E91" s="212" t="str">
        <f ca="1">IF(ROWS($1:80)&gt;COUNT(Dong2),"",IF(OFFSET(TH!O$1,SMALL(Dong2,ROWS($1:80)),)=$I$6,OFFSET(TH!N$1,SMALL(Dong2,ROWS($1:80)),),OFFSET(TH!O$1,SMALL(Dong2,ROWS($1:80)),)))</f>
        <v>642</v>
      </c>
      <c r="F91" s="213">
        <f ca="1">IF(ROWS($1:80)&gt;COUNT(Dong2),"",IF(OFFSET(TH!N$1,SMALL(Dong2,ROWS($1:80)),)=$I$6,IF($I$6="1121",OFFSET(TH!M$1,SMALL(Dong2,ROWS($1:80)),),OFFSET(TH!K$1,SMALL(Dong2,ROWS($1:80)),)),0))</f>
        <v>0</v>
      </c>
      <c r="G91" s="213">
        <f ca="1">IF(ROWS($1:80)&gt;COUNT(Dong2),"",IF(OFFSET(TH!O$1,SMALL(Dong2,ROWS($1:80)),)=$I$6,IF($I$6="1121",OFFSET(TH!M$1,SMALL(Dong2,ROWS($1:80)),),OFFSET(TH!K$1,SMALL(Dong2,ROWS($1:80)),)),0))</f>
        <v>50000</v>
      </c>
      <c r="H91" s="214">
        <f t="shared" ca="1" si="2"/>
        <v>272614</v>
      </c>
      <c r="I91" s="214"/>
    </row>
    <row r="92" spans="1:9" s="200" customFormat="1" ht="20.25" customHeight="1">
      <c r="A92" s="212">
        <f ca="1">IF(ROWS($1:81)&gt;COUNT(Dong2),"",OFFSET(TH!C$1,SMALL(Dong2,ROWS($1:81)),))</f>
        <v>42546</v>
      </c>
      <c r="B92" s="212" t="str">
        <f ca="1">IF(ROWS($1:81)&gt;COUNT(Dong2),"",OFFSET(TH!D$1,SMALL(Dong2,ROWS($1:81)),))</f>
        <v>GBN</v>
      </c>
      <c r="C92" s="212">
        <f ca="1">IF(ROWS($1:81)&gt;COUNT(Dong2),"",OFFSET(TH!E$1,SMALL(Dong2,ROWS($1:81)),))</f>
        <v>42546</v>
      </c>
      <c r="D92" s="449" t="str">
        <f ca="1">IF(ROWS($1:81)&gt;COUNT(Dong2),"",OFFSET(TH!F$1,SMALL(Dong2,ROWS($1:81)),))</f>
        <v>VAT Dịch vụ thông báo số dư</v>
      </c>
      <c r="E92" s="212" t="str">
        <f ca="1">IF(ROWS($1:81)&gt;COUNT(Dong2),"",IF(OFFSET(TH!O$1,SMALL(Dong2,ROWS($1:81)),)=$I$6,OFFSET(TH!N$1,SMALL(Dong2,ROWS($1:81)),),OFFSET(TH!O$1,SMALL(Dong2,ROWS($1:81)),)))</f>
        <v>1331</v>
      </c>
      <c r="F92" s="213">
        <f ca="1">IF(ROWS($1:81)&gt;COUNT(Dong2),"",IF(OFFSET(TH!N$1,SMALL(Dong2,ROWS($1:81)),)=$I$6,IF($I$6="1121",OFFSET(TH!M$1,SMALL(Dong2,ROWS($1:81)),),OFFSET(TH!K$1,SMALL(Dong2,ROWS($1:81)),)),0))</f>
        <v>0</v>
      </c>
      <c r="G92" s="213">
        <f ca="1">IF(ROWS($1:81)&gt;COUNT(Dong2),"",IF(OFFSET(TH!O$1,SMALL(Dong2,ROWS($1:81)),)=$I$6,IF($I$6="1121",OFFSET(TH!M$1,SMALL(Dong2,ROWS($1:81)),),OFFSET(TH!K$1,SMALL(Dong2,ROWS($1:81)),)),0))</f>
        <v>5000</v>
      </c>
      <c r="H92" s="214">
        <f t="shared" ca="1" si="2"/>
        <v>267614</v>
      </c>
      <c r="I92" s="214"/>
    </row>
    <row r="93" spans="1:9" s="200" customFormat="1" ht="20.25" customHeight="1">
      <c r="A93" s="212">
        <f ca="1">IF(ROWS($1:82)&gt;COUNT(Dong2),"",OFFSET(TH!C$1,SMALL(Dong2,ROWS($1:82)),))</f>
        <v>42546</v>
      </c>
      <c r="B93" s="212" t="str">
        <f ca="1">IF(ROWS($1:82)&gt;COUNT(Dong2),"",OFFSET(TH!D$1,SMALL(Dong2,ROWS($1:82)),))</f>
        <v>GBN</v>
      </c>
      <c r="C93" s="212">
        <f ca="1">IF(ROWS($1:82)&gt;COUNT(Dong2),"",OFFSET(TH!E$1,SMALL(Dong2,ROWS($1:82)),))</f>
        <v>42546</v>
      </c>
      <c r="D93" s="449" t="str">
        <f ca="1">IF(ROWS($1:82)&gt;COUNT(Dong2),"",OFFSET(TH!F$1,SMALL(Dong2,ROWS($1:82)),))</f>
        <v>Dịch vụ thông báo số dư 0982 911 262 VNĐ</v>
      </c>
      <c r="E93" s="212" t="str">
        <f ca="1">IF(ROWS($1:82)&gt;COUNT(Dong2),"",IF(OFFSET(TH!O$1,SMALL(Dong2,ROWS($1:82)),)=$I$6,OFFSET(TH!N$1,SMALL(Dong2,ROWS($1:82)),),OFFSET(TH!O$1,SMALL(Dong2,ROWS($1:82)),)))</f>
        <v>642</v>
      </c>
      <c r="F93" s="213">
        <f ca="1">IF(ROWS($1:82)&gt;COUNT(Dong2),"",IF(OFFSET(TH!N$1,SMALL(Dong2,ROWS($1:82)),)=$I$6,IF($I$6="1121",OFFSET(TH!M$1,SMALL(Dong2,ROWS($1:82)),),OFFSET(TH!K$1,SMALL(Dong2,ROWS($1:82)),)),0))</f>
        <v>0</v>
      </c>
      <c r="G93" s="213">
        <f ca="1">IF(ROWS($1:82)&gt;COUNT(Dong2),"",IF(OFFSET(TH!O$1,SMALL(Dong2,ROWS($1:82)),)=$I$6,IF($I$6="1121",OFFSET(TH!M$1,SMALL(Dong2,ROWS($1:82)),),OFFSET(TH!K$1,SMALL(Dong2,ROWS($1:82)),)),0))</f>
        <v>50000</v>
      </c>
      <c r="H93" s="214">
        <f t="shared" ca="1" si="2"/>
        <v>217614</v>
      </c>
      <c r="I93" s="214"/>
    </row>
    <row r="94" spans="1:9" s="200" customFormat="1" ht="20.25" customHeight="1">
      <c r="A94" s="212">
        <f ca="1">IF(ROWS($1:83)&gt;COUNT(Dong2),"",OFFSET(TH!C$1,SMALL(Dong2,ROWS($1:83)),))</f>
        <v>42546</v>
      </c>
      <c r="B94" s="212" t="str">
        <f ca="1">IF(ROWS($1:83)&gt;COUNT(Dong2),"",OFFSET(TH!D$1,SMALL(Dong2,ROWS($1:83)),))</f>
        <v>GBN</v>
      </c>
      <c r="C94" s="212">
        <f ca="1">IF(ROWS($1:83)&gt;COUNT(Dong2),"",OFFSET(TH!E$1,SMALL(Dong2,ROWS($1:83)),))</f>
        <v>42546</v>
      </c>
      <c r="D94" s="449" t="str">
        <f ca="1">IF(ROWS($1:83)&gt;COUNT(Dong2),"",OFFSET(TH!F$1,SMALL(Dong2,ROWS($1:83)),))</f>
        <v>VAT Dịch vụ thông báo số dư</v>
      </c>
      <c r="E94" s="212" t="str">
        <f ca="1">IF(ROWS($1:83)&gt;COUNT(Dong2),"",IF(OFFSET(TH!O$1,SMALL(Dong2,ROWS($1:83)),)=$I$6,OFFSET(TH!N$1,SMALL(Dong2,ROWS($1:83)),),OFFSET(TH!O$1,SMALL(Dong2,ROWS($1:83)),)))</f>
        <v>1331</v>
      </c>
      <c r="F94" s="213">
        <f ca="1">IF(ROWS($1:83)&gt;COUNT(Dong2),"",IF(OFFSET(TH!N$1,SMALL(Dong2,ROWS($1:83)),)=$I$6,IF($I$6="1121",OFFSET(TH!M$1,SMALL(Dong2,ROWS($1:83)),),OFFSET(TH!K$1,SMALL(Dong2,ROWS($1:83)),)),0))</f>
        <v>0</v>
      </c>
      <c r="G94" s="213">
        <f ca="1">IF(ROWS($1:83)&gt;COUNT(Dong2),"",IF(OFFSET(TH!O$1,SMALL(Dong2,ROWS($1:83)),)=$I$6,IF($I$6="1121",OFFSET(TH!M$1,SMALL(Dong2,ROWS($1:83)),),OFFSET(TH!K$1,SMALL(Dong2,ROWS($1:83)),)),0))</f>
        <v>5000</v>
      </c>
      <c r="H94" s="214">
        <f t="shared" ca="1" si="2"/>
        <v>212614</v>
      </c>
      <c r="I94" s="214"/>
    </row>
    <row r="95" spans="1:9" s="200" customFormat="1" ht="20.25" customHeight="1">
      <c r="A95" s="212">
        <f ca="1">IF(ROWS($1:84)&gt;COUNT(Dong2),"",OFFSET(TH!C$1,SMALL(Dong2,ROWS($1:84)),))</f>
        <v>42549</v>
      </c>
      <c r="B95" s="212" t="str">
        <f ca="1">IF(ROWS($1:84)&gt;COUNT(Dong2),"",OFFSET(TH!D$1,SMALL(Dong2,ROWS($1:84)),))</f>
        <v>GBC</v>
      </c>
      <c r="C95" s="212">
        <f ca="1">IF(ROWS($1:84)&gt;COUNT(Dong2),"",OFFSET(TH!E$1,SMALL(Dong2,ROWS($1:84)),))</f>
        <v>42549</v>
      </c>
      <c r="D95" s="449" t="str">
        <f ca="1">IF(ROWS($1:84)&gt;COUNT(Dong2),"",OFFSET(TH!F$1,SMALL(Dong2,ROWS($1:84)),))</f>
        <v>Ứng vốn</v>
      </c>
      <c r="E95" s="212" t="str">
        <f ca="1">IF(ROWS($1:84)&gt;COUNT(Dong2),"",IF(OFFSET(TH!O$1,SMALL(Dong2,ROWS($1:84)),)=$I$6,OFFSET(TH!N$1,SMALL(Dong2,ROWS($1:84)),),OFFSET(TH!O$1,SMALL(Dong2,ROWS($1:84)),)))</f>
        <v>1388</v>
      </c>
      <c r="F95" s="213">
        <f ca="1">IF(ROWS($1:84)&gt;COUNT(Dong2),"",IF(OFFSET(TH!N$1,SMALL(Dong2,ROWS($1:84)),)=$I$6,IF($I$6="1121",OFFSET(TH!M$1,SMALL(Dong2,ROWS($1:84)),),OFFSET(TH!K$1,SMALL(Dong2,ROWS($1:84)),)),0))</f>
        <v>31000000</v>
      </c>
      <c r="G95" s="213">
        <f ca="1">IF(ROWS($1:84)&gt;COUNT(Dong2),"",IF(OFFSET(TH!O$1,SMALL(Dong2,ROWS($1:84)),)=$I$6,IF($I$6="1121",OFFSET(TH!M$1,SMALL(Dong2,ROWS($1:84)),),OFFSET(TH!K$1,SMALL(Dong2,ROWS($1:84)),)),0))</f>
        <v>0</v>
      </c>
      <c r="H95" s="214">
        <f t="shared" ca="1" si="2"/>
        <v>31212614</v>
      </c>
      <c r="I95" s="214"/>
    </row>
    <row r="96" spans="1:9" s="200" customFormat="1" ht="20.25" customHeight="1">
      <c r="A96" s="212">
        <f ca="1">IF(ROWS($1:85)&gt;COUNT(Dong2),"",OFFSET(TH!C$1,SMALL(Dong2,ROWS($1:85)),))</f>
        <v>42549</v>
      </c>
      <c r="B96" s="212" t="str">
        <f ca="1">IF(ROWS($1:85)&gt;COUNT(Dong2),"",OFFSET(TH!D$1,SMALL(Dong2,ROWS($1:85)),))</f>
        <v>GBN</v>
      </c>
      <c r="C96" s="212">
        <f ca="1">IF(ROWS($1:85)&gt;COUNT(Dong2),"",OFFSET(TH!E$1,SMALL(Dong2,ROWS($1:85)),))</f>
        <v>42549</v>
      </c>
      <c r="D96" s="449" t="str">
        <f ca="1">IF(ROWS($1:85)&gt;COUNT(Dong2),"",OFFSET(TH!F$1,SMALL(Dong2,ROWS($1:85)),))</f>
        <v>Phí thuê đất từ 08/03/16 đến 31/12/16</v>
      </c>
      <c r="E96" s="212" t="str">
        <f ca="1">IF(ROWS($1:85)&gt;COUNT(Dong2),"",IF(OFFSET(TH!O$1,SMALL(Dong2,ROWS($1:85)),)=$I$6,OFFSET(TH!N$1,SMALL(Dong2,ROWS($1:85)),),OFFSET(TH!O$1,SMALL(Dong2,ROWS($1:85)),)))</f>
        <v>331</v>
      </c>
      <c r="F96" s="213">
        <f ca="1">IF(ROWS($1:85)&gt;COUNT(Dong2),"",IF(OFFSET(TH!N$1,SMALL(Dong2,ROWS($1:85)),)=$I$6,IF($I$6="1121",OFFSET(TH!M$1,SMALL(Dong2,ROWS($1:85)),),OFFSET(TH!K$1,SMALL(Dong2,ROWS($1:85)),)),0))</f>
        <v>0</v>
      </c>
      <c r="G96" s="213">
        <f ca="1">IF(ROWS($1:85)&gt;COUNT(Dong2),"",IF(OFFSET(TH!O$1,SMALL(Dong2,ROWS($1:85)),)=$I$6,IF($I$6="1121",OFFSET(TH!M$1,SMALL(Dong2,ROWS($1:85)),),OFFSET(TH!K$1,SMALL(Dong2,ROWS($1:85)),)),0))</f>
        <v>30360000</v>
      </c>
      <c r="H96" s="214">
        <f t="shared" ca="1" si="2"/>
        <v>852614</v>
      </c>
      <c r="I96" s="214"/>
    </row>
    <row r="97" spans="1:9" s="200" customFormat="1" ht="20.25" customHeight="1">
      <c r="A97" s="212">
        <f ca="1">IF(ROWS($1:86)&gt;COUNT(Dong2),"",OFFSET(TH!C$1,SMALL(Dong2,ROWS($1:86)),))</f>
        <v>42549</v>
      </c>
      <c r="B97" s="212" t="str">
        <f ca="1">IF(ROWS($1:86)&gt;COUNT(Dong2),"",OFFSET(TH!D$1,SMALL(Dong2,ROWS($1:86)),))</f>
        <v>GBN</v>
      </c>
      <c r="C97" s="212">
        <f ca="1">IF(ROWS($1:86)&gt;COUNT(Dong2),"",OFFSET(TH!E$1,SMALL(Dong2,ROWS($1:86)),))</f>
        <v>42549</v>
      </c>
      <c r="D97" s="449" t="str">
        <f ca="1">IF(ROWS($1:86)&gt;COUNT(Dong2),"",OFFSET(TH!F$1,SMALL(Dong2,ROWS($1:86)),))</f>
        <v xml:space="preserve">Phí chuyển tiền </v>
      </c>
      <c r="E97" s="212" t="str">
        <f ca="1">IF(ROWS($1:86)&gt;COUNT(Dong2),"",IF(OFFSET(TH!O$1,SMALL(Dong2,ROWS($1:86)),)=$I$6,OFFSET(TH!N$1,SMALL(Dong2,ROWS($1:86)),),OFFSET(TH!O$1,SMALL(Dong2,ROWS($1:86)),)))</f>
        <v>642</v>
      </c>
      <c r="F97" s="213">
        <f ca="1">IF(ROWS($1:86)&gt;COUNT(Dong2),"",IF(OFFSET(TH!N$1,SMALL(Dong2,ROWS($1:86)),)=$I$6,IF($I$6="1121",OFFSET(TH!M$1,SMALL(Dong2,ROWS($1:86)),),OFFSET(TH!K$1,SMALL(Dong2,ROWS($1:86)),)),0))</f>
        <v>0</v>
      </c>
      <c r="G97" s="213">
        <f ca="1">IF(ROWS($1:86)&gt;COUNT(Dong2),"",IF(OFFSET(TH!O$1,SMALL(Dong2,ROWS($1:86)),)=$I$6,IF($I$6="1121",OFFSET(TH!M$1,SMALL(Dong2,ROWS($1:86)),),OFFSET(TH!K$1,SMALL(Dong2,ROWS($1:86)),)),0))</f>
        <v>25000</v>
      </c>
      <c r="H97" s="214">
        <f t="shared" ca="1" si="2"/>
        <v>827614</v>
      </c>
      <c r="I97" s="214"/>
    </row>
    <row r="98" spans="1:9" s="200" customFormat="1" ht="20.25" customHeight="1">
      <c r="A98" s="212">
        <f ca="1">IF(ROWS($1:87)&gt;COUNT(Dong2),"",OFFSET(TH!C$1,SMALL(Dong2,ROWS($1:87)),))</f>
        <v>42549</v>
      </c>
      <c r="B98" s="212" t="str">
        <f ca="1">IF(ROWS($1:87)&gt;COUNT(Dong2),"",OFFSET(TH!D$1,SMALL(Dong2,ROWS($1:87)),))</f>
        <v>GBN</v>
      </c>
      <c r="C98" s="212">
        <f ca="1">IF(ROWS($1:87)&gt;COUNT(Dong2),"",OFFSET(TH!E$1,SMALL(Dong2,ROWS($1:87)),))</f>
        <v>42549</v>
      </c>
      <c r="D98" s="449" t="str">
        <f ca="1">IF(ROWS($1:87)&gt;COUNT(Dong2),"",OFFSET(TH!F$1,SMALL(Dong2,ROWS($1:87)),))</f>
        <v xml:space="preserve">VAT Phí chuyển tiền </v>
      </c>
      <c r="E98" s="212" t="str">
        <f ca="1">IF(ROWS($1:87)&gt;COUNT(Dong2),"",IF(OFFSET(TH!O$1,SMALL(Dong2,ROWS($1:87)),)=$I$6,OFFSET(TH!N$1,SMALL(Dong2,ROWS($1:87)),),OFFSET(TH!O$1,SMALL(Dong2,ROWS($1:87)),)))</f>
        <v>1331</v>
      </c>
      <c r="F98" s="213">
        <f ca="1">IF(ROWS($1:87)&gt;COUNT(Dong2),"",IF(OFFSET(TH!N$1,SMALL(Dong2,ROWS($1:87)),)=$I$6,IF($I$6="1121",OFFSET(TH!M$1,SMALL(Dong2,ROWS($1:87)),),OFFSET(TH!K$1,SMALL(Dong2,ROWS($1:87)),)),0))</f>
        <v>0</v>
      </c>
      <c r="G98" s="213">
        <f ca="1">IF(ROWS($1:87)&gt;COUNT(Dong2),"",IF(OFFSET(TH!O$1,SMALL(Dong2,ROWS($1:87)),)=$I$6,IF($I$6="1121",OFFSET(TH!M$1,SMALL(Dong2,ROWS($1:87)),),OFFSET(TH!K$1,SMALL(Dong2,ROWS($1:87)),)),0))</f>
        <v>2500</v>
      </c>
      <c r="H98" s="214">
        <f t="shared" ca="1" si="2"/>
        <v>825114</v>
      </c>
      <c r="I98" s="214"/>
    </row>
    <row r="99" spans="1:9" s="200" customFormat="1" ht="20.25" customHeight="1">
      <c r="A99" s="212">
        <f ca="1">IF(ROWS($1:88)&gt;COUNT(Dong2),"",OFFSET(TH!C$1,SMALL(Dong2,ROWS($1:88)),))</f>
        <v>42551</v>
      </c>
      <c r="B99" s="212" t="str">
        <f ca="1">IF(ROWS($1:88)&gt;COUNT(Dong2),"",OFFSET(TH!D$1,SMALL(Dong2,ROWS($1:88)),))</f>
        <v>C54</v>
      </c>
      <c r="C99" s="212">
        <f ca="1">IF(ROWS($1:88)&gt;COUNT(Dong2),"",OFFSET(TH!E$1,SMALL(Dong2,ROWS($1:88)),))</f>
        <v>42551</v>
      </c>
      <c r="D99" s="449" t="str">
        <f ca="1">IF(ROWS($1:88)&gt;COUNT(Dong2),"",OFFSET(TH!F$1,SMALL(Dong2,ROWS($1:88)),))</f>
        <v>Nộp tiển mặt vào tài khoản</v>
      </c>
      <c r="E99" s="212" t="str">
        <f ca="1">IF(ROWS($1:88)&gt;COUNT(Dong2),"",IF(OFFSET(TH!O$1,SMALL(Dong2,ROWS($1:88)),)=$I$6,OFFSET(TH!N$1,SMALL(Dong2,ROWS($1:88)),),OFFSET(TH!O$1,SMALL(Dong2,ROWS($1:88)),)))</f>
        <v>1111</v>
      </c>
      <c r="F99" s="213">
        <f ca="1">IF(ROWS($1:88)&gt;COUNT(Dong2),"",IF(OFFSET(TH!N$1,SMALL(Dong2,ROWS($1:88)),)=$I$6,IF($I$6="1121",OFFSET(TH!M$1,SMALL(Dong2,ROWS($1:88)),),OFFSET(TH!K$1,SMALL(Dong2,ROWS($1:88)),)),0))</f>
        <v>55000000</v>
      </c>
      <c r="G99" s="213">
        <f ca="1">IF(ROWS($1:88)&gt;COUNT(Dong2),"",IF(OFFSET(TH!O$1,SMALL(Dong2,ROWS($1:88)),)=$I$6,IF($I$6="1121",OFFSET(TH!M$1,SMALL(Dong2,ROWS($1:88)),),OFFSET(TH!K$1,SMALL(Dong2,ROWS($1:88)),)),0))</f>
        <v>0</v>
      </c>
      <c r="H99" s="214">
        <f t="shared" ca="1" si="2"/>
        <v>55825114</v>
      </c>
      <c r="I99" s="214"/>
    </row>
    <row r="100" spans="1:9" s="200" customFormat="1" ht="20.25" customHeight="1">
      <c r="A100" s="212">
        <f ca="1">IF(ROWS($1:89)&gt;COUNT(Dong2),"",OFFSET(TH!C$1,SMALL(Dong2,ROWS($1:89)),))</f>
        <v>42551</v>
      </c>
      <c r="B100" s="212" t="str">
        <f ca="1">IF(ROWS($1:89)&gt;COUNT(Dong2),"",OFFSET(TH!D$1,SMALL(Dong2,ROWS($1:89)),))</f>
        <v>GBN</v>
      </c>
      <c r="C100" s="212">
        <f ca="1">IF(ROWS($1:89)&gt;COUNT(Dong2),"",OFFSET(TH!E$1,SMALL(Dong2,ROWS($1:89)),))</f>
        <v>42551</v>
      </c>
      <c r="D100" s="449" t="str">
        <f ca="1">IF(ROWS($1:89)&gt;COUNT(Dong2),"",OFFSET(TH!F$1,SMALL(Dong2,ROWS($1:89)),))</f>
        <v>Thanh toán tiền điện kỳ 1&amp;2 tháng 6</v>
      </c>
      <c r="E100" s="212" t="str">
        <f ca="1">IF(ROWS($1:89)&gt;COUNT(Dong2),"",IF(OFFSET(TH!O$1,SMALL(Dong2,ROWS($1:89)),)=$I$6,OFFSET(TH!N$1,SMALL(Dong2,ROWS($1:89)),),OFFSET(TH!O$1,SMALL(Dong2,ROWS($1:89)),)))</f>
        <v>331</v>
      </c>
      <c r="F100" s="213">
        <f ca="1">IF(ROWS($1:89)&gt;COUNT(Dong2),"",IF(OFFSET(TH!N$1,SMALL(Dong2,ROWS($1:89)),)=$I$6,IF($I$6="1121",OFFSET(TH!M$1,SMALL(Dong2,ROWS($1:89)),),OFFSET(TH!K$1,SMALL(Dong2,ROWS($1:89)),)),0))</f>
        <v>0</v>
      </c>
      <c r="G100" s="213">
        <f ca="1">IF(ROWS($1:89)&gt;COUNT(Dong2),"",IF(OFFSET(TH!O$1,SMALL(Dong2,ROWS($1:89)),)=$I$6,IF($I$6="1121",OFFSET(TH!M$1,SMALL(Dong2,ROWS($1:89)),),OFFSET(TH!K$1,SMALL(Dong2,ROWS($1:89)),)),0))</f>
        <v>54254970</v>
      </c>
      <c r="H100" s="214">
        <f t="shared" ca="1" si="2"/>
        <v>1570144</v>
      </c>
      <c r="I100" s="214"/>
    </row>
    <row r="101" spans="1:9" s="200" customFormat="1" ht="20.25" customHeight="1">
      <c r="A101" s="212">
        <f ca="1">IF(ROWS($1:90)&gt;COUNT(Dong2),"",OFFSET(TH!C$1,SMALL(Dong2,ROWS($1:90)),))</f>
        <v>42551</v>
      </c>
      <c r="B101" s="212" t="str">
        <f ca="1">IF(ROWS($1:90)&gt;COUNT(Dong2),"",OFFSET(TH!D$1,SMALL(Dong2,ROWS($1:90)),))</f>
        <v>GBN</v>
      </c>
      <c r="C101" s="212">
        <f ca="1">IF(ROWS($1:90)&gt;COUNT(Dong2),"",OFFSET(TH!E$1,SMALL(Dong2,ROWS($1:90)),))</f>
        <v>42551</v>
      </c>
      <c r="D101" s="449" t="str">
        <f ca="1">IF(ROWS($1:90)&gt;COUNT(Dong2),"",OFFSET(TH!F$1,SMALL(Dong2,ROWS($1:90)),))</f>
        <v xml:space="preserve">Phí chuyển tiền </v>
      </c>
      <c r="E101" s="212" t="str">
        <f ca="1">IF(ROWS($1:90)&gt;COUNT(Dong2),"",IF(OFFSET(TH!O$1,SMALL(Dong2,ROWS($1:90)),)=$I$6,OFFSET(TH!N$1,SMALL(Dong2,ROWS($1:90)),),OFFSET(TH!O$1,SMALL(Dong2,ROWS($1:90)),)))</f>
        <v>642</v>
      </c>
      <c r="F101" s="213">
        <f ca="1">IF(ROWS($1:90)&gt;COUNT(Dong2),"",IF(OFFSET(TH!N$1,SMALL(Dong2,ROWS($1:90)),)=$I$6,IF($I$6="1121",OFFSET(TH!M$1,SMALL(Dong2,ROWS($1:90)),),OFFSET(TH!K$1,SMALL(Dong2,ROWS($1:90)),)),0))</f>
        <v>0</v>
      </c>
      <c r="G101" s="213">
        <f ca="1">IF(ROWS($1:90)&gt;COUNT(Dong2),"",IF(OFFSET(TH!O$1,SMALL(Dong2,ROWS($1:90)),)=$I$6,IF($I$6="1121",OFFSET(TH!M$1,SMALL(Dong2,ROWS($1:90)),),OFFSET(TH!K$1,SMALL(Dong2,ROWS($1:90)),)),0))</f>
        <v>47127</v>
      </c>
      <c r="H101" s="214">
        <f t="shared" ca="1" si="2"/>
        <v>1523017</v>
      </c>
      <c r="I101" s="214"/>
    </row>
    <row r="102" spans="1:9" s="200" customFormat="1" ht="20.25" customHeight="1">
      <c r="A102" s="212">
        <f ca="1">IF(ROWS($1:91)&gt;COUNT(Dong2),"",OFFSET(TH!C$1,SMALL(Dong2,ROWS($1:91)),))</f>
        <v>42551</v>
      </c>
      <c r="B102" s="212" t="str">
        <f ca="1">IF(ROWS($1:91)&gt;COUNT(Dong2),"",OFFSET(TH!D$1,SMALL(Dong2,ROWS($1:91)),))</f>
        <v>GBN</v>
      </c>
      <c r="C102" s="212">
        <f ca="1">IF(ROWS($1:91)&gt;COUNT(Dong2),"",OFFSET(TH!E$1,SMALL(Dong2,ROWS($1:91)),))</f>
        <v>42551</v>
      </c>
      <c r="D102" s="449" t="str">
        <f ca="1">IF(ROWS($1:91)&gt;COUNT(Dong2),"",OFFSET(TH!F$1,SMALL(Dong2,ROWS($1:91)),))</f>
        <v xml:space="preserve">VAT Phí chuyển tiền </v>
      </c>
      <c r="E102" s="212" t="str">
        <f ca="1">IF(ROWS($1:91)&gt;COUNT(Dong2),"",IF(OFFSET(TH!O$1,SMALL(Dong2,ROWS($1:91)),)=$I$6,OFFSET(TH!N$1,SMALL(Dong2,ROWS($1:91)),),OFFSET(TH!O$1,SMALL(Dong2,ROWS($1:91)),)))</f>
        <v>1331</v>
      </c>
      <c r="F102" s="213">
        <f ca="1">IF(ROWS($1:91)&gt;COUNT(Dong2),"",IF(OFFSET(TH!N$1,SMALL(Dong2,ROWS($1:91)),)=$I$6,IF($I$6="1121",OFFSET(TH!M$1,SMALL(Dong2,ROWS($1:91)),),OFFSET(TH!K$1,SMALL(Dong2,ROWS($1:91)),)),0))</f>
        <v>0</v>
      </c>
      <c r="G102" s="213">
        <f ca="1">IF(ROWS($1:91)&gt;COUNT(Dong2),"",IF(OFFSET(TH!O$1,SMALL(Dong2,ROWS($1:91)),)=$I$6,IF($I$6="1121",OFFSET(TH!M$1,SMALL(Dong2,ROWS($1:91)),),OFFSET(TH!K$1,SMALL(Dong2,ROWS($1:91)),)),0))</f>
        <v>4713</v>
      </c>
      <c r="H102" s="214">
        <f t="shared" ca="1" si="2"/>
        <v>1518304</v>
      </c>
      <c r="I102" s="214"/>
    </row>
    <row r="103" spans="1:9" s="200" customFormat="1" ht="20.25" customHeight="1">
      <c r="A103" s="212" t="str">
        <f ca="1">IF(ROWS($1:92)&gt;COUNT(Dong2),"",OFFSET(TH!C$1,SMALL(Dong2,ROWS($1:92)),))</f>
        <v/>
      </c>
      <c r="B103" s="212" t="str">
        <f ca="1">IF(ROWS($1:92)&gt;COUNT(Dong2),"",OFFSET(TH!D$1,SMALL(Dong2,ROWS($1:92)),))</f>
        <v/>
      </c>
      <c r="C103" s="212" t="str">
        <f ca="1">IF(ROWS($1:92)&gt;COUNT(Dong2),"",OFFSET(TH!E$1,SMALL(Dong2,ROWS($1:92)),))</f>
        <v/>
      </c>
      <c r="D103" s="449" t="str">
        <f ca="1">IF(ROWS($1:92)&gt;COUNT(Dong2),"",OFFSET(TH!F$1,SMALL(Dong2,ROWS($1:92)),))</f>
        <v/>
      </c>
      <c r="E103" s="212" t="str">
        <f ca="1">IF(ROWS($1:92)&gt;COUNT(Dong2),"",IF(OFFSET(TH!O$1,SMALL(Dong2,ROWS($1:92)),)=$I$6,OFFSET(TH!N$1,SMALL(Dong2,ROWS($1:92)),),OFFSET(TH!O$1,SMALL(Dong2,ROWS($1:92)),)))</f>
        <v/>
      </c>
      <c r="F103" s="213" t="str">
        <f ca="1">IF(ROWS($1:92)&gt;COUNT(Dong2),"",IF(OFFSET(TH!N$1,SMALL(Dong2,ROWS($1:92)),)=$I$6,IF($I$6="1121",OFFSET(TH!M$1,SMALL(Dong2,ROWS($1:92)),),OFFSET(TH!K$1,SMALL(Dong2,ROWS($1:92)),)),0))</f>
        <v/>
      </c>
      <c r="G103" s="213" t="str">
        <f ca="1">IF(ROWS($1:92)&gt;COUNT(Dong2),"",IF(OFFSET(TH!O$1,SMALL(Dong2,ROWS($1:92)),)=$I$6,IF($I$6="1121",OFFSET(TH!M$1,SMALL(Dong2,ROWS($1:92)),),OFFSET(TH!K$1,SMALL(Dong2,ROWS($1:92)),)),0))</f>
        <v/>
      </c>
      <c r="H103" s="214">
        <f t="shared" ca="1" si="2"/>
        <v>0</v>
      </c>
      <c r="I103" s="214"/>
    </row>
    <row r="104" spans="1:9" s="200" customFormat="1" ht="20.25" customHeight="1">
      <c r="A104" s="212" t="str">
        <f ca="1">IF(ROWS($1:93)&gt;COUNT(Dong2),"",OFFSET(TH!C$1,SMALL(Dong2,ROWS($1:93)),))</f>
        <v/>
      </c>
      <c r="B104" s="212" t="str">
        <f ca="1">IF(ROWS($1:93)&gt;COUNT(Dong2),"",OFFSET(TH!D$1,SMALL(Dong2,ROWS($1:93)),))</f>
        <v/>
      </c>
      <c r="C104" s="212" t="str">
        <f ca="1">IF(ROWS($1:93)&gt;COUNT(Dong2),"",OFFSET(TH!E$1,SMALL(Dong2,ROWS($1:93)),))</f>
        <v/>
      </c>
      <c r="D104" s="449" t="str">
        <f ca="1">IF(ROWS($1:93)&gt;COUNT(Dong2),"",OFFSET(TH!F$1,SMALL(Dong2,ROWS($1:93)),))</f>
        <v/>
      </c>
      <c r="E104" s="212" t="str">
        <f ca="1">IF(ROWS($1:93)&gt;COUNT(Dong2),"",IF(OFFSET(TH!O$1,SMALL(Dong2,ROWS($1:93)),)=$I$6,OFFSET(TH!N$1,SMALL(Dong2,ROWS($1:93)),),OFFSET(TH!O$1,SMALL(Dong2,ROWS($1:93)),)))</f>
        <v/>
      </c>
      <c r="F104" s="213" t="str">
        <f ca="1">IF(ROWS($1:93)&gt;COUNT(Dong2),"",IF(OFFSET(TH!N$1,SMALL(Dong2,ROWS($1:93)),)=$I$6,IF($I$6="1121",OFFSET(TH!M$1,SMALL(Dong2,ROWS($1:93)),),OFFSET(TH!K$1,SMALL(Dong2,ROWS($1:93)),)),0))</f>
        <v/>
      </c>
      <c r="G104" s="213" t="str">
        <f ca="1">IF(ROWS($1:93)&gt;COUNT(Dong2),"",IF(OFFSET(TH!O$1,SMALL(Dong2,ROWS($1:93)),)=$I$6,IF($I$6="1121",OFFSET(TH!M$1,SMALL(Dong2,ROWS($1:93)),),OFFSET(TH!K$1,SMALL(Dong2,ROWS($1:93)),)),0))</f>
        <v/>
      </c>
      <c r="H104" s="214">
        <f t="shared" ca="1" si="2"/>
        <v>0</v>
      </c>
      <c r="I104" s="214"/>
    </row>
    <row r="105" spans="1:9" s="200" customFormat="1" ht="20.25" customHeight="1">
      <c r="A105" s="212" t="str">
        <f ca="1">IF(ROWS($1:94)&gt;COUNT(Dong2),"",OFFSET(TH!C$1,SMALL(Dong2,ROWS($1:94)),))</f>
        <v/>
      </c>
      <c r="B105" s="212" t="str">
        <f ca="1">IF(ROWS($1:94)&gt;COUNT(Dong2),"",OFFSET(TH!D$1,SMALL(Dong2,ROWS($1:94)),))</f>
        <v/>
      </c>
      <c r="C105" s="212" t="str">
        <f ca="1">IF(ROWS($1:94)&gt;COUNT(Dong2),"",OFFSET(TH!E$1,SMALL(Dong2,ROWS($1:94)),))</f>
        <v/>
      </c>
      <c r="D105" s="449" t="str">
        <f ca="1">IF(ROWS($1:94)&gt;COUNT(Dong2),"",OFFSET(TH!F$1,SMALL(Dong2,ROWS($1:94)),))</f>
        <v/>
      </c>
      <c r="E105" s="212" t="str">
        <f ca="1">IF(ROWS($1:94)&gt;COUNT(Dong2),"",IF(OFFSET(TH!O$1,SMALL(Dong2,ROWS($1:94)),)=$I$6,OFFSET(TH!N$1,SMALL(Dong2,ROWS($1:94)),),OFFSET(TH!O$1,SMALL(Dong2,ROWS($1:94)),)))</f>
        <v/>
      </c>
      <c r="F105" s="213" t="str">
        <f ca="1">IF(ROWS($1:94)&gt;COUNT(Dong2),"",IF(OFFSET(TH!N$1,SMALL(Dong2,ROWS($1:94)),)=$I$6,IF($I$6="1121",OFFSET(TH!M$1,SMALL(Dong2,ROWS($1:94)),),OFFSET(TH!K$1,SMALL(Dong2,ROWS($1:94)),)),0))</f>
        <v/>
      </c>
      <c r="G105" s="213" t="str">
        <f ca="1">IF(ROWS($1:94)&gt;COUNT(Dong2),"",IF(OFFSET(TH!O$1,SMALL(Dong2,ROWS($1:94)),)=$I$6,IF($I$6="1121",OFFSET(TH!M$1,SMALL(Dong2,ROWS($1:94)),),OFFSET(TH!K$1,SMALL(Dong2,ROWS($1:94)),)),0))</f>
        <v/>
      </c>
      <c r="H105" s="214">
        <f t="shared" ca="1" si="2"/>
        <v>0</v>
      </c>
      <c r="I105" s="214"/>
    </row>
    <row r="106" spans="1:9" s="200" customFormat="1" ht="20.25" customHeight="1">
      <c r="A106" s="212" t="str">
        <f ca="1">IF(ROWS($1:95)&gt;COUNT(Dong2),"",OFFSET(TH!C$1,SMALL(Dong2,ROWS($1:95)),))</f>
        <v/>
      </c>
      <c r="B106" s="212" t="str">
        <f ca="1">IF(ROWS($1:95)&gt;COUNT(Dong2),"",OFFSET(TH!D$1,SMALL(Dong2,ROWS($1:95)),))</f>
        <v/>
      </c>
      <c r="C106" s="212" t="str">
        <f ca="1">IF(ROWS($1:95)&gt;COUNT(Dong2),"",OFFSET(TH!E$1,SMALL(Dong2,ROWS($1:95)),))</f>
        <v/>
      </c>
      <c r="D106" s="449" t="str">
        <f ca="1">IF(ROWS($1:95)&gt;COUNT(Dong2),"",OFFSET(TH!F$1,SMALL(Dong2,ROWS($1:95)),))</f>
        <v/>
      </c>
      <c r="E106" s="212" t="str">
        <f ca="1">IF(ROWS($1:95)&gt;COUNT(Dong2),"",IF(OFFSET(TH!O$1,SMALL(Dong2,ROWS($1:95)),)=$I$6,OFFSET(TH!N$1,SMALL(Dong2,ROWS($1:95)),),OFFSET(TH!O$1,SMALL(Dong2,ROWS($1:95)),)))</f>
        <v/>
      </c>
      <c r="F106" s="213" t="str">
        <f ca="1">IF(ROWS($1:95)&gt;COUNT(Dong2),"",IF(OFFSET(TH!N$1,SMALL(Dong2,ROWS($1:95)),)=$I$6,IF($I$6="1121",OFFSET(TH!M$1,SMALL(Dong2,ROWS($1:95)),),OFFSET(TH!K$1,SMALL(Dong2,ROWS($1:95)),)),0))</f>
        <v/>
      </c>
      <c r="G106" s="213" t="str">
        <f ca="1">IF(ROWS($1:95)&gt;COUNT(Dong2),"",IF(OFFSET(TH!O$1,SMALL(Dong2,ROWS($1:95)),)=$I$6,IF($I$6="1121",OFFSET(TH!M$1,SMALL(Dong2,ROWS($1:95)),),OFFSET(TH!K$1,SMALL(Dong2,ROWS($1:95)),)),0))</f>
        <v/>
      </c>
      <c r="H106" s="214">
        <f t="shared" ca="1" si="2"/>
        <v>0</v>
      </c>
      <c r="I106" s="214"/>
    </row>
    <row r="107" spans="1:9" s="200" customFormat="1" ht="20.25" customHeight="1">
      <c r="A107" s="212" t="str">
        <f ca="1">IF(ROWS($1:96)&gt;COUNT(Dong2),"",OFFSET(TH!C$1,SMALL(Dong2,ROWS($1:96)),))</f>
        <v/>
      </c>
      <c r="B107" s="212" t="str">
        <f ca="1">IF(ROWS($1:96)&gt;COUNT(Dong2),"",OFFSET(TH!D$1,SMALL(Dong2,ROWS($1:96)),))</f>
        <v/>
      </c>
      <c r="C107" s="212" t="str">
        <f ca="1">IF(ROWS($1:96)&gt;COUNT(Dong2),"",OFFSET(TH!E$1,SMALL(Dong2,ROWS($1:96)),))</f>
        <v/>
      </c>
      <c r="D107" s="449" t="str">
        <f ca="1">IF(ROWS($1:96)&gt;COUNT(Dong2),"",OFFSET(TH!F$1,SMALL(Dong2,ROWS($1:96)),))</f>
        <v/>
      </c>
      <c r="E107" s="212" t="str">
        <f ca="1">IF(ROWS($1:96)&gt;COUNT(Dong2),"",IF(OFFSET(TH!O$1,SMALL(Dong2,ROWS($1:96)),)=$I$6,OFFSET(TH!N$1,SMALL(Dong2,ROWS($1:96)),),OFFSET(TH!O$1,SMALL(Dong2,ROWS($1:96)),)))</f>
        <v/>
      </c>
      <c r="F107" s="213" t="str">
        <f ca="1">IF(ROWS($1:96)&gt;COUNT(Dong2),"",IF(OFFSET(TH!N$1,SMALL(Dong2,ROWS($1:96)),)=$I$6,IF($I$6="1121",OFFSET(TH!M$1,SMALL(Dong2,ROWS($1:96)),),OFFSET(TH!K$1,SMALL(Dong2,ROWS($1:96)),)),0))</f>
        <v/>
      </c>
      <c r="G107" s="213" t="str">
        <f ca="1">IF(ROWS($1:96)&gt;COUNT(Dong2),"",IF(OFFSET(TH!O$1,SMALL(Dong2,ROWS($1:96)),)=$I$6,IF($I$6="1121",OFFSET(TH!M$1,SMALL(Dong2,ROWS($1:96)),),OFFSET(TH!K$1,SMALL(Dong2,ROWS($1:96)),)),0))</f>
        <v/>
      </c>
      <c r="H107" s="214">
        <f t="shared" ca="1" si="2"/>
        <v>0</v>
      </c>
      <c r="I107" s="214"/>
    </row>
    <row r="108" spans="1:9" s="200" customFormat="1" ht="20.25" customHeight="1">
      <c r="A108" s="212" t="str">
        <f ca="1">IF(ROWS($1:97)&gt;COUNT(Dong2),"",OFFSET(TH!C$1,SMALL(Dong2,ROWS($1:97)),))</f>
        <v/>
      </c>
      <c r="B108" s="212" t="str">
        <f ca="1">IF(ROWS($1:97)&gt;COUNT(Dong2),"",OFFSET(TH!D$1,SMALL(Dong2,ROWS($1:97)),))</f>
        <v/>
      </c>
      <c r="C108" s="212" t="str">
        <f ca="1">IF(ROWS($1:97)&gt;COUNT(Dong2),"",OFFSET(TH!E$1,SMALL(Dong2,ROWS($1:97)),))</f>
        <v/>
      </c>
      <c r="D108" s="449" t="str">
        <f ca="1">IF(ROWS($1:97)&gt;COUNT(Dong2),"",OFFSET(TH!F$1,SMALL(Dong2,ROWS($1:97)),))</f>
        <v/>
      </c>
      <c r="E108" s="212" t="str">
        <f ca="1">IF(ROWS($1:97)&gt;COUNT(Dong2),"",IF(OFFSET(TH!O$1,SMALL(Dong2,ROWS($1:97)),)=$I$6,OFFSET(TH!N$1,SMALL(Dong2,ROWS($1:97)),),OFFSET(TH!O$1,SMALL(Dong2,ROWS($1:97)),)))</f>
        <v/>
      </c>
      <c r="F108" s="213" t="str">
        <f ca="1">IF(ROWS($1:97)&gt;COUNT(Dong2),"",IF(OFFSET(TH!N$1,SMALL(Dong2,ROWS($1:97)),)=$I$6,IF($I$6="1121",OFFSET(TH!M$1,SMALL(Dong2,ROWS($1:97)),),OFFSET(TH!K$1,SMALL(Dong2,ROWS($1:97)),)),0))</f>
        <v/>
      </c>
      <c r="G108" s="213" t="str">
        <f ca="1">IF(ROWS($1:97)&gt;COUNT(Dong2),"",IF(OFFSET(TH!O$1,SMALL(Dong2,ROWS($1:97)),)=$I$6,IF($I$6="1121",OFFSET(TH!M$1,SMALL(Dong2,ROWS($1:97)),),OFFSET(TH!K$1,SMALL(Dong2,ROWS($1:97)),)),0))</f>
        <v/>
      </c>
      <c r="H108" s="214">
        <f t="shared" ref="H108:H120" ca="1" si="3">IF(A108&lt;&gt;"",H107+F108-G108,0)</f>
        <v>0</v>
      </c>
      <c r="I108" s="214"/>
    </row>
    <row r="109" spans="1:9" s="200" customFormat="1" ht="20.25" customHeight="1">
      <c r="A109" s="212" t="str">
        <f ca="1">IF(ROWS($1:98)&gt;COUNT(Dong2),"",OFFSET(TH!C$1,SMALL(Dong2,ROWS($1:98)),))</f>
        <v/>
      </c>
      <c r="B109" s="212" t="str">
        <f ca="1">IF(ROWS($1:98)&gt;COUNT(Dong2),"",OFFSET(TH!D$1,SMALL(Dong2,ROWS($1:98)),))</f>
        <v/>
      </c>
      <c r="C109" s="212" t="str">
        <f ca="1">IF(ROWS($1:98)&gt;COUNT(Dong2),"",OFFSET(TH!E$1,SMALL(Dong2,ROWS($1:98)),))</f>
        <v/>
      </c>
      <c r="D109" s="449" t="str">
        <f ca="1">IF(ROWS($1:98)&gt;COUNT(Dong2),"",OFFSET(TH!F$1,SMALL(Dong2,ROWS($1:98)),))</f>
        <v/>
      </c>
      <c r="E109" s="212" t="str">
        <f ca="1">IF(ROWS($1:98)&gt;COUNT(Dong2),"",IF(OFFSET(TH!O$1,SMALL(Dong2,ROWS($1:98)),)=$I$6,OFFSET(TH!N$1,SMALL(Dong2,ROWS($1:98)),),OFFSET(TH!O$1,SMALL(Dong2,ROWS($1:98)),)))</f>
        <v/>
      </c>
      <c r="F109" s="213" t="str">
        <f ca="1">IF(ROWS($1:98)&gt;COUNT(Dong2),"",IF(OFFSET(TH!N$1,SMALL(Dong2,ROWS($1:98)),)=$I$6,IF($I$6="1121",OFFSET(TH!M$1,SMALL(Dong2,ROWS($1:98)),),OFFSET(TH!K$1,SMALL(Dong2,ROWS($1:98)),)),0))</f>
        <v/>
      </c>
      <c r="G109" s="213" t="str">
        <f ca="1">IF(ROWS($1:98)&gt;COUNT(Dong2),"",IF(OFFSET(TH!O$1,SMALL(Dong2,ROWS($1:98)),)=$I$6,IF($I$6="1121",OFFSET(TH!M$1,SMALL(Dong2,ROWS($1:98)),),OFFSET(TH!K$1,SMALL(Dong2,ROWS($1:98)),)),0))</f>
        <v/>
      </c>
      <c r="H109" s="214">
        <f t="shared" ca="1" si="3"/>
        <v>0</v>
      </c>
      <c r="I109" s="214"/>
    </row>
    <row r="110" spans="1:9" s="200" customFormat="1" ht="20.25" customHeight="1">
      <c r="A110" s="212" t="str">
        <f ca="1">IF(ROWS($1:99)&gt;COUNT(Dong2),"",OFFSET(TH!C$1,SMALL(Dong2,ROWS($1:99)),))</f>
        <v/>
      </c>
      <c r="B110" s="212" t="str">
        <f ca="1">IF(ROWS($1:99)&gt;COUNT(Dong2),"",OFFSET(TH!D$1,SMALL(Dong2,ROWS($1:99)),))</f>
        <v/>
      </c>
      <c r="C110" s="212" t="str">
        <f ca="1">IF(ROWS($1:99)&gt;COUNT(Dong2),"",OFFSET(TH!E$1,SMALL(Dong2,ROWS($1:99)),))</f>
        <v/>
      </c>
      <c r="D110" s="449" t="str">
        <f ca="1">IF(ROWS($1:99)&gt;COUNT(Dong2),"",OFFSET(TH!F$1,SMALL(Dong2,ROWS($1:99)),))</f>
        <v/>
      </c>
      <c r="E110" s="212" t="str">
        <f ca="1">IF(ROWS($1:99)&gt;COUNT(Dong2),"",IF(OFFSET(TH!O$1,SMALL(Dong2,ROWS($1:99)),)=$I$6,OFFSET(TH!N$1,SMALL(Dong2,ROWS($1:99)),),OFFSET(TH!O$1,SMALL(Dong2,ROWS($1:99)),)))</f>
        <v/>
      </c>
      <c r="F110" s="213" t="str">
        <f ca="1">IF(ROWS($1:99)&gt;COUNT(Dong2),"",IF(OFFSET(TH!N$1,SMALL(Dong2,ROWS($1:99)),)=$I$6,IF($I$6="1121",OFFSET(TH!M$1,SMALL(Dong2,ROWS($1:99)),),OFFSET(TH!K$1,SMALL(Dong2,ROWS($1:99)),)),0))</f>
        <v/>
      </c>
      <c r="G110" s="213" t="str">
        <f ca="1">IF(ROWS($1:99)&gt;COUNT(Dong2),"",IF(OFFSET(TH!O$1,SMALL(Dong2,ROWS($1:99)),)=$I$6,IF($I$6="1121",OFFSET(TH!M$1,SMALL(Dong2,ROWS($1:99)),),OFFSET(TH!K$1,SMALL(Dong2,ROWS($1:99)),)),0))</f>
        <v/>
      </c>
      <c r="H110" s="214">
        <f t="shared" ca="1" si="3"/>
        <v>0</v>
      </c>
      <c r="I110" s="214"/>
    </row>
    <row r="111" spans="1:9" s="200" customFormat="1" ht="20.25" customHeight="1">
      <c r="A111" s="212" t="str">
        <f ca="1">IF(ROWS($1:100)&gt;COUNT(Dong2),"",OFFSET(TH!C$1,SMALL(Dong2,ROWS($1:100)),))</f>
        <v/>
      </c>
      <c r="B111" s="212" t="str">
        <f ca="1">IF(ROWS($1:100)&gt;COUNT(Dong2),"",OFFSET(TH!D$1,SMALL(Dong2,ROWS($1:100)),))</f>
        <v/>
      </c>
      <c r="C111" s="212" t="str">
        <f ca="1">IF(ROWS($1:100)&gt;COUNT(Dong2),"",OFFSET(TH!E$1,SMALL(Dong2,ROWS($1:100)),))</f>
        <v/>
      </c>
      <c r="D111" s="449" t="str">
        <f ca="1">IF(ROWS($1:100)&gt;COUNT(Dong2),"",OFFSET(TH!F$1,SMALL(Dong2,ROWS($1:100)),))</f>
        <v/>
      </c>
      <c r="E111" s="212" t="str">
        <f ca="1">IF(ROWS($1:100)&gt;COUNT(Dong2),"",IF(OFFSET(TH!O$1,SMALL(Dong2,ROWS($1:100)),)=$I$6,OFFSET(TH!N$1,SMALL(Dong2,ROWS($1:100)),),OFFSET(TH!O$1,SMALL(Dong2,ROWS($1:100)),)))</f>
        <v/>
      </c>
      <c r="F111" s="213" t="str">
        <f ca="1">IF(ROWS($1:100)&gt;COUNT(Dong2),"",IF(OFFSET(TH!N$1,SMALL(Dong2,ROWS($1:100)),)=$I$6,IF($I$6="1121",OFFSET(TH!M$1,SMALL(Dong2,ROWS($1:100)),),OFFSET(TH!K$1,SMALL(Dong2,ROWS($1:100)),)),0))</f>
        <v/>
      </c>
      <c r="G111" s="213" t="str">
        <f ca="1">IF(ROWS($1:100)&gt;COUNT(Dong2),"",IF(OFFSET(TH!O$1,SMALL(Dong2,ROWS($1:100)),)=$I$6,IF($I$6="1121",OFFSET(TH!M$1,SMALL(Dong2,ROWS($1:100)),),OFFSET(TH!K$1,SMALL(Dong2,ROWS($1:100)),)),0))</f>
        <v/>
      </c>
      <c r="H111" s="214">
        <f t="shared" ca="1" si="3"/>
        <v>0</v>
      </c>
      <c r="I111" s="214"/>
    </row>
    <row r="112" spans="1:9" s="200" customFormat="1" ht="20.25" customHeight="1">
      <c r="A112" s="212" t="str">
        <f ca="1">IF(ROWS($1:101)&gt;COUNT(Dong2),"",OFFSET(TH!C$1,SMALL(Dong2,ROWS($1:101)),))</f>
        <v/>
      </c>
      <c r="B112" s="212" t="str">
        <f ca="1">IF(ROWS($1:101)&gt;COUNT(Dong2),"",OFFSET(TH!D$1,SMALL(Dong2,ROWS($1:101)),))</f>
        <v/>
      </c>
      <c r="C112" s="212" t="str">
        <f ca="1">IF(ROWS($1:101)&gt;COUNT(Dong2),"",OFFSET(TH!E$1,SMALL(Dong2,ROWS($1:101)),))</f>
        <v/>
      </c>
      <c r="D112" s="449" t="str">
        <f ca="1">IF(ROWS($1:101)&gt;COUNT(Dong2),"",OFFSET(TH!F$1,SMALL(Dong2,ROWS($1:101)),))</f>
        <v/>
      </c>
      <c r="E112" s="212" t="str">
        <f ca="1">IF(ROWS($1:101)&gt;COUNT(Dong2),"",IF(OFFSET(TH!O$1,SMALL(Dong2,ROWS($1:101)),)=$I$6,OFFSET(TH!N$1,SMALL(Dong2,ROWS($1:101)),),OFFSET(TH!O$1,SMALL(Dong2,ROWS($1:101)),)))</f>
        <v/>
      </c>
      <c r="F112" s="213" t="str">
        <f ca="1">IF(ROWS($1:101)&gt;COUNT(Dong2),"",IF(OFFSET(TH!N$1,SMALL(Dong2,ROWS($1:101)),)=$I$6,IF($I$6="1121",OFFSET(TH!M$1,SMALL(Dong2,ROWS($1:101)),),OFFSET(TH!K$1,SMALL(Dong2,ROWS($1:101)),)),0))</f>
        <v/>
      </c>
      <c r="G112" s="213" t="str">
        <f ca="1">IF(ROWS($1:101)&gt;COUNT(Dong2),"",IF(OFFSET(TH!O$1,SMALL(Dong2,ROWS($1:101)),)=$I$6,IF($I$6="1121",OFFSET(TH!M$1,SMALL(Dong2,ROWS($1:101)),),OFFSET(TH!K$1,SMALL(Dong2,ROWS($1:101)),)),0))</f>
        <v/>
      </c>
      <c r="H112" s="214">
        <f t="shared" ca="1" si="3"/>
        <v>0</v>
      </c>
      <c r="I112" s="214"/>
    </row>
    <row r="113" spans="1:11" s="200" customFormat="1" ht="20.25" customHeight="1">
      <c r="A113" s="212" t="str">
        <f ca="1">IF(ROWS($1:102)&gt;COUNT(Dong2),"",OFFSET(TH!C$1,SMALL(Dong2,ROWS($1:102)),))</f>
        <v/>
      </c>
      <c r="B113" s="212" t="str">
        <f ca="1">IF(ROWS($1:102)&gt;COUNT(Dong2),"",OFFSET(TH!D$1,SMALL(Dong2,ROWS($1:102)),))</f>
        <v/>
      </c>
      <c r="C113" s="212" t="str">
        <f ca="1">IF(ROWS($1:102)&gt;COUNT(Dong2),"",OFFSET(TH!E$1,SMALL(Dong2,ROWS($1:102)),))</f>
        <v/>
      </c>
      <c r="D113" s="449" t="str">
        <f ca="1">IF(ROWS($1:102)&gt;COUNT(Dong2),"",OFFSET(TH!F$1,SMALL(Dong2,ROWS($1:102)),))</f>
        <v/>
      </c>
      <c r="E113" s="212" t="str">
        <f ca="1">IF(ROWS($1:102)&gt;COUNT(Dong2),"",IF(OFFSET(TH!O$1,SMALL(Dong2,ROWS($1:102)),)=$I$6,OFFSET(TH!N$1,SMALL(Dong2,ROWS($1:102)),),OFFSET(TH!O$1,SMALL(Dong2,ROWS($1:102)),)))</f>
        <v/>
      </c>
      <c r="F113" s="213" t="str">
        <f ca="1">IF(ROWS($1:102)&gt;COUNT(Dong2),"",IF(OFFSET(TH!N$1,SMALL(Dong2,ROWS($1:102)),)=$I$6,IF($I$6="1121",OFFSET(TH!M$1,SMALL(Dong2,ROWS($1:102)),),OFFSET(TH!K$1,SMALL(Dong2,ROWS($1:102)),)),0))</f>
        <v/>
      </c>
      <c r="G113" s="213" t="str">
        <f ca="1">IF(ROWS($1:102)&gt;COUNT(Dong2),"",IF(OFFSET(TH!O$1,SMALL(Dong2,ROWS($1:102)),)=$I$6,IF($I$6="1121",OFFSET(TH!M$1,SMALL(Dong2,ROWS($1:102)),),OFFSET(TH!K$1,SMALL(Dong2,ROWS($1:102)),)),0))</f>
        <v/>
      </c>
      <c r="H113" s="214">
        <f t="shared" ca="1" si="3"/>
        <v>0</v>
      </c>
      <c r="I113" s="214"/>
    </row>
    <row r="114" spans="1:11" s="200" customFormat="1" ht="20.25" customHeight="1">
      <c r="A114" s="212" t="str">
        <f ca="1">IF(ROWS($1:103)&gt;COUNT(Dong2),"",OFFSET(TH!C$1,SMALL(Dong2,ROWS($1:103)),))</f>
        <v/>
      </c>
      <c r="B114" s="212" t="str">
        <f ca="1">IF(ROWS($1:103)&gt;COUNT(Dong2),"",OFFSET(TH!D$1,SMALL(Dong2,ROWS($1:103)),))</f>
        <v/>
      </c>
      <c r="C114" s="212" t="str">
        <f ca="1">IF(ROWS($1:103)&gt;COUNT(Dong2),"",OFFSET(TH!E$1,SMALL(Dong2,ROWS($1:103)),))</f>
        <v/>
      </c>
      <c r="D114" s="449" t="str">
        <f ca="1">IF(ROWS($1:103)&gt;COUNT(Dong2),"",OFFSET(TH!F$1,SMALL(Dong2,ROWS($1:103)),))</f>
        <v/>
      </c>
      <c r="E114" s="212" t="str">
        <f ca="1">IF(ROWS($1:103)&gt;COUNT(Dong2),"",IF(OFFSET(TH!O$1,SMALL(Dong2,ROWS($1:103)),)=$I$6,OFFSET(TH!N$1,SMALL(Dong2,ROWS($1:103)),),OFFSET(TH!O$1,SMALL(Dong2,ROWS($1:103)),)))</f>
        <v/>
      </c>
      <c r="F114" s="213" t="str">
        <f ca="1">IF(ROWS($1:103)&gt;COUNT(Dong2),"",IF(OFFSET(TH!N$1,SMALL(Dong2,ROWS($1:103)),)=$I$6,IF($I$6="1121",OFFSET(TH!M$1,SMALL(Dong2,ROWS($1:103)),),OFFSET(TH!K$1,SMALL(Dong2,ROWS($1:103)),)),0))</f>
        <v/>
      </c>
      <c r="G114" s="213" t="str">
        <f ca="1">IF(ROWS($1:103)&gt;COUNT(Dong2),"",IF(OFFSET(TH!O$1,SMALL(Dong2,ROWS($1:103)),)=$I$6,IF($I$6="1121",OFFSET(TH!M$1,SMALL(Dong2,ROWS($1:103)),),OFFSET(TH!K$1,SMALL(Dong2,ROWS($1:103)),)),0))</f>
        <v/>
      </c>
      <c r="H114" s="214">
        <f t="shared" ca="1" si="3"/>
        <v>0</v>
      </c>
      <c r="I114" s="214"/>
    </row>
    <row r="115" spans="1:11" s="200" customFormat="1" ht="20.25" customHeight="1">
      <c r="A115" s="212" t="str">
        <f ca="1">IF(ROWS($1:104)&gt;COUNT(Dong2),"",OFFSET(TH!C$1,SMALL(Dong2,ROWS($1:104)),))</f>
        <v/>
      </c>
      <c r="B115" s="212" t="str">
        <f ca="1">IF(ROWS($1:104)&gt;COUNT(Dong2),"",OFFSET(TH!D$1,SMALL(Dong2,ROWS($1:104)),))</f>
        <v/>
      </c>
      <c r="C115" s="212" t="str">
        <f ca="1">IF(ROWS($1:104)&gt;COUNT(Dong2),"",OFFSET(TH!E$1,SMALL(Dong2,ROWS($1:104)),))</f>
        <v/>
      </c>
      <c r="D115" s="449" t="str">
        <f ca="1">IF(ROWS($1:104)&gt;COUNT(Dong2),"",OFFSET(TH!F$1,SMALL(Dong2,ROWS($1:104)),))</f>
        <v/>
      </c>
      <c r="E115" s="212" t="str">
        <f ca="1">IF(ROWS($1:104)&gt;COUNT(Dong2),"",IF(OFFSET(TH!O$1,SMALL(Dong2,ROWS($1:104)),)=$I$6,OFFSET(TH!N$1,SMALL(Dong2,ROWS($1:104)),),OFFSET(TH!O$1,SMALL(Dong2,ROWS($1:104)),)))</f>
        <v/>
      </c>
      <c r="F115" s="213" t="str">
        <f ca="1">IF(ROWS($1:104)&gt;COUNT(Dong2),"",IF(OFFSET(TH!N$1,SMALL(Dong2,ROWS($1:104)),)=$I$6,IF($I$6="1121",OFFSET(TH!M$1,SMALL(Dong2,ROWS($1:104)),),OFFSET(TH!K$1,SMALL(Dong2,ROWS($1:104)),)),0))</f>
        <v/>
      </c>
      <c r="G115" s="213" t="str">
        <f ca="1">IF(ROWS($1:104)&gt;COUNT(Dong2),"",IF(OFFSET(TH!O$1,SMALL(Dong2,ROWS($1:104)),)=$I$6,IF($I$6="1121",OFFSET(TH!M$1,SMALL(Dong2,ROWS($1:104)),),OFFSET(TH!K$1,SMALL(Dong2,ROWS($1:104)),)),0))</f>
        <v/>
      </c>
      <c r="H115" s="214">
        <f t="shared" ca="1" si="3"/>
        <v>0</v>
      </c>
      <c r="I115" s="214"/>
    </row>
    <row r="116" spans="1:11" s="200" customFormat="1" ht="20.25" customHeight="1">
      <c r="A116" s="212" t="str">
        <f ca="1">IF(ROWS($1:105)&gt;COUNT(Dong2),"",OFFSET(TH!C$1,SMALL(Dong2,ROWS($1:105)),))</f>
        <v/>
      </c>
      <c r="B116" s="212" t="str">
        <f ca="1">IF(ROWS($1:105)&gt;COUNT(Dong2),"",OFFSET(TH!D$1,SMALL(Dong2,ROWS($1:105)),))</f>
        <v/>
      </c>
      <c r="C116" s="212" t="str">
        <f ca="1">IF(ROWS($1:105)&gt;COUNT(Dong2),"",OFFSET(TH!E$1,SMALL(Dong2,ROWS($1:105)),))</f>
        <v/>
      </c>
      <c r="D116" s="449" t="str">
        <f ca="1">IF(ROWS($1:105)&gt;COUNT(Dong2),"",OFFSET(TH!F$1,SMALL(Dong2,ROWS($1:105)),))</f>
        <v/>
      </c>
      <c r="E116" s="212" t="str">
        <f ca="1">IF(ROWS($1:105)&gt;COUNT(Dong2),"",IF(OFFSET(TH!O$1,SMALL(Dong2,ROWS($1:105)),)=$I$6,OFFSET(TH!N$1,SMALL(Dong2,ROWS($1:105)),),OFFSET(TH!O$1,SMALL(Dong2,ROWS($1:105)),)))</f>
        <v/>
      </c>
      <c r="F116" s="213" t="str">
        <f ca="1">IF(ROWS($1:105)&gt;COUNT(Dong2),"",IF(OFFSET(TH!N$1,SMALL(Dong2,ROWS($1:105)),)=$I$6,IF($I$6="1121",OFFSET(TH!M$1,SMALL(Dong2,ROWS($1:105)),),OFFSET(TH!K$1,SMALL(Dong2,ROWS($1:105)),)),0))</f>
        <v/>
      </c>
      <c r="G116" s="213" t="str">
        <f ca="1">IF(ROWS($1:105)&gt;COUNT(Dong2),"",IF(OFFSET(TH!O$1,SMALL(Dong2,ROWS($1:105)),)=$I$6,IF($I$6="1121",OFFSET(TH!M$1,SMALL(Dong2,ROWS($1:105)),),OFFSET(TH!K$1,SMALL(Dong2,ROWS($1:105)),)),0))</f>
        <v/>
      </c>
      <c r="H116" s="214">
        <f t="shared" ca="1" si="3"/>
        <v>0</v>
      </c>
      <c r="I116" s="214"/>
    </row>
    <row r="117" spans="1:11" s="200" customFormat="1" ht="20.25" customHeight="1">
      <c r="A117" s="212" t="str">
        <f ca="1">IF(ROWS($1:106)&gt;COUNT(Dong2),"",OFFSET(TH!C$1,SMALL(Dong2,ROWS($1:106)),))</f>
        <v/>
      </c>
      <c r="B117" s="212" t="str">
        <f ca="1">IF(ROWS($1:106)&gt;COUNT(Dong2),"",OFFSET(TH!D$1,SMALL(Dong2,ROWS($1:106)),))</f>
        <v/>
      </c>
      <c r="C117" s="212" t="str">
        <f ca="1">IF(ROWS($1:106)&gt;COUNT(Dong2),"",OFFSET(TH!E$1,SMALL(Dong2,ROWS($1:106)),))</f>
        <v/>
      </c>
      <c r="D117" s="449" t="str">
        <f ca="1">IF(ROWS($1:106)&gt;COUNT(Dong2),"",OFFSET(TH!F$1,SMALL(Dong2,ROWS($1:106)),))</f>
        <v/>
      </c>
      <c r="E117" s="212" t="str">
        <f ca="1">IF(ROWS($1:106)&gt;COUNT(Dong2),"",IF(OFFSET(TH!O$1,SMALL(Dong2,ROWS($1:106)),)=$I$6,OFFSET(TH!N$1,SMALL(Dong2,ROWS($1:106)),),OFFSET(TH!O$1,SMALL(Dong2,ROWS($1:106)),)))</f>
        <v/>
      </c>
      <c r="F117" s="213" t="str">
        <f ca="1">IF(ROWS($1:106)&gt;COUNT(Dong2),"",IF(OFFSET(TH!N$1,SMALL(Dong2,ROWS($1:106)),)=$I$6,IF($I$6="1121",OFFSET(TH!M$1,SMALL(Dong2,ROWS($1:106)),),OFFSET(TH!K$1,SMALL(Dong2,ROWS($1:106)),)),0))</f>
        <v/>
      </c>
      <c r="G117" s="213" t="str">
        <f ca="1">IF(ROWS($1:106)&gt;COUNT(Dong2),"",IF(OFFSET(TH!O$1,SMALL(Dong2,ROWS($1:106)),)=$I$6,IF($I$6="1121",OFFSET(TH!M$1,SMALL(Dong2,ROWS($1:106)),),OFFSET(TH!K$1,SMALL(Dong2,ROWS($1:106)),)),0))</f>
        <v/>
      </c>
      <c r="H117" s="214">
        <f t="shared" ca="1" si="3"/>
        <v>0</v>
      </c>
      <c r="I117" s="214"/>
    </row>
    <row r="118" spans="1:11" s="200" customFormat="1" ht="20.25" customHeight="1">
      <c r="A118" s="212" t="str">
        <f ca="1">IF(ROWS($1:107)&gt;COUNT(Dong2),"",OFFSET(TH!C$1,SMALL(Dong2,ROWS($1:107)),))</f>
        <v/>
      </c>
      <c r="B118" s="212" t="str">
        <f ca="1">IF(ROWS($1:107)&gt;COUNT(Dong2),"",OFFSET(TH!D$1,SMALL(Dong2,ROWS($1:107)),))</f>
        <v/>
      </c>
      <c r="C118" s="212" t="str">
        <f ca="1">IF(ROWS($1:107)&gt;COUNT(Dong2),"",OFFSET(TH!E$1,SMALL(Dong2,ROWS($1:107)),))</f>
        <v/>
      </c>
      <c r="D118" s="449" t="str">
        <f ca="1">IF(ROWS($1:107)&gt;COUNT(Dong2),"",OFFSET(TH!F$1,SMALL(Dong2,ROWS($1:107)),))</f>
        <v/>
      </c>
      <c r="E118" s="212" t="str">
        <f ca="1">IF(ROWS($1:107)&gt;COUNT(Dong2),"",IF(OFFSET(TH!O$1,SMALL(Dong2,ROWS($1:107)),)=$I$6,OFFSET(TH!N$1,SMALL(Dong2,ROWS($1:107)),),OFFSET(TH!O$1,SMALL(Dong2,ROWS($1:107)),)))</f>
        <v/>
      </c>
      <c r="F118" s="213" t="str">
        <f ca="1">IF(ROWS($1:107)&gt;COUNT(Dong2),"",IF(OFFSET(TH!N$1,SMALL(Dong2,ROWS($1:107)),)=$I$6,IF($I$6="1121",OFFSET(TH!M$1,SMALL(Dong2,ROWS($1:107)),),OFFSET(TH!K$1,SMALL(Dong2,ROWS($1:107)),)),0))</f>
        <v/>
      </c>
      <c r="G118" s="213" t="str">
        <f ca="1">IF(ROWS($1:107)&gt;COUNT(Dong2),"",IF(OFFSET(TH!O$1,SMALL(Dong2,ROWS($1:107)),)=$I$6,IF($I$6="1121",OFFSET(TH!M$1,SMALL(Dong2,ROWS($1:107)),),OFFSET(TH!K$1,SMALL(Dong2,ROWS($1:107)),)),0))</f>
        <v/>
      </c>
      <c r="H118" s="214">
        <f t="shared" ca="1" si="3"/>
        <v>0</v>
      </c>
      <c r="I118" s="214"/>
    </row>
    <row r="119" spans="1:11" s="200" customFormat="1" ht="20.25" customHeight="1">
      <c r="A119" s="212" t="str">
        <f ca="1">IF(ROWS($1:108)&gt;COUNT(Dong2),"",OFFSET(TH!C$1,SMALL(Dong2,ROWS($1:108)),))</f>
        <v/>
      </c>
      <c r="B119" s="212" t="str">
        <f ca="1">IF(ROWS($1:108)&gt;COUNT(Dong2),"",OFFSET(TH!D$1,SMALL(Dong2,ROWS($1:108)),))</f>
        <v/>
      </c>
      <c r="C119" s="212" t="str">
        <f ca="1">IF(ROWS($1:108)&gt;COUNT(Dong2),"",OFFSET(TH!E$1,SMALL(Dong2,ROWS($1:108)),))</f>
        <v/>
      </c>
      <c r="D119" s="449" t="str">
        <f ca="1">IF(ROWS($1:108)&gt;COUNT(Dong2),"",OFFSET(TH!F$1,SMALL(Dong2,ROWS($1:108)),))</f>
        <v/>
      </c>
      <c r="E119" s="212" t="str">
        <f ca="1">IF(ROWS($1:108)&gt;COUNT(Dong2),"",IF(OFFSET(TH!O$1,SMALL(Dong2,ROWS($1:108)),)=$I$6,OFFSET(TH!N$1,SMALL(Dong2,ROWS($1:108)),),OFFSET(TH!O$1,SMALL(Dong2,ROWS($1:108)),)))</f>
        <v/>
      </c>
      <c r="F119" s="213" t="str">
        <f ca="1">IF(ROWS($1:108)&gt;COUNT(Dong2),"",IF(OFFSET(TH!N$1,SMALL(Dong2,ROWS($1:108)),)=$I$6,IF($I$6="1121",OFFSET(TH!M$1,SMALL(Dong2,ROWS($1:108)),),OFFSET(TH!K$1,SMALL(Dong2,ROWS($1:108)),)),0))</f>
        <v/>
      </c>
      <c r="G119" s="213" t="str">
        <f ca="1">IF(ROWS($1:108)&gt;COUNT(Dong2),"",IF(OFFSET(TH!O$1,SMALL(Dong2,ROWS($1:108)),)=$I$6,IF($I$6="1121",OFFSET(TH!M$1,SMALL(Dong2,ROWS($1:108)),),OFFSET(TH!K$1,SMALL(Dong2,ROWS($1:108)),)),0))</f>
        <v/>
      </c>
      <c r="H119" s="214">
        <f t="shared" ca="1" si="3"/>
        <v>0</v>
      </c>
      <c r="I119" s="214"/>
    </row>
    <row r="120" spans="1:11" s="200" customFormat="1" ht="20.25" customHeight="1">
      <c r="A120" s="212" t="str">
        <f ca="1">IF(ROWS($1:109)&gt;COUNT(Dong2),"",OFFSET(TH!C$1,SMALL(Dong2,ROWS($1:109)),))</f>
        <v/>
      </c>
      <c r="B120" s="212" t="str">
        <f ca="1">IF(ROWS($1:109)&gt;COUNT(Dong2),"",OFFSET(TH!D$1,SMALL(Dong2,ROWS($1:109)),))</f>
        <v/>
      </c>
      <c r="C120" s="212" t="str">
        <f ca="1">IF(ROWS($1:109)&gt;COUNT(Dong2),"",OFFSET(TH!E$1,SMALL(Dong2,ROWS($1:109)),))</f>
        <v/>
      </c>
      <c r="D120" s="449" t="str">
        <f ca="1">IF(ROWS($1:109)&gt;COUNT(Dong2),"",OFFSET(TH!F$1,SMALL(Dong2,ROWS($1:109)),))</f>
        <v/>
      </c>
      <c r="E120" s="212" t="str">
        <f ca="1">IF(ROWS($1:109)&gt;COUNT(Dong2),"",IF(OFFSET(TH!O$1,SMALL(Dong2,ROWS($1:109)),)=$I$6,OFFSET(TH!N$1,SMALL(Dong2,ROWS($1:109)),),OFFSET(TH!O$1,SMALL(Dong2,ROWS($1:109)),)))</f>
        <v/>
      </c>
      <c r="F120" s="213" t="str">
        <f ca="1">IF(ROWS($1:109)&gt;COUNT(Dong2),"",IF(OFFSET(TH!N$1,SMALL(Dong2,ROWS($1:109)),)=$I$6,IF($I$6="1121",OFFSET(TH!M$1,SMALL(Dong2,ROWS($1:109)),),OFFSET(TH!K$1,SMALL(Dong2,ROWS($1:109)),)),0))</f>
        <v/>
      </c>
      <c r="G120" s="213" t="str">
        <f ca="1">IF(ROWS($1:109)&gt;COUNT(Dong2),"",IF(OFFSET(TH!O$1,SMALL(Dong2,ROWS($1:109)),)=$I$6,IF($I$6="1121",OFFSET(TH!M$1,SMALL(Dong2,ROWS($1:109)),),OFFSET(TH!K$1,SMALL(Dong2,ROWS($1:109)),)),0))</f>
        <v/>
      </c>
      <c r="H120" s="214">
        <f t="shared" ca="1" si="3"/>
        <v>0</v>
      </c>
      <c r="I120" s="214"/>
    </row>
    <row r="121" spans="1:11" s="200" customFormat="1" ht="20.25" customHeight="1">
      <c r="A121" s="212"/>
      <c r="B121" s="212"/>
      <c r="C121" s="212"/>
      <c r="D121" s="449"/>
      <c r="E121" s="212"/>
      <c r="F121" s="213"/>
      <c r="G121" s="213"/>
      <c r="H121" s="214"/>
      <c r="I121" s="214"/>
    </row>
    <row r="122" spans="1:11" s="211" customFormat="1" ht="20.25" customHeight="1">
      <c r="A122" s="215"/>
      <c r="B122" s="216"/>
      <c r="C122" s="215"/>
      <c r="D122" s="209" t="s">
        <v>238</v>
      </c>
      <c r="E122" s="217"/>
      <c r="F122" s="218">
        <f ca="1">SUM(F12:F121)</f>
        <v>4789537669</v>
      </c>
      <c r="G122" s="218">
        <f ca="1">SUM(G12:G121)</f>
        <v>4792054318</v>
      </c>
      <c r="H122" s="218">
        <f ca="1">H11+F122-G122</f>
        <v>1518304</v>
      </c>
      <c r="I122" s="217"/>
    </row>
    <row r="123" spans="1:11" s="211" customFormat="1" ht="20.25" customHeight="1">
      <c r="A123" s="215"/>
      <c r="B123" s="216"/>
      <c r="C123" s="215"/>
      <c r="D123" s="209" t="s">
        <v>13</v>
      </c>
      <c r="E123" s="217"/>
      <c r="F123" s="209"/>
      <c r="G123" s="209"/>
      <c r="H123" s="218">
        <f ca="1">H122</f>
        <v>1518304</v>
      </c>
      <c r="I123" s="217"/>
    </row>
    <row r="124" spans="1:11" s="211" customFormat="1" ht="22.5" customHeight="1">
      <c r="A124" s="487" t="s">
        <v>342</v>
      </c>
      <c r="B124" s="219"/>
      <c r="F124" s="220"/>
      <c r="I124" s="221"/>
    </row>
    <row r="125" spans="1:11" s="211" customFormat="1" ht="12.75">
      <c r="A125" s="263" t="str">
        <f ca="1">"- Ngày mở sổ: "&amp;DAY($A$12)&amp;"/"&amp;MONTH($A$12)&amp;"/ 2015"</f>
        <v>- Ngày mở sổ: 21/4/ 2015</v>
      </c>
      <c r="B125" s="222"/>
      <c r="F125" s="220"/>
      <c r="I125" s="221"/>
    </row>
    <row r="126" spans="1:11" s="211" customFormat="1" ht="12.75">
      <c r="A126" s="223"/>
      <c r="B126" s="224"/>
      <c r="C126" s="225"/>
      <c r="F126" s="220"/>
      <c r="G126" s="360" t="str">
        <f>"Ngày "&amp;IF(OR($N$9=3,$N$9=12),"31","30")&amp;" tháng "&amp;$N$9&amp;"  năm  2015 "</f>
        <v xml:space="preserve">Ngày 30 tháng 6  năm  2015 </v>
      </c>
    </row>
    <row r="127" spans="1:11" s="211" customFormat="1" ht="17.25" customHeight="1">
      <c r="B127" s="226" t="s">
        <v>14</v>
      </c>
      <c r="D127" s="226" t="s">
        <v>15</v>
      </c>
      <c r="F127" s="227"/>
      <c r="G127" s="428" t="s">
        <v>206</v>
      </c>
      <c r="H127" s="450"/>
      <c r="I127" s="450"/>
      <c r="J127" s="228"/>
      <c r="K127" s="223"/>
    </row>
    <row r="128" spans="1:11" s="211" customFormat="1" ht="12.75">
      <c r="B128" s="429" t="s">
        <v>16</v>
      </c>
      <c r="D128" s="229" t="s">
        <v>16</v>
      </c>
      <c r="F128" s="230"/>
      <c r="G128" s="430" t="s">
        <v>241</v>
      </c>
      <c r="K128" s="231"/>
    </row>
    <row r="135" spans="2:7">
      <c r="B135" s="438" t="s">
        <v>337</v>
      </c>
      <c r="G135" s="451"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7" customWidth="1"/>
    <col min="2" max="2" width="34" style="977" customWidth="1"/>
    <col min="3" max="3" width="10.5703125" style="267" customWidth="1"/>
    <col min="4" max="4" width="14" style="997" customWidth="1"/>
    <col min="5" max="5" width="10.85546875" style="267" customWidth="1"/>
    <col min="6" max="6" width="14" style="997" customWidth="1"/>
    <col min="7" max="7" width="12.7109375" style="267" customWidth="1"/>
    <col min="8" max="8" width="15.7109375" style="997" customWidth="1"/>
    <col min="9" max="9" width="15.5703125" style="267" customWidth="1"/>
    <col min="10" max="10" width="14.7109375" style="997" customWidth="1"/>
    <col min="11" max="11" width="11.140625" style="267" customWidth="1"/>
    <col min="12" max="12" width="12.5703125" style="997" customWidth="1"/>
    <col min="13" max="13" width="14.5703125" style="267" customWidth="1"/>
    <col min="14" max="14" width="14.42578125" style="997" customWidth="1"/>
    <col min="15" max="16384" width="8" style="977"/>
  </cols>
  <sheetData>
    <row r="1" spans="1:14" ht="21" customHeight="1">
      <c r="A1" s="1124" t="s">
        <v>784</v>
      </c>
      <c r="B1" s="1124"/>
      <c r="C1" s="1124"/>
      <c r="D1" s="1124"/>
      <c r="E1" s="1124"/>
      <c r="F1" s="1124"/>
      <c r="G1" s="1124"/>
      <c r="H1" s="1124"/>
      <c r="I1" s="1124"/>
      <c r="J1" s="1124"/>
      <c r="K1" s="1124"/>
      <c r="L1" s="1124"/>
      <c r="M1" s="1124"/>
      <c r="N1" s="1124"/>
    </row>
    <row r="2" spans="1:14" s="10" customFormat="1" ht="15.75" customHeight="1">
      <c r="A2" s="1125" t="s">
        <v>46</v>
      </c>
      <c r="B2" s="1126" t="s">
        <v>47</v>
      </c>
      <c r="C2" s="978" t="s">
        <v>48</v>
      </c>
      <c r="D2" s="979"/>
      <c r="E2" s="978"/>
      <c r="F2" s="979"/>
      <c r="G2" s="978" t="s">
        <v>49</v>
      </c>
      <c r="H2" s="979"/>
      <c r="I2" s="978"/>
      <c r="J2" s="979"/>
      <c r="K2" s="978" t="s">
        <v>60</v>
      </c>
      <c r="L2" s="979"/>
      <c r="M2" s="978"/>
      <c r="N2" s="979"/>
    </row>
    <row r="3" spans="1:14" s="10" customFormat="1" ht="15.75" customHeight="1">
      <c r="A3" s="1125"/>
      <c r="B3" s="1126"/>
      <c r="C3" s="1126" t="s">
        <v>61</v>
      </c>
      <c r="D3" s="1126"/>
      <c r="E3" s="1126" t="s">
        <v>62</v>
      </c>
      <c r="F3" s="1126"/>
      <c r="G3" s="1126" t="s">
        <v>61</v>
      </c>
      <c r="H3" s="1126"/>
      <c r="I3" s="1126" t="s">
        <v>62</v>
      </c>
      <c r="J3" s="1126"/>
      <c r="K3" s="1126" t="s">
        <v>61</v>
      </c>
      <c r="L3" s="1126"/>
      <c r="M3" s="1126" t="s">
        <v>62</v>
      </c>
      <c r="N3" s="1126"/>
    </row>
    <row r="4" spans="1:14" s="10" customFormat="1" ht="15.75" customHeight="1">
      <c r="A4" s="1125"/>
      <c r="B4" s="1126"/>
      <c r="C4" s="976" t="s">
        <v>354</v>
      </c>
      <c r="D4" s="980" t="s">
        <v>785</v>
      </c>
      <c r="E4" s="976" t="s">
        <v>354</v>
      </c>
      <c r="F4" s="980" t="s">
        <v>785</v>
      </c>
      <c r="G4" s="976" t="s">
        <v>354</v>
      </c>
      <c r="H4" s="980" t="s">
        <v>785</v>
      </c>
      <c r="I4" s="976" t="s">
        <v>354</v>
      </c>
      <c r="J4" s="980" t="s">
        <v>785</v>
      </c>
      <c r="K4" s="976" t="s">
        <v>354</v>
      </c>
      <c r="L4" s="980" t="s">
        <v>785</v>
      </c>
      <c r="M4" s="976" t="s">
        <v>354</v>
      </c>
      <c r="N4" s="980" t="s">
        <v>785</v>
      </c>
    </row>
    <row r="5" spans="1:14" s="10" customFormat="1" ht="18" customHeight="1">
      <c r="A5" s="981" t="str">
        <f>IF(B5&lt;&gt;"",ROW()-4,"")</f>
        <v/>
      </c>
      <c r="B5" s="272"/>
      <c r="C5" s="982">
        <v>0</v>
      </c>
      <c r="D5" s="983">
        <v>0</v>
      </c>
      <c r="E5" s="982">
        <v>0</v>
      </c>
      <c r="F5" s="983">
        <v>0</v>
      </c>
      <c r="G5" s="982">
        <f t="array" ref="G5">SUM(IF("131"&amp;B5=KHN&amp;KH,_TH))</f>
        <v>0</v>
      </c>
      <c r="H5" s="983">
        <f t="array" ref="H5">SUM(IF("131"&amp;B5=KHN&amp;KH,TH))</f>
        <v>0</v>
      </c>
      <c r="I5" s="982">
        <f t="array" ref="I5">SUM(IF("131"&amp;B5=KHC&amp;KH,_TH))</f>
        <v>0</v>
      </c>
      <c r="J5" s="983">
        <f t="array" ref="J5">SUM(IF("131"&amp;B5=KHC&amp;KH,TH))</f>
        <v>0</v>
      </c>
      <c r="K5" s="984">
        <f t="shared" ref="K5:K15" si="0">ROUND(MAX(C5+G5-E5-I5,0),2)</f>
        <v>0</v>
      </c>
      <c r="L5" s="985">
        <f t="shared" ref="L5:L15" si="1">ROUND(MAX(D5+H5-F5-J5,0),0)</f>
        <v>0</v>
      </c>
      <c r="M5" s="984">
        <f t="shared" ref="M5:M15" si="2">ROUND(MAX(E5+I5-C5-G5,0),2)</f>
        <v>0</v>
      </c>
      <c r="N5" s="985">
        <f t="shared" ref="N5:N15" si="3">ROUND(MAX(F5+J5-D5-H5,0),0)</f>
        <v>0</v>
      </c>
    </row>
    <row r="6" spans="1:14" s="10" customFormat="1" ht="18" customHeight="1">
      <c r="A6" s="981" t="str">
        <f t="shared" ref="A6:A15" si="4">IF(B6&lt;&gt;"",ROW()-4,"")</f>
        <v/>
      </c>
      <c r="B6" s="7"/>
      <c r="C6" s="982">
        <v>0</v>
      </c>
      <c r="D6" s="983">
        <v>0</v>
      </c>
      <c r="E6" s="982">
        <v>0</v>
      </c>
      <c r="F6" s="983">
        <v>0</v>
      </c>
      <c r="G6" s="982">
        <f t="array" ref="G6">SUM(IF("131"&amp;B6=KHN&amp;KH,_TH))</f>
        <v>0</v>
      </c>
      <c r="H6" s="983">
        <f t="array" ref="H6">SUM(IF("131"&amp;B6=KHN&amp;KH,TH))</f>
        <v>0</v>
      </c>
      <c r="I6" s="982">
        <f t="array" ref="I6">SUM(IF("131"&amp;B6=KHC&amp;KH,_TH))</f>
        <v>0</v>
      </c>
      <c r="J6" s="983">
        <f t="array" ref="J6">SUM(IF("131"&amp;B6=KHC&amp;KH,TH))</f>
        <v>0</v>
      </c>
      <c r="K6" s="986">
        <f t="shared" si="0"/>
        <v>0</v>
      </c>
      <c r="L6" s="482">
        <f t="shared" si="1"/>
        <v>0</v>
      </c>
      <c r="M6" s="986">
        <f t="shared" si="2"/>
        <v>0</v>
      </c>
      <c r="N6" s="482">
        <f t="shared" si="3"/>
        <v>0</v>
      </c>
    </row>
    <row r="7" spans="1:14" s="10" customFormat="1" ht="18" customHeight="1">
      <c r="A7" s="981" t="str">
        <f t="shared" si="4"/>
        <v/>
      </c>
      <c r="B7" s="7"/>
      <c r="C7" s="982">
        <v>0</v>
      </c>
      <c r="D7" s="983">
        <v>0</v>
      </c>
      <c r="E7" s="982">
        <v>0</v>
      </c>
      <c r="F7" s="983">
        <v>0</v>
      </c>
      <c r="G7" s="982">
        <f t="array" ref="G7">SUM(IF("131"&amp;B7=KHN&amp;KH,_TH))</f>
        <v>0</v>
      </c>
      <c r="H7" s="983">
        <f t="array" ref="H7">SUM(IF("131"&amp;B7=KHN&amp;KH,TH))</f>
        <v>0</v>
      </c>
      <c r="I7" s="982">
        <f t="array" ref="I7">SUM(IF("131"&amp;B7=KHC&amp;KH,_TH))</f>
        <v>0</v>
      </c>
      <c r="J7" s="983">
        <f t="array" ref="J7">SUM(IF("131"&amp;B7=KHC&amp;KH,TH))</f>
        <v>0</v>
      </c>
      <c r="K7" s="986">
        <f t="shared" si="0"/>
        <v>0</v>
      </c>
      <c r="L7" s="482">
        <f t="shared" si="1"/>
        <v>0</v>
      </c>
      <c r="M7" s="986">
        <f t="shared" si="2"/>
        <v>0</v>
      </c>
      <c r="N7" s="482">
        <f t="shared" si="3"/>
        <v>0</v>
      </c>
    </row>
    <row r="8" spans="1:14" s="10" customFormat="1" ht="18" customHeight="1">
      <c r="A8" s="981" t="str">
        <f t="shared" si="4"/>
        <v/>
      </c>
      <c r="B8" s="7"/>
      <c r="C8" s="982">
        <v>0</v>
      </c>
      <c r="D8" s="983">
        <v>0</v>
      </c>
      <c r="E8" s="982">
        <v>0</v>
      </c>
      <c r="F8" s="983">
        <v>0</v>
      </c>
      <c r="G8" s="982">
        <f t="array" ref="G8">SUM(IF("131"&amp;B8=KHN&amp;KH,_TH))</f>
        <v>0</v>
      </c>
      <c r="H8" s="983">
        <f t="array" ref="H8">SUM(IF("131"&amp;B8=KHN&amp;KH,TH))</f>
        <v>0</v>
      </c>
      <c r="I8" s="982">
        <f t="array" ref="I8">SUM(IF("131"&amp;B8=KHC&amp;KH,_TH))</f>
        <v>0</v>
      </c>
      <c r="J8" s="983">
        <f t="array" ref="J8">SUM(IF("131"&amp;B8=KHC&amp;KH,TH))</f>
        <v>0</v>
      </c>
      <c r="K8" s="986">
        <f t="shared" si="0"/>
        <v>0</v>
      </c>
      <c r="L8" s="482">
        <f t="shared" si="1"/>
        <v>0</v>
      </c>
      <c r="M8" s="986">
        <f t="shared" si="2"/>
        <v>0</v>
      </c>
      <c r="N8" s="482">
        <f t="shared" si="3"/>
        <v>0</v>
      </c>
    </row>
    <row r="9" spans="1:14" s="10" customFormat="1" ht="18" customHeight="1">
      <c r="A9" s="981" t="str">
        <f t="shared" si="4"/>
        <v/>
      </c>
      <c r="B9" s="7"/>
      <c r="C9" s="982">
        <v>0</v>
      </c>
      <c r="D9" s="983">
        <v>0</v>
      </c>
      <c r="E9" s="982">
        <v>0</v>
      </c>
      <c r="F9" s="983">
        <v>0</v>
      </c>
      <c r="G9" s="982">
        <f t="array" ref="G9">SUM(IF("131"&amp;B9=KHN&amp;KH,_TH))</f>
        <v>0</v>
      </c>
      <c r="H9" s="983">
        <f t="array" ref="H9">SUM(IF("131"&amp;B9=KHN&amp;KH,TH))</f>
        <v>0</v>
      </c>
      <c r="I9" s="982">
        <f t="array" ref="I9">SUM(IF("131"&amp;B9=KHC&amp;KH,_TH))</f>
        <v>0</v>
      </c>
      <c r="J9" s="983">
        <f t="array" ref="J9">SUM(IF("131"&amp;B9=KHC&amp;KH,TH))</f>
        <v>0</v>
      </c>
      <c r="K9" s="986">
        <f t="shared" si="0"/>
        <v>0</v>
      </c>
      <c r="L9" s="482">
        <f t="shared" si="1"/>
        <v>0</v>
      </c>
      <c r="M9" s="986">
        <f t="shared" si="2"/>
        <v>0</v>
      </c>
      <c r="N9" s="482">
        <f t="shared" si="3"/>
        <v>0</v>
      </c>
    </row>
    <row r="10" spans="1:14" s="10" customFormat="1" ht="18" customHeight="1">
      <c r="A10" s="981" t="str">
        <f t="shared" si="4"/>
        <v/>
      </c>
      <c r="B10" s="7"/>
      <c r="C10" s="982">
        <v>0</v>
      </c>
      <c r="D10" s="983">
        <v>0</v>
      </c>
      <c r="E10" s="982">
        <v>0</v>
      </c>
      <c r="F10" s="982">
        <v>0</v>
      </c>
      <c r="G10" s="982">
        <f t="array" ref="G10">SUM(IF("131"&amp;B10=KHN&amp;KH,_TH))</f>
        <v>0</v>
      </c>
      <c r="H10" s="983">
        <f t="array" ref="H10">SUM(IF("131"&amp;B10=KHN&amp;KH,TH))</f>
        <v>0</v>
      </c>
      <c r="I10" s="982">
        <f t="array" ref="I10">SUM(IF("131"&amp;B10=KHC&amp;KH,_TH))</f>
        <v>0</v>
      </c>
      <c r="J10" s="983">
        <f t="array" ref="J10">SUM(IF("131"&amp;B10=KHC&amp;KH,TH))</f>
        <v>0</v>
      </c>
      <c r="K10" s="986">
        <f t="shared" si="0"/>
        <v>0</v>
      </c>
      <c r="L10" s="482">
        <f t="shared" si="1"/>
        <v>0</v>
      </c>
      <c r="M10" s="986">
        <f t="shared" si="2"/>
        <v>0</v>
      </c>
      <c r="N10" s="482">
        <f t="shared" si="3"/>
        <v>0</v>
      </c>
    </row>
    <row r="11" spans="1:14" s="10" customFormat="1" ht="18" customHeight="1">
      <c r="A11" s="981" t="str">
        <f t="shared" si="4"/>
        <v/>
      </c>
      <c r="B11" s="7"/>
      <c r="C11" s="982">
        <v>0</v>
      </c>
      <c r="D11" s="983">
        <v>0</v>
      </c>
      <c r="E11" s="982">
        <v>0</v>
      </c>
      <c r="F11" s="982">
        <v>0</v>
      </c>
      <c r="G11" s="982">
        <f t="array" ref="G11">SUM(IF("131"&amp;B11=KHN&amp;KH,_TH))</f>
        <v>0</v>
      </c>
      <c r="H11" s="983">
        <f t="array" ref="H11">SUM(IF("131"&amp;B11=KHN&amp;KH,TH))</f>
        <v>0</v>
      </c>
      <c r="I11" s="982">
        <f t="array" ref="I11">SUM(IF("131"&amp;B11=KHC&amp;KH,_TH))</f>
        <v>0</v>
      </c>
      <c r="J11" s="983">
        <f t="array" ref="J11">SUM(IF("131"&amp;B11=KHC&amp;KH,TH))</f>
        <v>0</v>
      </c>
      <c r="K11" s="986">
        <f t="shared" si="0"/>
        <v>0</v>
      </c>
      <c r="L11" s="482">
        <f t="shared" si="1"/>
        <v>0</v>
      </c>
      <c r="M11" s="986">
        <f t="shared" si="2"/>
        <v>0</v>
      </c>
      <c r="N11" s="482">
        <f t="shared" si="3"/>
        <v>0</v>
      </c>
    </row>
    <row r="12" spans="1:14" s="10" customFormat="1" ht="18" customHeight="1">
      <c r="A12" s="981" t="str">
        <f t="shared" si="4"/>
        <v/>
      </c>
      <c r="B12" s="7"/>
      <c r="C12" s="982">
        <v>0</v>
      </c>
      <c r="D12" s="983">
        <v>0</v>
      </c>
      <c r="E12" s="982">
        <v>0</v>
      </c>
      <c r="F12" s="982">
        <v>0</v>
      </c>
      <c r="G12" s="982">
        <f t="array" ref="G12">SUM(IF("131"&amp;B12=KHN&amp;KH,_TH))</f>
        <v>0</v>
      </c>
      <c r="H12" s="983">
        <f t="array" ref="H12">SUM(IF("131"&amp;B12=KHN&amp;KH,TH))</f>
        <v>0</v>
      </c>
      <c r="I12" s="982">
        <f t="array" ref="I12">SUM(IF("131"&amp;B12=KHC&amp;KH,_TH))</f>
        <v>0</v>
      </c>
      <c r="J12" s="983">
        <f t="array" ref="J12">SUM(IF("131"&amp;B12=KHC&amp;KH,TH))</f>
        <v>0</v>
      </c>
      <c r="K12" s="986">
        <f t="shared" si="0"/>
        <v>0</v>
      </c>
      <c r="L12" s="482">
        <f t="shared" si="1"/>
        <v>0</v>
      </c>
      <c r="M12" s="986">
        <f t="shared" si="2"/>
        <v>0</v>
      </c>
      <c r="N12" s="482">
        <f t="shared" si="3"/>
        <v>0</v>
      </c>
    </row>
    <row r="13" spans="1:14" s="10" customFormat="1" ht="18" customHeight="1">
      <c r="A13" s="981" t="str">
        <f t="shared" si="4"/>
        <v/>
      </c>
      <c r="B13" s="987"/>
      <c r="C13" s="982">
        <v>0</v>
      </c>
      <c r="D13" s="983">
        <v>0</v>
      </c>
      <c r="E13" s="982">
        <v>0</v>
      </c>
      <c r="F13" s="982">
        <v>0</v>
      </c>
      <c r="G13" s="982">
        <f t="array" ref="G13">SUM(IF("131"&amp;B13=KHN&amp;KH,_TH))</f>
        <v>0</v>
      </c>
      <c r="H13" s="983">
        <f t="array" ref="H13">SUM(IF("131"&amp;B13=KHN&amp;KH,TH))</f>
        <v>0</v>
      </c>
      <c r="I13" s="982">
        <f t="array" ref="I13">SUM(IF("131"&amp;B13=KHC&amp;KH,_TH))</f>
        <v>0</v>
      </c>
      <c r="J13" s="983">
        <f t="array" ref="J13">SUM(IF("131"&amp;B13=KHC&amp;KH,TH))</f>
        <v>0</v>
      </c>
      <c r="K13" s="986">
        <f t="shared" si="0"/>
        <v>0</v>
      </c>
      <c r="L13" s="482">
        <f t="shared" si="1"/>
        <v>0</v>
      </c>
      <c r="M13" s="986">
        <f t="shared" si="2"/>
        <v>0</v>
      </c>
      <c r="N13" s="482">
        <f t="shared" si="3"/>
        <v>0</v>
      </c>
    </row>
    <row r="14" spans="1:14" s="10" customFormat="1" ht="18" customHeight="1">
      <c r="A14" s="981" t="str">
        <f t="shared" si="4"/>
        <v/>
      </c>
      <c r="B14" s="988"/>
      <c r="C14" s="982">
        <v>0</v>
      </c>
      <c r="D14" s="983">
        <v>0</v>
      </c>
      <c r="E14" s="982">
        <v>0</v>
      </c>
      <c r="F14" s="982">
        <v>0</v>
      </c>
      <c r="G14" s="982">
        <f t="array" ref="G14">SUM(IF("131"&amp;B14=KHN&amp;KH,_TH))</f>
        <v>0</v>
      </c>
      <c r="H14" s="983">
        <f t="array" ref="H14">SUM(IF("131"&amp;B14=KHN&amp;KH,TH))</f>
        <v>0</v>
      </c>
      <c r="I14" s="982">
        <f t="array" ref="I14">SUM(IF("131"&amp;B14=KHC&amp;KH,_TH))</f>
        <v>0</v>
      </c>
      <c r="J14" s="983">
        <f t="array" ref="J14">SUM(IF("131"&amp;B14=KHC&amp;KH,TH))</f>
        <v>0</v>
      </c>
      <c r="K14" s="986">
        <f t="shared" si="0"/>
        <v>0</v>
      </c>
      <c r="L14" s="482">
        <f t="shared" si="1"/>
        <v>0</v>
      </c>
      <c r="M14" s="986">
        <f t="shared" si="2"/>
        <v>0</v>
      </c>
      <c r="N14" s="482">
        <f t="shared" si="3"/>
        <v>0</v>
      </c>
    </row>
    <row r="15" spans="1:14" s="10" customFormat="1" ht="18" customHeight="1">
      <c r="A15" s="981" t="str">
        <f t="shared" si="4"/>
        <v/>
      </c>
      <c r="B15" s="988"/>
      <c r="C15" s="982">
        <v>0</v>
      </c>
      <c r="D15" s="983">
        <v>0</v>
      </c>
      <c r="E15" s="982">
        <v>0</v>
      </c>
      <c r="F15" s="982">
        <v>0</v>
      </c>
      <c r="G15" s="982">
        <f t="array" ref="G15">SUM(IF("131"&amp;B15=KHN&amp;KH,_TH))</f>
        <v>0</v>
      </c>
      <c r="H15" s="983">
        <f t="array" ref="H15">SUM(IF("131"&amp;B15=KHN&amp;KH,TH))</f>
        <v>0</v>
      </c>
      <c r="I15" s="982">
        <f t="array" ref="I15">SUM(IF("131"&amp;B15=KHC&amp;KH,_TH))</f>
        <v>0</v>
      </c>
      <c r="J15" s="983">
        <f t="array" ref="J15">SUM(IF("131"&amp;B15=KHC&amp;KH,TH))</f>
        <v>0</v>
      </c>
      <c r="K15" s="986">
        <f t="shared" si="0"/>
        <v>0</v>
      </c>
      <c r="L15" s="482">
        <f t="shared" si="1"/>
        <v>0</v>
      </c>
      <c r="M15" s="986">
        <f t="shared" si="2"/>
        <v>0</v>
      </c>
      <c r="N15" s="482">
        <f t="shared" si="3"/>
        <v>0</v>
      </c>
    </row>
    <row r="16" spans="1:14" s="10" customFormat="1" ht="18" customHeight="1">
      <c r="A16" s="989"/>
      <c r="B16" s="990"/>
      <c r="C16" s="982"/>
      <c r="D16" s="983"/>
      <c r="E16" s="991"/>
      <c r="F16" s="991"/>
      <c r="G16" s="991"/>
      <c r="H16" s="992"/>
      <c r="I16" s="991"/>
      <c r="J16" s="992"/>
      <c r="K16" s="993"/>
      <c r="L16" s="994"/>
      <c r="M16" s="993"/>
      <c r="N16" s="994"/>
    </row>
    <row r="17" spans="1:14" ht="18" customHeight="1">
      <c r="A17" s="11"/>
      <c r="B17" s="12" t="s">
        <v>56</v>
      </c>
      <c r="C17" s="995">
        <f t="shared" ref="C17:N17" si="5">SUM(C5:C16)</f>
        <v>0</v>
      </c>
      <c r="D17" s="996">
        <f t="shared" si="5"/>
        <v>0</v>
      </c>
      <c r="E17" s="995">
        <f t="shared" si="5"/>
        <v>0</v>
      </c>
      <c r="F17" s="996">
        <f t="shared" si="5"/>
        <v>0</v>
      </c>
      <c r="G17" s="995">
        <f t="shared" si="5"/>
        <v>0</v>
      </c>
      <c r="H17" s="996">
        <f t="shared" si="5"/>
        <v>0</v>
      </c>
      <c r="I17" s="995">
        <f t="shared" si="5"/>
        <v>0</v>
      </c>
      <c r="J17" s="996">
        <f t="shared" si="5"/>
        <v>0</v>
      </c>
      <c r="K17" s="995">
        <f t="shared" si="5"/>
        <v>0</v>
      </c>
      <c r="L17" s="996">
        <f t="shared" si="5"/>
        <v>0</v>
      </c>
      <c r="M17" s="995">
        <f t="shared" si="5"/>
        <v>0</v>
      </c>
      <c r="N17" s="996">
        <f t="shared" si="5"/>
        <v>0</v>
      </c>
    </row>
    <row r="19" spans="1:14">
      <c r="H19" s="997">
        <f>CDPS!E15</f>
        <v>0</v>
      </c>
      <c r="J19" s="997">
        <f>CDPS!F15</f>
        <v>0</v>
      </c>
    </row>
    <row r="21" spans="1:14">
      <c r="H21" s="997">
        <f>H17-H19</f>
        <v>0</v>
      </c>
      <c r="I21" s="997"/>
      <c r="J21" s="997">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75" customFormat="1" ht="16.5" customHeight="1">
      <c r="A2" s="998" t="s">
        <v>512</v>
      </c>
      <c r="B2" s="999"/>
      <c r="C2" s="1000"/>
      <c r="D2" s="559"/>
      <c r="E2" s="1001"/>
      <c r="G2" s="1002"/>
      <c r="H2" s="1003"/>
      <c r="I2" s="1004"/>
      <c r="J2" s="1005"/>
      <c r="K2" s="2"/>
      <c r="L2" s="2"/>
      <c r="M2" s="974" t="s">
        <v>786</v>
      </c>
      <c r="N2" s="2"/>
      <c r="O2" s="2"/>
    </row>
    <row r="3" spans="1:15" s="975" customFormat="1" ht="16.5" customHeight="1">
      <c r="A3" s="1127" t="s">
        <v>787</v>
      </c>
      <c r="B3" s="1127"/>
      <c r="C3" s="1127"/>
      <c r="D3" s="1127"/>
      <c r="E3" s="1001"/>
      <c r="G3" s="1002"/>
      <c r="H3" s="1003"/>
      <c r="I3" s="1006"/>
      <c r="J3" s="1007"/>
      <c r="K3" s="17"/>
      <c r="L3" s="17"/>
      <c r="M3" s="1008" t="s">
        <v>515</v>
      </c>
      <c r="N3" s="17"/>
      <c r="O3" s="17"/>
    </row>
    <row r="4" spans="1:15" s="975" customFormat="1" ht="16.5" customHeight="1">
      <c r="A4" s="1009"/>
      <c r="B4" s="1009"/>
      <c r="C4" s="1009"/>
      <c r="D4" s="1009"/>
      <c r="E4" s="1001"/>
      <c r="G4" s="1002" t="s">
        <v>788</v>
      </c>
      <c r="H4" s="1003"/>
      <c r="I4" s="1006"/>
      <c r="J4" s="1007"/>
      <c r="K4" s="17"/>
      <c r="L4" s="17"/>
      <c r="M4" s="1008" t="s">
        <v>516</v>
      </c>
      <c r="N4" s="17"/>
      <c r="O4" s="17"/>
    </row>
    <row r="5" spans="1:15" s="975" customFormat="1" ht="6.75" customHeight="1">
      <c r="A5" s="1010"/>
      <c r="B5" s="1010"/>
      <c r="C5" s="1010"/>
      <c r="E5" s="1001"/>
      <c r="G5" s="1002"/>
      <c r="H5" s="1003"/>
      <c r="I5" s="1006"/>
      <c r="J5" s="1007"/>
      <c r="K5" s="1011"/>
      <c r="L5" s="971"/>
      <c r="M5" s="971"/>
      <c r="N5" s="971"/>
      <c r="O5" s="971"/>
    </row>
    <row r="6" spans="1:15" s="5" customFormat="1" ht="23.25" customHeight="1">
      <c r="A6" s="1128" t="s">
        <v>789</v>
      </c>
      <c r="B6" s="1128"/>
      <c r="C6" s="1128"/>
      <c r="D6" s="1128"/>
      <c r="E6" s="1128"/>
      <c r="F6" s="1128"/>
      <c r="G6" s="1128"/>
      <c r="H6" s="1128"/>
      <c r="I6" s="1128"/>
      <c r="J6" s="1128"/>
      <c r="K6" s="1128"/>
      <c r="L6" s="1128"/>
      <c r="M6" s="1128"/>
      <c r="N6" s="1128"/>
      <c r="O6" s="1128"/>
    </row>
    <row r="7" spans="1:15" s="5" customFormat="1" ht="15">
      <c r="H7" s="972" t="s">
        <v>34</v>
      </c>
    </row>
    <row r="8" spans="1:15" s="5" customFormat="1" ht="15">
      <c r="H8" s="972" t="s">
        <v>790</v>
      </c>
    </row>
    <row r="9" spans="1:15" s="5" customFormat="1" ht="15">
      <c r="G9" s="284" t="s">
        <v>791</v>
      </c>
      <c r="H9" s="1129" t="s">
        <v>795</v>
      </c>
      <c r="I9" s="1129"/>
      <c r="J9" s="1129"/>
    </row>
    <row r="10" spans="1:15" s="5" customFormat="1" ht="15">
      <c r="H10" s="972" t="s">
        <v>352</v>
      </c>
    </row>
    <row r="11" spans="1:15" s="5" customFormat="1" ht="15">
      <c r="A11" s="4"/>
      <c r="B11" s="4"/>
      <c r="C11" s="1012"/>
      <c r="D11" s="1012"/>
      <c r="E11" s="1012"/>
      <c r="F11" s="1012"/>
      <c r="G11" s="1012"/>
      <c r="H11" s="1012"/>
      <c r="I11" s="1012"/>
      <c r="J11" s="1012"/>
      <c r="K11" s="1012"/>
      <c r="L11" s="1012"/>
      <c r="M11" s="1012"/>
      <c r="N11" s="1012"/>
      <c r="O11" s="1012"/>
    </row>
    <row r="12" spans="1:15" s="972" customFormat="1" ht="15.75" customHeight="1">
      <c r="A12" s="1130" t="s">
        <v>27</v>
      </c>
      <c r="B12" s="1133" t="s">
        <v>1</v>
      </c>
      <c r="C12" s="1134"/>
      <c r="D12" s="1130" t="s">
        <v>0</v>
      </c>
      <c r="E12" s="1130" t="s">
        <v>19</v>
      </c>
      <c r="F12" s="1130" t="s">
        <v>353</v>
      </c>
      <c r="G12" s="1135" t="s">
        <v>792</v>
      </c>
      <c r="H12" s="1133" t="s">
        <v>28</v>
      </c>
      <c r="I12" s="1138"/>
      <c r="J12" s="1138"/>
      <c r="K12" s="1134"/>
      <c r="L12" s="1133" t="s">
        <v>38</v>
      </c>
      <c r="M12" s="1139"/>
      <c r="N12" s="1139"/>
      <c r="O12" s="1140"/>
    </row>
    <row r="13" spans="1:15" s="972" customFormat="1" ht="15.75" customHeight="1">
      <c r="A13" s="1131"/>
      <c r="B13" s="1141" t="s">
        <v>20</v>
      </c>
      <c r="C13" s="1141" t="s">
        <v>39</v>
      </c>
      <c r="D13" s="1131"/>
      <c r="E13" s="1131"/>
      <c r="F13" s="1131"/>
      <c r="G13" s="1136"/>
      <c r="H13" s="1143" t="s">
        <v>29</v>
      </c>
      <c r="I13" s="1144"/>
      <c r="J13" s="1143" t="s">
        <v>30</v>
      </c>
      <c r="K13" s="1144"/>
      <c r="L13" s="1143" t="s">
        <v>29</v>
      </c>
      <c r="M13" s="1140"/>
      <c r="N13" s="1143" t="s">
        <v>30</v>
      </c>
      <c r="O13" s="1140"/>
    </row>
    <row r="14" spans="1:15" s="972" customFormat="1" ht="27.75" customHeight="1">
      <c r="A14" s="1132"/>
      <c r="B14" s="1142"/>
      <c r="C14" s="1142"/>
      <c r="D14" s="1132"/>
      <c r="E14" s="1132"/>
      <c r="F14" s="1132"/>
      <c r="G14" s="1137"/>
      <c r="H14" s="1013" t="s">
        <v>354</v>
      </c>
      <c r="I14" s="1014" t="s">
        <v>355</v>
      </c>
      <c r="J14" s="1015" t="s">
        <v>354</v>
      </c>
      <c r="K14" s="1014" t="s">
        <v>355</v>
      </c>
      <c r="L14" s="1016" t="s">
        <v>354</v>
      </c>
      <c r="M14" s="1016" t="s">
        <v>355</v>
      </c>
      <c r="N14" s="1016" t="s">
        <v>354</v>
      </c>
      <c r="O14" s="1016" t="s">
        <v>355</v>
      </c>
    </row>
    <row r="15" spans="1:15" s="972" customFormat="1" ht="15">
      <c r="A15" s="1017" t="s">
        <v>2</v>
      </c>
      <c r="B15" s="1018" t="s">
        <v>3</v>
      </c>
      <c r="C15" s="1017" t="s">
        <v>4</v>
      </c>
      <c r="D15" s="1017" t="s">
        <v>5</v>
      </c>
      <c r="E15" s="1017" t="s">
        <v>6</v>
      </c>
      <c r="F15" s="1017">
        <v>1</v>
      </c>
      <c r="G15" s="1017">
        <v>2</v>
      </c>
      <c r="H15" s="1017">
        <v>3</v>
      </c>
      <c r="I15" s="1017">
        <v>4</v>
      </c>
      <c r="J15" s="1017">
        <v>5</v>
      </c>
      <c r="K15" s="1017">
        <v>6</v>
      </c>
      <c r="L15" s="1017">
        <v>7</v>
      </c>
      <c r="M15" s="1017">
        <v>8</v>
      </c>
      <c r="N15" s="1017">
        <v>9</v>
      </c>
      <c r="O15" s="1017">
        <v>10</v>
      </c>
    </row>
    <row r="16" spans="1:15" s="5" customFormat="1" ht="16.5" customHeight="1">
      <c r="A16" s="1019"/>
      <c r="B16" s="1019"/>
      <c r="C16" s="1019"/>
      <c r="D16" s="1020" t="s">
        <v>7</v>
      </c>
      <c r="E16" s="1019"/>
      <c r="F16" s="1017"/>
      <c r="G16" s="1021"/>
      <c r="H16" s="1022"/>
      <c r="I16" s="1021"/>
      <c r="J16" s="1023"/>
      <c r="K16" s="1021"/>
      <c r="L16" s="1022" t="e">
        <f>VLOOKUP($H$9,'131'!$B$5:$F$15,2,0)</f>
        <v>#N/A</v>
      </c>
      <c r="M16" s="1024" t="e">
        <f>VLOOKUP($H$9,'131'!$B$5:$F$15,3,0)</f>
        <v>#N/A</v>
      </c>
      <c r="N16" s="1022" t="e">
        <f>VLOOKUP($H$9,'131'!$B$5:$F$15,4,0)</f>
        <v>#N/A</v>
      </c>
      <c r="O16" s="1024" t="e">
        <f>VLOOKUP($H$9,'131'!$B$5:$F$15,5,0)</f>
        <v>#N/A</v>
      </c>
    </row>
    <row r="17" spans="1:15" s="5" customFormat="1" ht="16.5" customHeight="1">
      <c r="A17" s="254" t="str">
        <f t="shared" ref="A17:A31" ca="1" si="0">IF(C17&lt;&gt;"",C17,"")</f>
        <v/>
      </c>
      <c r="B17" s="265" t="str">
        <f ca="1">IF(ROWS($1:1)&gt;COUNT(Dong14),"",OFFSET(TH!D$1,SMALL(Dong14,ROWS($1:1)),))</f>
        <v/>
      </c>
      <c r="C17" s="254" t="str">
        <f ca="1">IF(ROWS($1:1)&gt;COUNT(Dong14),"",OFFSET(TH!E$1,SMALL(Dong14,ROWS($1:1)),))</f>
        <v/>
      </c>
      <c r="D17" s="1025" t="str">
        <f ca="1">IF(ROWS($1:1)&gt;COUNT(Dong14),"",OFFSET(TH!F$1,SMALL(Dong14,ROWS($1:1)),))</f>
        <v/>
      </c>
      <c r="E17" s="1026" t="str">
        <f ca="1">IF(ROWS($1:1)&gt;COUNT(Dong14),"",IF(OFFSET(TH!N$1,SMALL(Dong14,ROWS($1:1)),)="131",OFFSET(TH!O$1,SMALL(Dong14,ROWS($1:1)),),OFFSET(TH!N$1,SMALL(Dong14,ROWS($1:1)),)))</f>
        <v/>
      </c>
      <c r="F17" s="1026">
        <f ca="1">IF(ROWS($1:1)&gt;COUNT(Dong14),0,OFFSET(TH!L$1,SMALL(Dong14,ROWS($1:1)),))</f>
        <v>0</v>
      </c>
      <c r="G17" s="1026"/>
      <c r="H17" s="1027">
        <f ca="1">IF(ROWS($1:1)&gt;COUNT(Dong14),0,IF(OFFSET(TH!N$1,SMALL(Dong14,ROWS($1:1)),)="131",OFFSET(TH!K$1,SMALL(Dong14,ROWS($1:1)),),0))</f>
        <v>0</v>
      </c>
      <c r="I17" s="1026">
        <f ca="1">IF(ROWS($1:1)&gt;COUNT(Dong14),0,IF(OFFSET(TH!N$1,SMALL(Dong14,ROWS($1:1)),)="131",OFFSET(TH!M$1,SMALL(Dong14,ROWS($1:1)),),0))</f>
        <v>0</v>
      </c>
      <c r="J17" s="1027">
        <f ca="1">IF(ROWS($1:1)&gt;COUNT(Dong14),0,IF(OFFSET(TH!O$1,SMALL(Dong14,ROWS($1:1)),)="131",OFFSET(TH!K$1,SMALL(Dong14,ROWS($1:1)),),0))</f>
        <v>0</v>
      </c>
      <c r="K17" s="1026">
        <f ca="1">IF(ROWS($1:1)&gt;COUNT(Dong14),0,IF(OFFSET(TH!O$1,SMALL(Dong14,ROWS($1:1)),)="131",OFFSET(TH!M$1,SMALL(Dong14,ROWS($1:1)),),0))</f>
        <v>0</v>
      </c>
      <c r="L17" s="1028">
        <f ca="1">IF(D17&lt;&gt;"",ROUND(MAX(L16+H17-J17-N16,0),2),0)</f>
        <v>0</v>
      </c>
      <c r="M17" s="1029">
        <f ca="1">IF(D17&lt;&gt;"",MAX(M16-O16+I17-K17,0),0)</f>
        <v>0</v>
      </c>
      <c r="N17" s="1028">
        <f ca="1">IF(D17&lt;&gt;"",ROUND(MAX(N16+J17-H17-L16,0),2),0)</f>
        <v>0</v>
      </c>
      <c r="O17" s="1029">
        <f ca="1">IF(D17&lt;&gt;"",MAX(O16-M16+K17-I17,0),0)</f>
        <v>0</v>
      </c>
    </row>
    <row r="18" spans="1:15" s="5" customFormat="1" ht="16.5" customHeight="1">
      <c r="A18" s="254" t="str">
        <f t="shared" ca="1" si="0"/>
        <v/>
      </c>
      <c r="B18" s="265" t="str">
        <f ca="1">IF(ROWS($1:2)&gt;COUNT(Dong14),"",OFFSET(TH!D$1,SMALL(Dong14,ROWS($1:2)),))</f>
        <v/>
      </c>
      <c r="C18" s="254" t="str">
        <f ca="1">IF(ROWS($1:2)&gt;COUNT(Dong14),"",OFFSET(TH!E$1,SMALL(Dong14,ROWS($1:2)),))</f>
        <v/>
      </c>
      <c r="D18" s="1025" t="str">
        <f ca="1">IF(ROWS($1:2)&gt;COUNT(Dong14),"",OFFSET(TH!F$1,SMALL(Dong14,ROWS($1:2)),))</f>
        <v/>
      </c>
      <c r="E18" s="1026" t="str">
        <f ca="1">IF(ROWS($1:2)&gt;COUNT(Dong14),"",IF(OFFSET(TH!N$1,SMALL(Dong14,ROWS($1:2)),)="131",OFFSET(TH!O$1,SMALL(Dong14,ROWS($1:2)),),OFFSET(TH!N$1,SMALL(Dong14,ROWS($1:2)),)))</f>
        <v/>
      </c>
      <c r="F18" s="1026">
        <f ca="1">IF(ROWS($1:2)&gt;COUNT(Dong14),0,OFFSET(TH!L$1,SMALL(Dong14,ROWS($1:2)),))</f>
        <v>0</v>
      </c>
      <c r="G18" s="1026"/>
      <c r="H18" s="1027">
        <f ca="1">IF(ROWS($1:2)&gt;COUNT(Dong14),0,IF(OFFSET(TH!N$1,SMALL(Dong14,ROWS($1:2)),)="131",OFFSET(TH!K$1,SMALL(Dong14,ROWS($1:2)),),0))</f>
        <v>0</v>
      </c>
      <c r="I18" s="1026">
        <f ca="1">IF(ROWS($1:2)&gt;COUNT(Dong14),0,IF(OFFSET(TH!N$1,SMALL(Dong14,ROWS($1:2)),)="131",OFFSET(TH!M$1,SMALL(Dong14,ROWS($1:2)),),0))</f>
        <v>0</v>
      </c>
      <c r="J18" s="1027">
        <f ca="1">IF(ROWS($1:2)&gt;COUNT(Dong14),0,IF(OFFSET(TH!O$1,SMALL(Dong14,ROWS($1:2)),)="131",OFFSET(TH!K$1,SMALL(Dong14,ROWS($1:2)),),0))</f>
        <v>0</v>
      </c>
      <c r="K18" s="1026">
        <f ca="1">IF(ROWS($1:2)&gt;COUNT(Dong14),0,IF(OFFSET(TH!O$1,SMALL(Dong14,ROWS($1:2)),)="131",OFFSET(TH!M$1,SMALL(Dong14,ROWS($1:2)),),0))</f>
        <v>0</v>
      </c>
      <c r="L18" s="1028">
        <f t="shared" ref="L18:L30" ca="1" si="1">IF(D18&lt;&gt;"",ROUND(MAX(L17+H18-J18-N17,0),2),0)</f>
        <v>0</v>
      </c>
      <c r="M18" s="1029">
        <f t="shared" ref="M18:M30" ca="1" si="2">IF(D18&lt;&gt;"",MAX(M17-O17+I18-K18,0),0)</f>
        <v>0</v>
      </c>
      <c r="N18" s="1028">
        <f t="shared" ref="N18:N30" ca="1" si="3">IF(D18&lt;&gt;"",ROUND(MAX(N17+J18-H18-L17,0),2),0)</f>
        <v>0</v>
      </c>
      <c r="O18" s="1029">
        <f t="shared" ref="O18:O30" ca="1" si="4">IF(D18&lt;&gt;"",MAX(O17-M17+K18-I18,0),0)</f>
        <v>0</v>
      </c>
    </row>
    <row r="19" spans="1:15" s="5" customFormat="1" ht="16.5" customHeight="1">
      <c r="A19" s="254" t="str">
        <f t="shared" ca="1" si="0"/>
        <v/>
      </c>
      <c r="B19" s="265" t="str">
        <f ca="1">IF(ROWS($1:3)&gt;COUNT(Dong14),"",OFFSET(TH!D$1,SMALL(Dong14,ROWS($1:3)),))</f>
        <v/>
      </c>
      <c r="C19" s="254" t="str">
        <f ca="1">IF(ROWS($1:3)&gt;COUNT(Dong14),"",OFFSET(TH!E$1,SMALL(Dong14,ROWS($1:3)),))</f>
        <v/>
      </c>
      <c r="D19" s="1025" t="str">
        <f ca="1">IF(ROWS($1:3)&gt;COUNT(Dong14),"",OFFSET(TH!F$1,SMALL(Dong14,ROWS($1:3)),))</f>
        <v/>
      </c>
      <c r="E19" s="1026" t="str">
        <f ca="1">IF(ROWS($1:3)&gt;COUNT(Dong14),"",IF(OFFSET(TH!N$1,SMALL(Dong14,ROWS($1:3)),)="131",OFFSET(TH!O$1,SMALL(Dong14,ROWS($1:3)),),OFFSET(TH!N$1,SMALL(Dong14,ROWS($1:3)),)))</f>
        <v/>
      </c>
      <c r="F19" s="1026">
        <f ca="1">IF(ROWS($1:3)&gt;COUNT(Dong14),0,OFFSET(TH!L$1,SMALL(Dong14,ROWS($1:3)),))</f>
        <v>0</v>
      </c>
      <c r="G19" s="1026"/>
      <c r="H19" s="1027">
        <f ca="1">IF(ROWS($1:3)&gt;COUNT(Dong14),0,IF(OFFSET(TH!N$1,SMALL(Dong14,ROWS($1:3)),)="131",OFFSET(TH!K$1,SMALL(Dong14,ROWS($1:3)),),0))</f>
        <v>0</v>
      </c>
      <c r="I19" s="1026">
        <f ca="1">IF(ROWS($1:3)&gt;COUNT(Dong14),0,IF(OFFSET(TH!N$1,SMALL(Dong14,ROWS($1:3)),)="131",OFFSET(TH!M$1,SMALL(Dong14,ROWS($1:3)),),0))</f>
        <v>0</v>
      </c>
      <c r="J19" s="1027">
        <f ca="1">IF(ROWS($1:3)&gt;COUNT(Dong14),0,IF(OFFSET(TH!O$1,SMALL(Dong14,ROWS($1:3)),)="131",OFFSET(TH!K$1,SMALL(Dong14,ROWS($1:3)),),0))</f>
        <v>0</v>
      </c>
      <c r="K19" s="1026">
        <f ca="1">IF(ROWS($1:3)&gt;COUNT(Dong14),0,IF(OFFSET(TH!O$1,SMALL(Dong14,ROWS($1:3)),)="131",OFFSET(TH!M$1,SMALL(Dong14,ROWS($1:3)),),0))</f>
        <v>0</v>
      </c>
      <c r="L19" s="1028">
        <f t="shared" ca="1" si="1"/>
        <v>0</v>
      </c>
      <c r="M19" s="1029">
        <f t="shared" ca="1" si="2"/>
        <v>0</v>
      </c>
      <c r="N19" s="1028">
        <f t="shared" ca="1" si="3"/>
        <v>0</v>
      </c>
      <c r="O19" s="1029">
        <f t="shared" ca="1" si="4"/>
        <v>0</v>
      </c>
    </row>
    <row r="20" spans="1:15" s="5" customFormat="1" ht="16.5" customHeight="1">
      <c r="A20" s="254" t="str">
        <f t="shared" ca="1" si="0"/>
        <v/>
      </c>
      <c r="B20" s="265" t="str">
        <f ca="1">IF(ROWS($1:4)&gt;COUNT(Dong14),"",OFFSET(TH!D$1,SMALL(Dong14,ROWS($1:4)),))</f>
        <v/>
      </c>
      <c r="C20" s="254" t="str">
        <f ca="1">IF(ROWS($1:4)&gt;COUNT(Dong14),"",OFFSET(TH!E$1,SMALL(Dong14,ROWS($1:4)),))</f>
        <v/>
      </c>
      <c r="D20" s="1025" t="str">
        <f ca="1">IF(ROWS($1:4)&gt;COUNT(Dong14),"",OFFSET(TH!F$1,SMALL(Dong14,ROWS($1:4)),))</f>
        <v/>
      </c>
      <c r="E20" s="1026" t="str">
        <f ca="1">IF(ROWS($1:4)&gt;COUNT(Dong14),"",IF(OFFSET(TH!N$1,SMALL(Dong14,ROWS($1:4)),)="131",OFFSET(TH!O$1,SMALL(Dong14,ROWS($1:4)),),OFFSET(TH!N$1,SMALL(Dong14,ROWS($1:4)),)))</f>
        <v/>
      </c>
      <c r="F20" s="1026">
        <f ca="1">IF(ROWS($1:4)&gt;COUNT(Dong14),0,OFFSET(TH!L$1,SMALL(Dong14,ROWS($1:4)),))</f>
        <v>0</v>
      </c>
      <c r="G20" s="1026"/>
      <c r="H20" s="1027">
        <f ca="1">IF(ROWS($1:4)&gt;COUNT(Dong14),0,IF(OFFSET(TH!N$1,SMALL(Dong14,ROWS($1:4)),)="131",OFFSET(TH!K$1,SMALL(Dong14,ROWS($1:4)),),0))</f>
        <v>0</v>
      </c>
      <c r="I20" s="1026">
        <f ca="1">IF(ROWS($1:4)&gt;COUNT(Dong14),0,IF(OFFSET(TH!N$1,SMALL(Dong14,ROWS($1:4)),)="131",OFFSET(TH!M$1,SMALL(Dong14,ROWS($1:4)),),0))</f>
        <v>0</v>
      </c>
      <c r="J20" s="1027">
        <f ca="1">IF(ROWS($1:4)&gt;COUNT(Dong14),0,IF(OFFSET(TH!O$1,SMALL(Dong14,ROWS($1:4)),)="131",OFFSET(TH!K$1,SMALL(Dong14,ROWS($1:4)),),0))</f>
        <v>0</v>
      </c>
      <c r="K20" s="1026">
        <f ca="1">IF(ROWS($1:4)&gt;COUNT(Dong14),0,IF(OFFSET(TH!O$1,SMALL(Dong14,ROWS($1:4)),)="131",OFFSET(TH!M$1,SMALL(Dong14,ROWS($1:4)),),0))</f>
        <v>0</v>
      </c>
      <c r="L20" s="1028">
        <f t="shared" ca="1" si="1"/>
        <v>0</v>
      </c>
      <c r="M20" s="1029">
        <f t="shared" ca="1" si="2"/>
        <v>0</v>
      </c>
      <c r="N20" s="1028">
        <f t="shared" ca="1" si="3"/>
        <v>0</v>
      </c>
      <c r="O20" s="1029">
        <f t="shared" ca="1" si="4"/>
        <v>0</v>
      </c>
    </row>
    <row r="21" spans="1:15" s="5" customFormat="1" ht="16.5" customHeight="1">
      <c r="A21" s="254" t="str">
        <f t="shared" ca="1" si="0"/>
        <v/>
      </c>
      <c r="B21" s="265" t="str">
        <f ca="1">IF(ROWS($1:5)&gt;COUNT(Dong14),"",OFFSET(TH!D$1,SMALL(Dong14,ROWS($1:5)),))</f>
        <v/>
      </c>
      <c r="C21" s="254" t="str">
        <f ca="1">IF(ROWS($1:5)&gt;COUNT(Dong14),"",OFFSET(TH!E$1,SMALL(Dong14,ROWS($1:5)),))</f>
        <v/>
      </c>
      <c r="D21" s="1025" t="str">
        <f ca="1">IF(ROWS($1:5)&gt;COUNT(Dong14),"",OFFSET(TH!F$1,SMALL(Dong14,ROWS($1:5)),))</f>
        <v/>
      </c>
      <c r="E21" s="1026" t="str">
        <f ca="1">IF(ROWS($1:5)&gt;COUNT(Dong14),"",IF(OFFSET(TH!N$1,SMALL(Dong14,ROWS($1:5)),)="131",OFFSET(TH!O$1,SMALL(Dong14,ROWS($1:5)),),OFFSET(TH!N$1,SMALL(Dong14,ROWS($1:5)),)))</f>
        <v/>
      </c>
      <c r="F21" s="1026">
        <f ca="1">IF(ROWS($1:5)&gt;COUNT(Dong14),0,OFFSET(TH!L$1,SMALL(Dong14,ROWS($1:5)),))</f>
        <v>0</v>
      </c>
      <c r="G21" s="1026"/>
      <c r="H21" s="1027">
        <f ca="1">IF(ROWS($1:5)&gt;COUNT(Dong14),0,IF(OFFSET(TH!N$1,SMALL(Dong14,ROWS($1:5)),)="131",OFFSET(TH!K$1,SMALL(Dong14,ROWS($1:5)),),0))</f>
        <v>0</v>
      </c>
      <c r="I21" s="1026">
        <f ca="1">IF(ROWS($1:5)&gt;COUNT(Dong14),0,IF(OFFSET(TH!N$1,SMALL(Dong14,ROWS($1:5)),)="131",OFFSET(TH!M$1,SMALL(Dong14,ROWS($1:5)),),0))</f>
        <v>0</v>
      </c>
      <c r="J21" s="1027">
        <f ca="1">IF(ROWS($1:5)&gt;COUNT(Dong14),0,IF(OFFSET(TH!O$1,SMALL(Dong14,ROWS($1:5)),)="131",OFFSET(TH!K$1,SMALL(Dong14,ROWS($1:5)),),0))</f>
        <v>0</v>
      </c>
      <c r="K21" s="1026">
        <f ca="1">IF(ROWS($1:5)&gt;COUNT(Dong14),0,IF(OFFSET(TH!O$1,SMALL(Dong14,ROWS($1:5)),)="131",OFFSET(TH!M$1,SMALL(Dong14,ROWS($1:5)),),0))</f>
        <v>0</v>
      </c>
      <c r="L21" s="1028">
        <f t="shared" ca="1" si="1"/>
        <v>0</v>
      </c>
      <c r="M21" s="1029">
        <f t="shared" ca="1" si="2"/>
        <v>0</v>
      </c>
      <c r="N21" s="1028">
        <f t="shared" ca="1" si="3"/>
        <v>0</v>
      </c>
      <c r="O21" s="1029">
        <f t="shared" ca="1" si="4"/>
        <v>0</v>
      </c>
    </row>
    <row r="22" spans="1:15" s="5" customFormat="1" ht="16.5" customHeight="1">
      <c r="A22" s="254" t="str">
        <f t="shared" ca="1" si="0"/>
        <v/>
      </c>
      <c r="B22" s="265" t="str">
        <f ca="1">IF(ROWS($1:6)&gt;COUNT(Dong14),"",OFFSET(TH!D$1,SMALL(Dong14,ROWS($1:6)),))</f>
        <v/>
      </c>
      <c r="C22" s="254" t="str">
        <f ca="1">IF(ROWS($1:6)&gt;COUNT(Dong14),"",OFFSET(TH!E$1,SMALL(Dong14,ROWS($1:6)),))</f>
        <v/>
      </c>
      <c r="D22" s="1025" t="str">
        <f ca="1">IF(ROWS($1:6)&gt;COUNT(Dong14),"",OFFSET(TH!F$1,SMALL(Dong14,ROWS($1:6)),))</f>
        <v/>
      </c>
      <c r="E22" s="1026" t="str">
        <f ca="1">IF(ROWS($1:6)&gt;COUNT(Dong14),"",IF(OFFSET(TH!N$1,SMALL(Dong14,ROWS($1:6)),)="131",OFFSET(TH!O$1,SMALL(Dong14,ROWS($1:6)),),OFFSET(TH!N$1,SMALL(Dong14,ROWS($1:6)),)))</f>
        <v/>
      </c>
      <c r="F22" s="1026">
        <f ca="1">IF(ROWS($1:6)&gt;COUNT(Dong14),0,OFFSET(TH!L$1,SMALL(Dong14,ROWS($1:6)),))</f>
        <v>0</v>
      </c>
      <c r="G22" s="1026"/>
      <c r="H22" s="1027">
        <f ca="1">IF(ROWS($1:6)&gt;COUNT(Dong14),0,IF(OFFSET(TH!N$1,SMALL(Dong14,ROWS($1:6)),)="131",OFFSET(TH!K$1,SMALL(Dong14,ROWS($1:6)),),0))</f>
        <v>0</v>
      </c>
      <c r="I22" s="1026">
        <f ca="1">IF(ROWS($1:6)&gt;COUNT(Dong14),0,IF(OFFSET(TH!N$1,SMALL(Dong14,ROWS($1:6)),)="131",OFFSET(TH!M$1,SMALL(Dong14,ROWS($1:6)),),0))</f>
        <v>0</v>
      </c>
      <c r="J22" s="1027">
        <f ca="1">IF(ROWS($1:6)&gt;COUNT(Dong14),0,IF(OFFSET(TH!O$1,SMALL(Dong14,ROWS($1:6)),)="131",OFFSET(TH!K$1,SMALL(Dong14,ROWS($1:6)),),0))</f>
        <v>0</v>
      </c>
      <c r="K22" s="1026">
        <f ca="1">IF(ROWS($1:6)&gt;COUNT(Dong14),0,IF(OFFSET(TH!O$1,SMALL(Dong14,ROWS($1:6)),)="131",OFFSET(TH!M$1,SMALL(Dong14,ROWS($1:6)),),0))</f>
        <v>0</v>
      </c>
      <c r="L22" s="1028">
        <f t="shared" ca="1" si="1"/>
        <v>0</v>
      </c>
      <c r="M22" s="1029">
        <f t="shared" ca="1" si="2"/>
        <v>0</v>
      </c>
      <c r="N22" s="1028">
        <f t="shared" ca="1" si="3"/>
        <v>0</v>
      </c>
      <c r="O22" s="1029">
        <f t="shared" ca="1" si="4"/>
        <v>0</v>
      </c>
    </row>
    <row r="23" spans="1:15" s="5" customFormat="1" ht="16.5" customHeight="1">
      <c r="A23" s="254" t="str">
        <f t="shared" ca="1" si="0"/>
        <v/>
      </c>
      <c r="B23" s="265" t="str">
        <f ca="1">IF(ROWS($1:7)&gt;COUNT(Dong14),"",OFFSET(TH!D$1,SMALL(Dong14,ROWS($1:7)),))</f>
        <v/>
      </c>
      <c r="C23" s="254" t="str">
        <f ca="1">IF(ROWS($1:7)&gt;COUNT(Dong14),"",OFFSET(TH!E$1,SMALL(Dong14,ROWS($1:7)),))</f>
        <v/>
      </c>
      <c r="D23" s="1025" t="str">
        <f ca="1">IF(ROWS($1:7)&gt;COUNT(Dong14),"",OFFSET(TH!F$1,SMALL(Dong14,ROWS($1:7)),))</f>
        <v/>
      </c>
      <c r="E23" s="1026" t="str">
        <f ca="1">IF(ROWS($1:7)&gt;COUNT(Dong14),"",IF(OFFSET(TH!N$1,SMALL(Dong14,ROWS($1:7)),)="131",OFFSET(TH!O$1,SMALL(Dong14,ROWS($1:7)),),OFFSET(TH!N$1,SMALL(Dong14,ROWS($1:7)),)))</f>
        <v/>
      </c>
      <c r="F23" s="1026">
        <f ca="1">IF(ROWS($1:7)&gt;COUNT(Dong14),0,OFFSET(TH!L$1,SMALL(Dong14,ROWS($1:7)),))</f>
        <v>0</v>
      </c>
      <c r="G23" s="1026"/>
      <c r="H23" s="1027">
        <f ca="1">IF(ROWS($1:7)&gt;COUNT(Dong14),0,IF(OFFSET(TH!N$1,SMALL(Dong14,ROWS($1:7)),)="131",OFFSET(TH!K$1,SMALL(Dong14,ROWS($1:7)),),0))</f>
        <v>0</v>
      </c>
      <c r="I23" s="1026">
        <f ca="1">IF(ROWS($1:7)&gt;COUNT(Dong14),0,IF(OFFSET(TH!N$1,SMALL(Dong14,ROWS($1:7)),)="131",OFFSET(TH!M$1,SMALL(Dong14,ROWS($1:7)),),0))</f>
        <v>0</v>
      </c>
      <c r="J23" s="1027">
        <f ca="1">IF(ROWS($1:7)&gt;COUNT(Dong14),0,IF(OFFSET(TH!O$1,SMALL(Dong14,ROWS($1:7)),)="131",OFFSET(TH!K$1,SMALL(Dong14,ROWS($1:7)),),0))</f>
        <v>0</v>
      </c>
      <c r="K23" s="1026">
        <f ca="1">IF(ROWS($1:7)&gt;COUNT(Dong14),0,IF(OFFSET(TH!O$1,SMALL(Dong14,ROWS($1:7)),)="131",OFFSET(TH!M$1,SMALL(Dong14,ROWS($1:7)),),0))</f>
        <v>0</v>
      </c>
      <c r="L23" s="1028">
        <f t="shared" ca="1" si="1"/>
        <v>0</v>
      </c>
      <c r="M23" s="1029">
        <f t="shared" ca="1" si="2"/>
        <v>0</v>
      </c>
      <c r="N23" s="1028">
        <f t="shared" ca="1" si="3"/>
        <v>0</v>
      </c>
      <c r="O23" s="1029">
        <f t="shared" ca="1" si="4"/>
        <v>0</v>
      </c>
    </row>
    <row r="24" spans="1:15" s="5" customFormat="1" ht="16.5" customHeight="1">
      <c r="A24" s="254" t="str">
        <f t="shared" ca="1" si="0"/>
        <v/>
      </c>
      <c r="B24" s="265" t="str">
        <f ca="1">IF(ROWS($1:8)&gt;COUNT(Dong14),"",OFFSET(TH!D$1,SMALL(Dong14,ROWS($1:8)),))</f>
        <v/>
      </c>
      <c r="C24" s="254" t="str">
        <f ca="1">IF(ROWS($1:8)&gt;COUNT(Dong14),"",OFFSET(TH!E$1,SMALL(Dong14,ROWS($1:8)),))</f>
        <v/>
      </c>
      <c r="D24" s="1025" t="str">
        <f ca="1">IF(ROWS($1:8)&gt;COUNT(Dong14),"",OFFSET(TH!F$1,SMALL(Dong14,ROWS($1:8)),))</f>
        <v/>
      </c>
      <c r="E24" s="1026" t="str">
        <f ca="1">IF(ROWS($1:8)&gt;COUNT(Dong14),"",IF(OFFSET(TH!N$1,SMALL(Dong14,ROWS($1:8)),)="131",OFFSET(TH!O$1,SMALL(Dong14,ROWS($1:8)),),OFFSET(TH!N$1,SMALL(Dong14,ROWS($1:8)),)))</f>
        <v/>
      </c>
      <c r="F24" s="1026">
        <f ca="1">IF(ROWS($1:8)&gt;COUNT(Dong14),0,OFFSET(TH!L$1,SMALL(Dong14,ROWS($1:8)),))</f>
        <v>0</v>
      </c>
      <c r="G24" s="1026"/>
      <c r="H24" s="1027">
        <f ca="1">IF(ROWS($1:8)&gt;COUNT(Dong14),0,IF(OFFSET(TH!N$1,SMALL(Dong14,ROWS($1:8)),)="131",OFFSET(TH!K$1,SMALL(Dong14,ROWS($1:8)),),0))</f>
        <v>0</v>
      </c>
      <c r="I24" s="1026">
        <f ca="1">IF(ROWS($1:8)&gt;COUNT(Dong14),0,IF(OFFSET(TH!N$1,SMALL(Dong14,ROWS($1:8)),)="131",OFFSET(TH!M$1,SMALL(Dong14,ROWS($1:8)),),0))</f>
        <v>0</v>
      </c>
      <c r="J24" s="1027">
        <f ca="1">IF(ROWS($1:8)&gt;COUNT(Dong14),0,IF(OFFSET(TH!O$1,SMALL(Dong14,ROWS($1:8)),)="131",OFFSET(TH!K$1,SMALL(Dong14,ROWS($1:8)),),0))</f>
        <v>0</v>
      </c>
      <c r="K24" s="1026">
        <f ca="1">IF(ROWS($1:8)&gt;COUNT(Dong14),0,IF(OFFSET(TH!O$1,SMALL(Dong14,ROWS($1:8)),)="131",OFFSET(TH!M$1,SMALL(Dong14,ROWS($1:8)),),0))</f>
        <v>0</v>
      </c>
      <c r="L24" s="1028">
        <f t="shared" ca="1" si="1"/>
        <v>0</v>
      </c>
      <c r="M24" s="1029">
        <f t="shared" ca="1" si="2"/>
        <v>0</v>
      </c>
      <c r="N24" s="1028">
        <f t="shared" ca="1" si="3"/>
        <v>0</v>
      </c>
      <c r="O24" s="1029">
        <f t="shared" ca="1" si="4"/>
        <v>0</v>
      </c>
    </row>
    <row r="25" spans="1:15" s="5" customFormat="1" ht="16.5" customHeight="1">
      <c r="A25" s="254" t="str">
        <f t="shared" ca="1" si="0"/>
        <v/>
      </c>
      <c r="B25" s="265" t="str">
        <f ca="1">IF(ROWS($1:9)&gt;COUNT(Dong14),"",OFFSET(TH!D$1,SMALL(Dong14,ROWS($1:9)),))</f>
        <v/>
      </c>
      <c r="C25" s="254" t="str">
        <f ca="1">IF(ROWS($1:9)&gt;COUNT(Dong14),"",OFFSET(TH!E$1,SMALL(Dong14,ROWS($1:9)),))</f>
        <v/>
      </c>
      <c r="D25" s="1025" t="str">
        <f ca="1">IF(ROWS($1:9)&gt;COUNT(Dong14),"",OFFSET(TH!F$1,SMALL(Dong14,ROWS($1:9)),))</f>
        <v/>
      </c>
      <c r="E25" s="1026" t="str">
        <f ca="1">IF(ROWS($1:9)&gt;COUNT(Dong14),"",IF(OFFSET(TH!N$1,SMALL(Dong14,ROWS($1:9)),)="131",OFFSET(TH!O$1,SMALL(Dong14,ROWS($1:9)),),OFFSET(TH!N$1,SMALL(Dong14,ROWS($1:9)),)))</f>
        <v/>
      </c>
      <c r="F25" s="1026">
        <f ca="1">IF(ROWS($1:9)&gt;COUNT(Dong14),0,OFFSET(TH!L$1,SMALL(Dong14,ROWS($1:9)),))</f>
        <v>0</v>
      </c>
      <c r="G25" s="1026"/>
      <c r="H25" s="1027">
        <f ca="1">IF(ROWS($1:9)&gt;COUNT(Dong14),0,IF(OFFSET(TH!N$1,SMALL(Dong14,ROWS($1:9)),)="131",OFFSET(TH!K$1,SMALL(Dong14,ROWS($1:9)),),0))</f>
        <v>0</v>
      </c>
      <c r="I25" s="1026">
        <f ca="1">IF(ROWS($1:9)&gt;COUNT(Dong14),0,IF(OFFSET(TH!N$1,SMALL(Dong14,ROWS($1:9)),)="131",OFFSET(TH!M$1,SMALL(Dong14,ROWS($1:9)),),0))</f>
        <v>0</v>
      </c>
      <c r="J25" s="1027">
        <f ca="1">IF(ROWS($1:9)&gt;COUNT(Dong14),0,IF(OFFSET(TH!O$1,SMALL(Dong14,ROWS($1:9)),)="131",OFFSET(TH!K$1,SMALL(Dong14,ROWS($1:9)),),0))</f>
        <v>0</v>
      </c>
      <c r="K25" s="1026">
        <f ca="1">IF(ROWS($1:9)&gt;COUNT(Dong14),0,IF(OFFSET(TH!O$1,SMALL(Dong14,ROWS($1:9)),)="131",OFFSET(TH!M$1,SMALL(Dong14,ROWS($1:9)),),0))</f>
        <v>0</v>
      </c>
      <c r="L25" s="1028">
        <f t="shared" ca="1" si="1"/>
        <v>0</v>
      </c>
      <c r="M25" s="1029">
        <f t="shared" ca="1" si="2"/>
        <v>0</v>
      </c>
      <c r="N25" s="1028">
        <f t="shared" ca="1" si="3"/>
        <v>0</v>
      </c>
      <c r="O25" s="1029">
        <f t="shared" ca="1" si="4"/>
        <v>0</v>
      </c>
    </row>
    <row r="26" spans="1:15" s="5" customFormat="1" ht="16.5" customHeight="1">
      <c r="A26" s="254" t="str">
        <f t="shared" ca="1" si="0"/>
        <v/>
      </c>
      <c r="B26" s="265" t="str">
        <f ca="1">IF(ROWS($1:10)&gt;COUNT(Dong14),"",OFFSET(TH!D$1,SMALL(Dong14,ROWS($1:10)),))</f>
        <v/>
      </c>
      <c r="C26" s="254" t="str">
        <f ca="1">IF(ROWS($1:10)&gt;COUNT(Dong14),"",OFFSET(TH!E$1,SMALL(Dong14,ROWS($1:10)),))</f>
        <v/>
      </c>
      <c r="D26" s="1025" t="str">
        <f ca="1">IF(ROWS($1:10)&gt;COUNT(Dong14),"",OFFSET(TH!F$1,SMALL(Dong14,ROWS($1:10)),))</f>
        <v/>
      </c>
      <c r="E26" s="1026" t="str">
        <f ca="1">IF(ROWS($1:10)&gt;COUNT(Dong14),"",IF(OFFSET(TH!N$1,SMALL(Dong14,ROWS($1:10)),)="131",OFFSET(TH!O$1,SMALL(Dong14,ROWS($1:10)),),OFFSET(TH!N$1,SMALL(Dong14,ROWS($1:10)),)))</f>
        <v/>
      </c>
      <c r="F26" s="1026">
        <f ca="1">IF(ROWS($1:10)&gt;COUNT(Dong14),0,OFFSET(TH!L$1,SMALL(Dong14,ROWS($1:10)),))</f>
        <v>0</v>
      </c>
      <c r="G26" s="1026"/>
      <c r="H26" s="1027">
        <f ca="1">IF(ROWS($1:10)&gt;COUNT(Dong14),0,IF(OFFSET(TH!N$1,SMALL(Dong14,ROWS($1:10)),)="131",OFFSET(TH!K$1,SMALL(Dong14,ROWS($1:10)),),0))</f>
        <v>0</v>
      </c>
      <c r="I26" s="1026">
        <f ca="1">IF(ROWS($1:10)&gt;COUNT(Dong14),0,IF(OFFSET(TH!N$1,SMALL(Dong14,ROWS($1:10)),)="131",OFFSET(TH!M$1,SMALL(Dong14,ROWS($1:10)),),0))</f>
        <v>0</v>
      </c>
      <c r="J26" s="1027">
        <f ca="1">IF(ROWS($1:10)&gt;COUNT(Dong14),0,IF(OFFSET(TH!O$1,SMALL(Dong14,ROWS($1:10)),)="131",OFFSET(TH!K$1,SMALL(Dong14,ROWS($1:10)),),0))</f>
        <v>0</v>
      </c>
      <c r="K26" s="1026">
        <f ca="1">IF(ROWS($1:10)&gt;COUNT(Dong14),0,IF(OFFSET(TH!O$1,SMALL(Dong14,ROWS($1:10)),)="131",OFFSET(TH!M$1,SMALL(Dong14,ROWS($1:10)),),0))</f>
        <v>0</v>
      </c>
      <c r="L26" s="1028">
        <f t="shared" ca="1" si="1"/>
        <v>0</v>
      </c>
      <c r="M26" s="1029">
        <f t="shared" ca="1" si="2"/>
        <v>0</v>
      </c>
      <c r="N26" s="1028">
        <f t="shared" ca="1" si="3"/>
        <v>0</v>
      </c>
      <c r="O26" s="1029">
        <f t="shared" ca="1" si="4"/>
        <v>0</v>
      </c>
    </row>
    <row r="27" spans="1:15" s="5" customFormat="1" ht="16.5" customHeight="1">
      <c r="A27" s="254" t="str">
        <f t="shared" ca="1" si="0"/>
        <v/>
      </c>
      <c r="B27" s="265" t="str">
        <f ca="1">IF(ROWS($1:11)&gt;COUNT(Dong14),"",OFFSET(TH!D$1,SMALL(Dong14,ROWS($1:11)),))</f>
        <v/>
      </c>
      <c r="C27" s="254" t="str">
        <f ca="1">IF(ROWS($1:11)&gt;COUNT(Dong14),"",OFFSET(TH!E$1,SMALL(Dong14,ROWS($1:11)),))</f>
        <v/>
      </c>
      <c r="D27" s="1025" t="str">
        <f ca="1">IF(ROWS($1:11)&gt;COUNT(Dong14),"",OFFSET(TH!F$1,SMALL(Dong14,ROWS($1:11)),))</f>
        <v/>
      </c>
      <c r="E27" s="1026" t="str">
        <f ca="1">IF(ROWS($1:11)&gt;COUNT(Dong14),"",IF(OFFSET(TH!N$1,SMALL(Dong14,ROWS($1:11)),)="131",OFFSET(TH!O$1,SMALL(Dong14,ROWS($1:11)),),OFFSET(TH!N$1,SMALL(Dong14,ROWS($1:11)),)))</f>
        <v/>
      </c>
      <c r="F27" s="1026">
        <f ca="1">IF(ROWS($1:11)&gt;COUNT(Dong14),0,OFFSET(TH!L$1,SMALL(Dong14,ROWS($1:11)),))</f>
        <v>0</v>
      </c>
      <c r="G27" s="1026"/>
      <c r="H27" s="1027">
        <f ca="1">IF(ROWS($1:11)&gt;COUNT(Dong14),0,IF(OFFSET(TH!N$1,SMALL(Dong14,ROWS($1:11)),)="131",OFFSET(TH!K$1,SMALL(Dong14,ROWS($1:11)),),0))</f>
        <v>0</v>
      </c>
      <c r="I27" s="1026">
        <f ca="1">IF(ROWS($1:11)&gt;COUNT(Dong14),0,IF(OFFSET(TH!N$1,SMALL(Dong14,ROWS($1:11)),)="131",OFFSET(TH!M$1,SMALL(Dong14,ROWS($1:11)),),0))</f>
        <v>0</v>
      </c>
      <c r="J27" s="1027">
        <f ca="1">IF(ROWS($1:11)&gt;COUNT(Dong14),0,IF(OFFSET(TH!O$1,SMALL(Dong14,ROWS($1:11)),)="131",OFFSET(TH!K$1,SMALL(Dong14,ROWS($1:11)),),0))</f>
        <v>0</v>
      </c>
      <c r="K27" s="1026">
        <f ca="1">IF(ROWS($1:11)&gt;COUNT(Dong14),0,IF(OFFSET(TH!O$1,SMALL(Dong14,ROWS($1:11)),)="131",OFFSET(TH!M$1,SMALL(Dong14,ROWS($1:11)),),0))</f>
        <v>0</v>
      </c>
      <c r="L27" s="1028">
        <f t="shared" ca="1" si="1"/>
        <v>0</v>
      </c>
      <c r="M27" s="1029">
        <f t="shared" ca="1" si="2"/>
        <v>0</v>
      </c>
      <c r="N27" s="1028">
        <f t="shared" ca="1" si="3"/>
        <v>0</v>
      </c>
      <c r="O27" s="1029">
        <f t="shared" ca="1" si="4"/>
        <v>0</v>
      </c>
    </row>
    <row r="28" spans="1:15" s="5" customFormat="1" ht="16.5" customHeight="1">
      <c r="A28" s="254" t="str">
        <f t="shared" ca="1" si="0"/>
        <v/>
      </c>
      <c r="B28" s="265" t="str">
        <f ca="1">IF(ROWS($1:12)&gt;COUNT(Dong14),"",OFFSET(TH!D$1,SMALL(Dong14,ROWS($1:12)),))</f>
        <v/>
      </c>
      <c r="C28" s="254" t="str">
        <f ca="1">IF(ROWS($1:12)&gt;COUNT(Dong14),"",OFFSET(TH!E$1,SMALL(Dong14,ROWS($1:12)),))</f>
        <v/>
      </c>
      <c r="D28" s="1025" t="str">
        <f ca="1">IF(ROWS($1:12)&gt;COUNT(Dong14),"",OFFSET(TH!F$1,SMALL(Dong14,ROWS($1:12)),))</f>
        <v/>
      </c>
      <c r="E28" s="1026" t="str">
        <f ca="1">IF(ROWS($1:12)&gt;COUNT(Dong14),"",IF(OFFSET(TH!N$1,SMALL(Dong14,ROWS($1:12)),)="131",OFFSET(TH!O$1,SMALL(Dong14,ROWS($1:12)),),OFFSET(TH!N$1,SMALL(Dong14,ROWS($1:12)),)))</f>
        <v/>
      </c>
      <c r="F28" s="1026">
        <f ca="1">IF(ROWS($1:12)&gt;COUNT(Dong14),0,OFFSET(TH!L$1,SMALL(Dong14,ROWS($1:12)),))</f>
        <v>0</v>
      </c>
      <c r="G28" s="1026"/>
      <c r="H28" s="1027">
        <f ca="1">IF(ROWS($1:12)&gt;COUNT(Dong14),0,IF(OFFSET(TH!N$1,SMALL(Dong14,ROWS($1:12)),)="131",OFFSET(TH!K$1,SMALL(Dong14,ROWS($1:12)),),0))</f>
        <v>0</v>
      </c>
      <c r="I28" s="1026">
        <f ca="1">IF(ROWS($1:12)&gt;COUNT(Dong14),0,IF(OFFSET(TH!N$1,SMALL(Dong14,ROWS($1:12)),)="131",OFFSET(TH!M$1,SMALL(Dong14,ROWS($1:12)),),0))</f>
        <v>0</v>
      </c>
      <c r="J28" s="1027">
        <f ca="1">IF(ROWS($1:12)&gt;COUNT(Dong14),0,IF(OFFSET(TH!O$1,SMALL(Dong14,ROWS($1:12)),)="131",OFFSET(TH!K$1,SMALL(Dong14,ROWS($1:12)),),0))</f>
        <v>0</v>
      </c>
      <c r="K28" s="1026">
        <f ca="1">IF(ROWS($1:12)&gt;COUNT(Dong14),0,IF(OFFSET(TH!O$1,SMALL(Dong14,ROWS($1:12)),)="131",OFFSET(TH!M$1,SMALL(Dong14,ROWS($1:12)),),0))</f>
        <v>0</v>
      </c>
      <c r="L28" s="1028">
        <f t="shared" ca="1" si="1"/>
        <v>0</v>
      </c>
      <c r="M28" s="1029">
        <f t="shared" ca="1" si="2"/>
        <v>0</v>
      </c>
      <c r="N28" s="1028">
        <f t="shared" ca="1" si="3"/>
        <v>0</v>
      </c>
      <c r="O28" s="1029">
        <f t="shared" ca="1" si="4"/>
        <v>0</v>
      </c>
    </row>
    <row r="29" spans="1:15" s="5" customFormat="1" ht="16.5" customHeight="1">
      <c r="A29" s="254" t="str">
        <f t="shared" ca="1" si="0"/>
        <v/>
      </c>
      <c r="B29" s="265" t="str">
        <f ca="1">IF(ROWS($1:13)&gt;COUNT(Dong14),"",OFFSET(TH!D$1,SMALL(Dong14,ROWS($1:13)),))</f>
        <v/>
      </c>
      <c r="C29" s="254" t="str">
        <f ca="1">IF(ROWS($1:13)&gt;COUNT(Dong14),"",OFFSET(TH!E$1,SMALL(Dong14,ROWS($1:13)),))</f>
        <v/>
      </c>
      <c r="D29" s="1025" t="str">
        <f ca="1">IF(ROWS($1:13)&gt;COUNT(Dong14),"",OFFSET(TH!F$1,SMALL(Dong14,ROWS($1:13)),))</f>
        <v/>
      </c>
      <c r="E29" s="1026" t="str">
        <f ca="1">IF(ROWS($1:13)&gt;COUNT(Dong14),"",IF(OFFSET(TH!N$1,SMALL(Dong14,ROWS($1:13)),)="131",OFFSET(TH!O$1,SMALL(Dong14,ROWS($1:13)),),OFFSET(TH!N$1,SMALL(Dong14,ROWS($1:13)),)))</f>
        <v/>
      </c>
      <c r="F29" s="1026">
        <f ca="1">IF(ROWS($1:13)&gt;COUNT(Dong14),0,OFFSET(TH!L$1,SMALL(Dong14,ROWS($1:13)),))</f>
        <v>0</v>
      </c>
      <c r="G29" s="1026"/>
      <c r="H29" s="1027">
        <f ca="1">IF(ROWS($1:13)&gt;COUNT(Dong14),0,IF(OFFSET(TH!N$1,SMALL(Dong14,ROWS($1:13)),)="131",OFFSET(TH!K$1,SMALL(Dong14,ROWS($1:13)),),0))</f>
        <v>0</v>
      </c>
      <c r="I29" s="1026">
        <f ca="1">IF(ROWS($1:13)&gt;COUNT(Dong14),0,IF(OFFSET(TH!N$1,SMALL(Dong14,ROWS($1:13)),)="131",OFFSET(TH!M$1,SMALL(Dong14,ROWS($1:13)),),0))</f>
        <v>0</v>
      </c>
      <c r="J29" s="1027">
        <f ca="1">IF(ROWS($1:13)&gt;COUNT(Dong14),0,IF(OFFSET(TH!O$1,SMALL(Dong14,ROWS($1:13)),)="131",OFFSET(TH!K$1,SMALL(Dong14,ROWS($1:13)),),0))</f>
        <v>0</v>
      </c>
      <c r="K29" s="1026">
        <f ca="1">IF(ROWS($1:13)&gt;COUNT(Dong14),0,IF(OFFSET(TH!O$1,SMALL(Dong14,ROWS($1:13)),)="131",OFFSET(TH!M$1,SMALL(Dong14,ROWS($1:13)),),0))</f>
        <v>0</v>
      </c>
      <c r="L29" s="1028">
        <f t="shared" ca="1" si="1"/>
        <v>0</v>
      </c>
      <c r="M29" s="1029">
        <f t="shared" ca="1" si="2"/>
        <v>0</v>
      </c>
      <c r="N29" s="1028">
        <f t="shared" ca="1" si="3"/>
        <v>0</v>
      </c>
      <c r="O29" s="1029">
        <f t="shared" ca="1" si="4"/>
        <v>0</v>
      </c>
    </row>
    <row r="30" spans="1:15" s="5" customFormat="1" ht="16.5" customHeight="1">
      <c r="A30" s="254" t="str">
        <f t="shared" ca="1" si="0"/>
        <v/>
      </c>
      <c r="B30" s="265" t="str">
        <f ca="1">IF(ROWS($1:14)&gt;COUNT(Dong14),"",OFFSET(TH!D$1,SMALL(Dong14,ROWS($1:14)),))</f>
        <v/>
      </c>
      <c r="C30" s="254" t="str">
        <f ca="1">IF(ROWS($1:14)&gt;COUNT(Dong14),"",OFFSET(TH!E$1,SMALL(Dong14,ROWS($1:14)),))</f>
        <v/>
      </c>
      <c r="D30" s="1025" t="str">
        <f ca="1">IF(ROWS($1:14)&gt;COUNT(Dong14),"",OFFSET(TH!F$1,SMALL(Dong14,ROWS($1:14)),))</f>
        <v/>
      </c>
      <c r="E30" s="1026" t="str">
        <f ca="1">IF(ROWS($1:14)&gt;COUNT(Dong14),"",IF(OFFSET(TH!N$1,SMALL(Dong14,ROWS($1:14)),)="131",OFFSET(TH!O$1,SMALL(Dong14,ROWS($1:14)),),OFFSET(TH!N$1,SMALL(Dong14,ROWS($1:14)),)))</f>
        <v/>
      </c>
      <c r="F30" s="1026">
        <f ca="1">IF(ROWS($1:14)&gt;COUNT(Dong14),0,OFFSET(TH!L$1,SMALL(Dong14,ROWS($1:14)),))</f>
        <v>0</v>
      </c>
      <c r="G30" s="1026"/>
      <c r="H30" s="1027">
        <f ca="1">IF(ROWS($1:14)&gt;COUNT(Dong14),0,IF(OFFSET(TH!N$1,SMALL(Dong14,ROWS($1:14)),)="131",OFFSET(TH!K$1,SMALL(Dong14,ROWS($1:14)),),0))</f>
        <v>0</v>
      </c>
      <c r="I30" s="1026">
        <f ca="1">IF(ROWS($1:14)&gt;COUNT(Dong14),0,IF(OFFSET(TH!N$1,SMALL(Dong14,ROWS($1:14)),)="131",OFFSET(TH!M$1,SMALL(Dong14,ROWS($1:14)),),0))</f>
        <v>0</v>
      </c>
      <c r="J30" s="1027">
        <f ca="1">IF(ROWS($1:14)&gt;COUNT(Dong14),0,IF(OFFSET(TH!O$1,SMALL(Dong14,ROWS($1:14)),)="131",OFFSET(TH!K$1,SMALL(Dong14,ROWS($1:14)),),0))</f>
        <v>0</v>
      </c>
      <c r="K30" s="1026">
        <f ca="1">IF(ROWS($1:14)&gt;COUNT(Dong14),0,IF(OFFSET(TH!O$1,SMALL(Dong14,ROWS($1:14)),)="131",OFFSET(TH!M$1,SMALL(Dong14,ROWS($1:14)),),0))</f>
        <v>0</v>
      </c>
      <c r="L30" s="1028">
        <f t="shared" ca="1" si="1"/>
        <v>0</v>
      </c>
      <c r="M30" s="1029">
        <f t="shared" ca="1" si="2"/>
        <v>0</v>
      </c>
      <c r="N30" s="1028">
        <f t="shared" ca="1" si="3"/>
        <v>0</v>
      </c>
      <c r="O30" s="1029">
        <f t="shared" ca="1" si="4"/>
        <v>0</v>
      </c>
    </row>
    <row r="31" spans="1:15" s="5" customFormat="1" ht="16.5" customHeight="1">
      <c r="A31" s="254" t="str">
        <f t="shared" si="0"/>
        <v/>
      </c>
      <c r="B31" s="1030"/>
      <c r="C31" s="1030"/>
      <c r="D31" s="1031"/>
      <c r="E31" s="1030"/>
      <c r="F31" s="1032"/>
      <c r="G31" s="1033"/>
      <c r="H31" s="1034"/>
      <c r="I31" s="1029"/>
      <c r="J31" s="1034"/>
      <c r="K31" s="1033"/>
      <c r="L31" s="1028"/>
      <c r="M31" s="1029"/>
      <c r="N31" s="1028"/>
      <c r="O31" s="1029"/>
    </row>
    <row r="32" spans="1:15" s="5" customFormat="1" ht="16.5" customHeight="1">
      <c r="A32" s="1019"/>
      <c r="B32" s="1019"/>
      <c r="C32" s="1019"/>
      <c r="D32" s="1020" t="s">
        <v>43</v>
      </c>
      <c r="E32" s="1017" t="s">
        <v>26</v>
      </c>
      <c r="F32" s="1017"/>
      <c r="G32" s="1035" t="s">
        <v>26</v>
      </c>
      <c r="H32" s="1036">
        <f ca="1">SUM(H17:H31)</f>
        <v>0</v>
      </c>
      <c r="I32" s="1035">
        <f ca="1">SUM(I17:I31)</f>
        <v>0</v>
      </c>
      <c r="J32" s="1037">
        <f ca="1">SUM(J17:J31)</f>
        <v>0</v>
      </c>
      <c r="K32" s="1035">
        <f ca="1">ROUND(SUM(K17:K31),0)</f>
        <v>0</v>
      </c>
      <c r="L32" s="1036" t="s">
        <v>26</v>
      </c>
      <c r="M32" s="1035" t="s">
        <v>26</v>
      </c>
      <c r="N32" s="1035" t="s">
        <v>26</v>
      </c>
      <c r="O32" s="1035" t="s">
        <v>26</v>
      </c>
    </row>
    <row r="33" spans="1:15" s="5" customFormat="1" ht="16.5" customHeight="1">
      <c r="A33" s="1019"/>
      <c r="B33" s="1019"/>
      <c r="C33" s="1019"/>
      <c r="D33" s="1020" t="s">
        <v>13</v>
      </c>
      <c r="E33" s="1017" t="s">
        <v>26</v>
      </c>
      <c r="F33" s="1017"/>
      <c r="G33" s="1035" t="s">
        <v>26</v>
      </c>
      <c r="H33" s="1036" t="s">
        <v>26</v>
      </c>
      <c r="I33" s="1035" t="s">
        <v>26</v>
      </c>
      <c r="J33" s="1037" t="s">
        <v>26</v>
      </c>
      <c r="K33" s="1035" t="s">
        <v>26</v>
      </c>
      <c r="L33" s="1036" t="e">
        <f ca="1">ROUND(MAX(L16+H32-N16-J32,0),2)</f>
        <v>#N/A</v>
      </c>
      <c r="M33" s="1035" t="e">
        <f ca="1">ROUND(MAX(M16+I32-O16-K32,0),0)</f>
        <v>#N/A</v>
      </c>
      <c r="N33" s="1035" t="e">
        <f ca="1">ROUND(MAX(N16+J32-L16-H32,0),2)</f>
        <v>#N/A</v>
      </c>
      <c r="O33" s="1035" t="e">
        <f ca="1">ROUND(MAX(O16+K32-M16-I32,0),-1)</f>
        <v>#N/A</v>
      </c>
    </row>
    <row r="34" spans="1:15" s="5" customFormat="1" ht="15">
      <c r="A34" s="262" t="s">
        <v>667</v>
      </c>
      <c r="B34" s="4"/>
      <c r="C34" s="4"/>
      <c r="E34" s="4"/>
      <c r="F34" s="972"/>
      <c r="G34" s="1038"/>
      <c r="H34" s="1039"/>
      <c r="I34" s="1038"/>
      <c r="J34" s="286"/>
      <c r="K34" s="1038"/>
    </row>
    <row r="35" spans="1:15" s="5" customFormat="1" ht="15">
      <c r="A35" s="262" t="s">
        <v>280</v>
      </c>
      <c r="B35" s="4"/>
      <c r="C35" s="4"/>
      <c r="E35" s="4"/>
      <c r="F35" s="972"/>
      <c r="G35" s="1038"/>
      <c r="H35" s="1039"/>
      <c r="I35" s="1038"/>
      <c r="J35" s="286"/>
      <c r="K35" s="1038"/>
    </row>
    <row r="36" spans="1:15" s="5" customFormat="1" ht="15">
      <c r="A36" s="4"/>
      <c r="B36" s="4"/>
      <c r="C36" s="4"/>
      <c r="E36" s="4"/>
      <c r="F36" s="972"/>
      <c r="G36" s="1038"/>
      <c r="H36" s="1040"/>
      <c r="I36" s="1038"/>
      <c r="J36" s="1102" t="s">
        <v>267</v>
      </c>
      <c r="K36" s="1102"/>
      <c r="L36" s="1102"/>
      <c r="M36" s="1102"/>
      <c r="N36" s="1102"/>
      <c r="O36" s="1102"/>
    </row>
    <row r="37" spans="1:15" s="5" customFormat="1" ht="15">
      <c r="A37" s="4"/>
      <c r="B37" s="4" t="s">
        <v>14</v>
      </c>
      <c r="C37" s="4"/>
      <c r="E37" s="4"/>
      <c r="F37" s="972"/>
      <c r="G37" s="1038"/>
      <c r="H37" s="1040"/>
      <c r="I37" s="1038"/>
      <c r="J37" s="286"/>
      <c r="K37" s="1038"/>
      <c r="L37" s="1102" t="s">
        <v>15</v>
      </c>
      <c r="M37" s="1102"/>
    </row>
    <row r="38" spans="1:15" s="5" customFormat="1" ht="15">
      <c r="A38" s="4"/>
      <c r="B38" s="4" t="s">
        <v>16</v>
      </c>
      <c r="C38" s="4"/>
      <c r="E38" s="4"/>
      <c r="F38" s="972"/>
      <c r="G38" s="1038"/>
      <c r="H38" s="1040"/>
      <c r="I38" s="1038"/>
      <c r="J38" s="286"/>
      <c r="K38" s="1038"/>
      <c r="L38" s="1102" t="s">
        <v>16</v>
      </c>
      <c r="M38" s="1102"/>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0"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9" customFormat="1" ht="15.75" customHeight="1">
      <c r="A1" s="189" t="s">
        <v>213</v>
      </c>
      <c r="D1" s="1145" t="s">
        <v>254</v>
      </c>
      <c r="E1" s="1145"/>
      <c r="G1" s="2"/>
      <c r="I1" s="2"/>
    </row>
    <row r="2" spans="1:10" s="239" customFormat="1" ht="15.75" customHeight="1">
      <c r="A2" s="139" t="s">
        <v>214</v>
      </c>
      <c r="D2" s="1146" t="s">
        <v>255</v>
      </c>
      <c r="E2" s="1146"/>
      <c r="G2" s="17"/>
      <c r="I2" s="17"/>
    </row>
    <row r="3" spans="1:10" s="239" customFormat="1">
      <c r="D3" s="1146" t="s">
        <v>256</v>
      </c>
      <c r="E3" s="1146"/>
      <c r="F3" s="17"/>
      <c r="G3" s="17"/>
      <c r="I3" s="17"/>
    </row>
    <row r="4" spans="1:10" ht="8.25" customHeight="1"/>
    <row r="5" spans="1:10" ht="23.25" customHeight="1">
      <c r="A5" s="1128" t="s">
        <v>257</v>
      </c>
      <c r="B5" s="1128"/>
      <c r="C5" s="1128"/>
      <c r="D5" s="1128"/>
      <c r="E5" s="1128"/>
    </row>
    <row r="6" spans="1:10" ht="18" customHeight="1">
      <c r="A6" s="1147" t="str">
        <f>$G$9&amp;"  năm  2015 "</f>
        <v xml:space="preserve">Quý I  năm  2015 </v>
      </c>
      <c r="B6" s="1147"/>
      <c r="C6" s="1147"/>
      <c r="D6" s="1147"/>
      <c r="E6" s="1147"/>
    </row>
    <row r="7" spans="1:10" ht="10.5" customHeight="1"/>
    <row r="8" spans="1:10" s="241" customFormat="1" ht="20.25" customHeight="1" thickBot="1">
      <c r="A8" s="1148" t="s">
        <v>1</v>
      </c>
      <c r="B8" s="1148"/>
      <c r="C8" s="1149" t="s">
        <v>0</v>
      </c>
      <c r="D8" s="1149" t="s">
        <v>258</v>
      </c>
      <c r="E8" s="1149" t="s">
        <v>259</v>
      </c>
      <c r="G8" s="190"/>
      <c r="H8" s="162"/>
      <c r="I8" s="1109" t="s">
        <v>242</v>
      </c>
      <c r="J8" s="1109"/>
    </row>
    <row r="9" spans="1:10" s="488" customFormat="1" ht="33" customHeight="1" thickBot="1">
      <c r="A9" s="431" t="s">
        <v>20</v>
      </c>
      <c r="B9" s="431" t="s">
        <v>39</v>
      </c>
      <c r="C9" s="1149"/>
      <c r="D9" s="1149"/>
      <c r="E9" s="1149"/>
      <c r="G9" s="489" t="s">
        <v>360</v>
      </c>
      <c r="H9" s="490"/>
      <c r="I9" s="491">
        <f>IF(G9="Quý I",1,IF(G9="Quý II",4,IF(G9="Quý III",7,IF(G9="Quý IV",10,""))))</f>
        <v>1</v>
      </c>
      <c r="J9" s="492">
        <f>IF(G9="Quý I",3,IF(G9="Quý II",6,IF(G9="Quý III",9,IF(G9="Quý IV",12,""))))</f>
        <v>3</v>
      </c>
    </row>
    <row r="10" spans="1:10" s="245" customFormat="1" ht="11.25" customHeight="1">
      <c r="A10" s="242" t="s">
        <v>2</v>
      </c>
      <c r="B10" s="243" t="s">
        <v>3</v>
      </c>
      <c r="C10" s="243" t="s">
        <v>4</v>
      </c>
      <c r="D10" s="244" t="s">
        <v>260</v>
      </c>
      <c r="E10" s="244" t="s">
        <v>261</v>
      </c>
    </row>
    <row r="11" spans="1:10" s="245" customFormat="1" ht="18" customHeight="1">
      <c r="A11" s="246"/>
      <c r="B11" s="247"/>
      <c r="C11" s="248" t="s">
        <v>262</v>
      </c>
      <c r="D11" s="249">
        <f>IF($L$9="All",CDPS!$C$16,CDPS!$C$16+SUMIF(_N133,"x",TH)-SUMIF(_C133,"x",TH))</f>
        <v>0</v>
      </c>
      <c r="E11" s="249"/>
    </row>
    <row r="12" spans="1:10" s="245" customFormat="1" ht="18" customHeight="1">
      <c r="A12" s="250"/>
      <c r="B12" s="251"/>
      <c r="C12" s="252" t="s">
        <v>263</v>
      </c>
      <c r="D12" s="253"/>
      <c r="E12" s="253"/>
    </row>
    <row r="13" spans="1:10" ht="18" customHeight="1">
      <c r="A13" s="265" t="str">
        <f ca="1">IF(ROWS($1:1)&gt;COUNT(Dong3),"",OFFSET(TH!D$1,SMALL(Dong3,ROWS($1:1)),))</f>
        <v>CTGS</v>
      </c>
      <c r="B13" s="254">
        <f ca="1">IF(ROWS($1:1)&gt;COUNT(Dong3),"",OFFSET(TH!E$1,SMALL(Dong3,ROWS($1:1)),))</f>
        <v>42370</v>
      </c>
      <c r="C13" s="264" t="str">
        <f ca="1">IF(ROWS($1:1)&gt;COUNT(Dong3),"",OFFSET(TH!F$1,SMALL(Dong3,ROWS($1:1)),))</f>
        <v>VAT Gas</v>
      </c>
      <c r="D13" s="266">
        <f ca="1">IF(ROWS($1:1)&gt;COUNT(Dong3),"",OFFSET(TH!M$1,SMALL(Dong3,ROWS($1:1)),))</f>
        <v>1049088</v>
      </c>
      <c r="E13" s="255"/>
    </row>
    <row r="14" spans="1:10" ht="18" customHeight="1">
      <c r="A14" s="265" t="str">
        <f ca="1">IF(ROWS($1:2)&gt;COUNT(Dong3),"",OFFSET(TH!D$1,SMALL(Dong3,ROWS($1:2)),))</f>
        <v>GBN</v>
      </c>
      <c r="B14" s="254">
        <f ca="1">IF(ROWS($1:2)&gt;COUNT(Dong3),"",OFFSET(TH!E$1,SMALL(Dong3,ROWS($1:2)),))</f>
        <v>42374</v>
      </c>
      <c r="C14" s="264" t="str">
        <f ca="1">IF(ROWS($1:2)&gt;COUNT(Dong3),"",OFFSET(TH!F$1,SMALL(Dong3,ROWS($1:2)),))</f>
        <v xml:space="preserve">VAT Phí chuyển tiền </v>
      </c>
      <c r="D14" s="266">
        <f ca="1">IF(ROWS($1:2)&gt;COUNT(Dong3),"",OFFSET(TH!M$1,SMALL(Dong3,ROWS($1:2)),))</f>
        <v>15000</v>
      </c>
      <c r="E14" s="255"/>
    </row>
    <row r="15" spans="1:10" ht="18" customHeight="1">
      <c r="A15" s="265" t="str">
        <f ca="1">IF(ROWS($1:3)&gt;COUNT(Dong3),"",OFFSET(TH!D$1,SMALL(Dong3,ROWS($1:3)),))</f>
        <v>GBN</v>
      </c>
      <c r="B15" s="254">
        <f ca="1">IF(ROWS($1:3)&gt;COUNT(Dong3),"",OFFSET(TH!E$1,SMALL(Dong3,ROWS($1:3)),))</f>
        <v>42375</v>
      </c>
      <c r="C15" s="264" t="str">
        <f ca="1">IF(ROWS($1:3)&gt;COUNT(Dong3),"",OFFSET(TH!F$1,SMALL(Dong3,ROWS($1:3)),))</f>
        <v xml:space="preserve">VAT Phí chuyển tiền </v>
      </c>
      <c r="D15" s="266">
        <f ca="1">IF(ROWS($1:3)&gt;COUNT(Dong3),"",OFFSET(TH!M$1,SMALL(Dong3,ROWS($1:3)),))</f>
        <v>15748</v>
      </c>
      <c r="E15" s="255"/>
    </row>
    <row r="16" spans="1:10" ht="18" customHeight="1">
      <c r="A16" s="265" t="str">
        <f ca="1">IF(ROWS($1:4)&gt;COUNT(Dong3),"",OFFSET(TH!D$1,SMALL(Dong3,ROWS($1:4)),))</f>
        <v>C04</v>
      </c>
      <c r="B16" s="254">
        <f ca="1">IF(ROWS($1:4)&gt;COUNT(Dong3),"",OFFSET(TH!E$1,SMALL(Dong3,ROWS($1:4)),))</f>
        <v>42379</v>
      </c>
      <c r="C16" s="264" t="str">
        <f ca="1">IF(ROWS($1:4)&gt;COUNT(Dong3),"",OFFSET(TH!F$1,SMALL(Dong3,ROWS($1:4)),))</f>
        <v>VAT Phí dịch vụ bảo vệ T12/2015</v>
      </c>
      <c r="D16" s="266">
        <f ca="1">IF(ROWS($1:4)&gt;COUNT(Dong3),"",OFFSET(TH!M$1,SMALL(Dong3,ROWS($1:4)),))</f>
        <v>681818</v>
      </c>
      <c r="E16" s="255"/>
    </row>
    <row r="17" spans="1:5" ht="18" customHeight="1">
      <c r="A17" s="265" t="str">
        <f ca="1">IF(ROWS($1:5)&gt;COUNT(Dong3),"",OFFSET(TH!D$1,SMALL(Dong3,ROWS($1:5)),))</f>
        <v>C05</v>
      </c>
      <c r="B17" s="254">
        <f ca="1">IF(ROWS($1:5)&gt;COUNT(Dong3),"",OFFSET(TH!E$1,SMALL(Dong3,ROWS($1:5)),))</f>
        <v>42380</v>
      </c>
      <c r="C17" s="264" t="str">
        <f ca="1">IF(ROWS($1:5)&gt;COUNT(Dong3),"",OFFSET(TH!F$1,SMALL(Dong3,ROWS($1:5)),))</f>
        <v>VAT Cước điện thoại + Internet T11/2015</v>
      </c>
      <c r="D17" s="266">
        <f ca="1">IF(ROWS($1:5)&gt;COUNT(Dong3),"",OFFSET(TH!M$1,SMALL(Dong3,ROWS($1:5)),))</f>
        <v>49755</v>
      </c>
      <c r="E17" s="255"/>
    </row>
    <row r="18" spans="1:5" ht="18" customHeight="1">
      <c r="A18" s="265" t="str">
        <f ca="1">IF(ROWS($1:6)&gt;COUNT(Dong3),"",OFFSET(TH!D$1,SMALL(Dong3,ROWS($1:6)),))</f>
        <v>CTGS</v>
      </c>
      <c r="B18" s="254">
        <f ca="1">IF(ROWS($1:6)&gt;COUNT(Dong3),"",OFFSET(TH!E$1,SMALL(Dong3,ROWS($1:6)),))</f>
        <v>42380</v>
      </c>
      <c r="C18" s="264" t="str">
        <f ca="1">IF(ROWS($1:6)&gt;COUNT(Dong3),"",OFFSET(TH!F$1,SMALL(Dong3,ROWS($1:6)),))</f>
        <v>VAT Tiền điện kỳ 1 T1/2016</v>
      </c>
      <c r="D18" s="266">
        <f ca="1">IF(ROWS($1:6)&gt;COUNT(Dong3),"",OFFSET(TH!M$1,SMALL(Dong3,ROWS($1:6)),))</f>
        <v>2828010</v>
      </c>
      <c r="E18" s="255"/>
    </row>
    <row r="19" spans="1:5" ht="18" customHeight="1">
      <c r="A19" s="265" t="str">
        <f ca="1">IF(ROWS($1:7)&gt;COUNT(Dong3),"",OFFSET(TH!D$1,SMALL(Dong3,ROWS($1:7)),))</f>
        <v>CTGS</v>
      </c>
      <c r="B19" s="254">
        <f ca="1">IF(ROWS($1:7)&gt;COUNT(Dong3),"",OFFSET(TH!E$1,SMALL(Dong3,ROWS($1:7)),))</f>
        <v>42395</v>
      </c>
      <c r="C19" s="264" t="str">
        <f ca="1">IF(ROWS($1:7)&gt;COUNT(Dong3),"",OFFSET(TH!F$1,SMALL(Dong3,ROWS($1:7)),))</f>
        <v>VAT Tiền điện kỳ 2 T1/2016</v>
      </c>
      <c r="D19" s="266">
        <f ca="1">IF(ROWS($1:7)&gt;COUNT(Dong3),"",OFFSET(TH!M$1,SMALL(Dong3,ROWS($1:7)),))</f>
        <v>3756290</v>
      </c>
      <c r="E19" s="255"/>
    </row>
    <row r="20" spans="1:5" ht="18" customHeight="1">
      <c r="A20" s="265" t="str">
        <f ca="1">IF(ROWS($1:8)&gt;COUNT(Dong3),"",OFFSET(TH!D$1,SMALL(Dong3,ROWS($1:8)),))</f>
        <v>GBN</v>
      </c>
      <c r="B20" s="254">
        <f ca="1">IF(ROWS($1:8)&gt;COUNT(Dong3),"",OFFSET(TH!E$1,SMALL(Dong3,ROWS($1:8)),))</f>
        <v>42381</v>
      </c>
      <c r="C20" s="264" t="str">
        <f ca="1">IF(ROWS($1:8)&gt;COUNT(Dong3),"",OFFSET(TH!F$1,SMALL(Dong3,ROWS($1:8)),))</f>
        <v xml:space="preserve">VAT Phí chuyển tiền </v>
      </c>
      <c r="D20" s="266">
        <f ca="1">IF(ROWS($1:8)&gt;COUNT(Dong3),"",OFFSET(TH!M$1,SMALL(Dong3,ROWS($1:8)),))</f>
        <v>6000</v>
      </c>
      <c r="E20" s="255"/>
    </row>
    <row r="21" spans="1:5" ht="18" customHeight="1">
      <c r="A21" s="265" t="str">
        <f ca="1">IF(ROWS($1:9)&gt;COUNT(Dong3),"",OFFSET(TH!D$1,SMALL(Dong3,ROWS($1:9)),))</f>
        <v>C16</v>
      </c>
      <c r="B21" s="254">
        <f ca="1">IF(ROWS($1:9)&gt;COUNT(Dong3),"",OFFSET(TH!E$1,SMALL(Dong3,ROWS($1:9)),))</f>
        <v>42390</v>
      </c>
      <c r="C21" s="264" t="str">
        <f ca="1">IF(ROWS($1:9)&gt;COUNT(Dong3),"",OFFSET(TH!F$1,SMALL(Dong3,ROWS($1:9)),))</f>
        <v>VAT Tiền nước tháng 1/2016</v>
      </c>
      <c r="D21" s="266">
        <f ca="1">IF(ROWS($1:9)&gt;COUNT(Dong3),"",OFFSET(TH!M$1,SMALL(Dong3,ROWS($1:9)),))</f>
        <v>366670</v>
      </c>
      <c r="E21" s="255"/>
    </row>
    <row r="22" spans="1:5" ht="18" customHeight="1">
      <c r="A22" s="265" t="str">
        <f ca="1">IF(ROWS($1:10)&gt;COUNT(Dong3),"",OFFSET(TH!D$1,SMALL(Dong3,ROWS($1:10)),))</f>
        <v>GBN</v>
      </c>
      <c r="B22" s="254">
        <f ca="1">IF(ROWS($1:10)&gt;COUNT(Dong3),"",OFFSET(TH!E$1,SMALL(Dong3,ROWS($1:10)),))</f>
        <v>42399</v>
      </c>
      <c r="C22" s="264" t="str">
        <f ca="1">IF(ROWS($1:10)&gt;COUNT(Dong3),"",OFFSET(TH!F$1,SMALL(Dong3,ROWS($1:10)),))</f>
        <v xml:space="preserve">VAT Phí chuyển tiền </v>
      </c>
      <c r="D22" s="266">
        <f ca="1">IF(ROWS($1:10)&gt;COUNT(Dong3),"",OFFSET(TH!M$1,SMALL(Dong3,ROWS($1:10)),))</f>
        <v>12651</v>
      </c>
      <c r="E22" s="255"/>
    </row>
    <row r="23" spans="1:5" ht="18" customHeight="1">
      <c r="A23" s="265" t="str">
        <f ca="1">IF(ROWS($1:11)&gt;COUNT(Dong3),"",OFFSET(TH!D$1,SMALL(Dong3,ROWS($1:11)),))</f>
        <v>GBN</v>
      </c>
      <c r="B23" s="254">
        <f ca="1">IF(ROWS($1:11)&gt;COUNT(Dong3),"",OFFSET(TH!E$1,SMALL(Dong3,ROWS($1:11)),))</f>
        <v>42399</v>
      </c>
      <c r="C23" s="264" t="str">
        <f ca="1">IF(ROWS($1:11)&gt;COUNT(Dong3),"",OFFSET(TH!F$1,SMALL(Dong3,ROWS($1:11)),))</f>
        <v xml:space="preserve">VAT Phí chuyển tiền </v>
      </c>
      <c r="D23" s="266">
        <f ca="1">IF(ROWS($1:11)&gt;COUNT(Dong3),"",OFFSET(TH!M$1,SMALL(Dong3,ROWS($1:11)),))</f>
        <v>16000</v>
      </c>
      <c r="E23" s="255"/>
    </row>
    <row r="24" spans="1:5" ht="18" customHeight="1">
      <c r="A24" s="265" t="str">
        <f ca="1">IF(ROWS($1:12)&gt;COUNT(Dong3),"",OFFSET(TH!D$1,SMALL(Dong3,ROWS($1:12)),))</f>
        <v>GBN</v>
      </c>
      <c r="B24" s="254">
        <f ca="1">IF(ROWS($1:12)&gt;COUNT(Dong3),"",OFFSET(TH!E$1,SMALL(Dong3,ROWS($1:12)),))</f>
        <v>42399</v>
      </c>
      <c r="C24" s="264" t="str">
        <f ca="1">IF(ROWS($1:12)&gt;COUNT(Dong3),"",OFFSET(TH!F$1,SMALL(Dong3,ROWS($1:12)),))</f>
        <v xml:space="preserve">VAT Phí chuyển tiền </v>
      </c>
      <c r="D24" s="266">
        <f ca="1">IF(ROWS($1:12)&gt;COUNT(Dong3),"",OFFSET(TH!M$1,SMALL(Dong3,ROWS($1:12)),))</f>
        <v>4500</v>
      </c>
      <c r="E24" s="255"/>
    </row>
    <row r="25" spans="1:5" ht="18" customHeight="1">
      <c r="A25" s="265" t="str">
        <f ca="1">IF(ROWS($1:13)&gt;COUNT(Dong3),"",OFFSET(TH!D$1,SMALL(Dong3,ROWS($1:13)),))</f>
        <v>GBN</v>
      </c>
      <c r="B25" s="254">
        <f ca="1">IF(ROWS($1:13)&gt;COUNT(Dong3),"",OFFSET(TH!E$1,SMALL(Dong3,ROWS($1:13)),))</f>
        <v>42403</v>
      </c>
      <c r="C25" s="264" t="str">
        <f ca="1">IF(ROWS($1:13)&gt;COUNT(Dong3),"",OFFSET(TH!F$1,SMALL(Dong3,ROWS($1:13)),))</f>
        <v xml:space="preserve">VAT Phí chuyển tiền </v>
      </c>
      <c r="D25" s="266">
        <f ca="1">IF(ROWS($1:13)&gt;COUNT(Dong3),"",OFFSET(TH!M$1,SMALL(Dong3,ROWS($1:13)),))</f>
        <v>4500</v>
      </c>
      <c r="E25" s="255"/>
    </row>
    <row r="26" spans="1:5" ht="18" customHeight="1">
      <c r="A26" s="265" t="str">
        <f ca="1">IF(ROWS($1:14)&gt;COUNT(Dong3),"",OFFSET(TH!D$1,SMALL(Dong3,ROWS($1:14)),))</f>
        <v>GBN</v>
      </c>
      <c r="B26" s="254">
        <f ca="1">IF(ROWS($1:14)&gt;COUNT(Dong3),"",OFFSET(TH!E$1,SMALL(Dong3,ROWS($1:14)),))</f>
        <v>42403</v>
      </c>
      <c r="C26" s="264" t="str">
        <f ca="1">IF(ROWS($1:14)&gt;COUNT(Dong3),"",OFFSET(TH!F$1,SMALL(Dong3,ROWS($1:14)),))</f>
        <v xml:space="preserve">VAT Phí chuyển tiền </v>
      </c>
      <c r="D26" s="266">
        <f ca="1">IF(ROWS($1:14)&gt;COUNT(Dong3),"",OFFSET(TH!M$1,SMALL(Dong3,ROWS($1:14)),))</f>
        <v>4500</v>
      </c>
      <c r="E26" s="255"/>
    </row>
    <row r="27" spans="1:5" ht="18" customHeight="1">
      <c r="A27" s="265" t="str">
        <f ca="1">IF(ROWS($1:15)&gt;COUNT(Dong3),"",OFFSET(TH!D$1,SMALL(Dong3,ROWS($1:15)),))</f>
        <v>GBN</v>
      </c>
      <c r="B27" s="254">
        <f ca="1">IF(ROWS($1:15)&gt;COUNT(Dong3),"",OFFSET(TH!E$1,SMALL(Dong3,ROWS($1:15)),))</f>
        <v>42403</v>
      </c>
      <c r="C27" s="264" t="str">
        <f ca="1">IF(ROWS($1:15)&gt;COUNT(Dong3),"",OFFSET(TH!F$1,SMALL(Dong3,ROWS($1:15)),))</f>
        <v xml:space="preserve">VAT Phí chuyển tiền </v>
      </c>
      <c r="D27" s="266">
        <f ca="1">IF(ROWS($1:15)&gt;COUNT(Dong3),"",OFFSET(TH!M$1,SMALL(Dong3,ROWS($1:15)),))</f>
        <v>4500</v>
      </c>
      <c r="E27" s="255"/>
    </row>
    <row r="28" spans="1:5" ht="18" customHeight="1">
      <c r="A28" s="265" t="str">
        <f ca="1">IF(ROWS($1:16)&gt;COUNT(Dong3),"",OFFSET(TH!D$1,SMALL(Dong3,ROWS($1:16)),))</f>
        <v>GBN</v>
      </c>
      <c r="B28" s="254">
        <f ca="1">IF(ROWS($1:16)&gt;COUNT(Dong3),"",OFFSET(TH!E$1,SMALL(Dong3,ROWS($1:16)),))</f>
        <v>42403</v>
      </c>
      <c r="C28" s="264" t="str">
        <f ca="1">IF(ROWS($1:16)&gt;COUNT(Dong3),"",OFFSET(TH!F$1,SMALL(Dong3,ROWS($1:16)),))</f>
        <v xml:space="preserve">VAT Phí chuyển tiền </v>
      </c>
      <c r="D28" s="266">
        <f ca="1">IF(ROWS($1:16)&gt;COUNT(Dong3),"",OFFSET(TH!M$1,SMALL(Dong3,ROWS($1:16)),))</f>
        <v>5000</v>
      </c>
      <c r="E28" s="255"/>
    </row>
    <row r="29" spans="1:5" ht="18" customHeight="1">
      <c r="A29" s="265" t="str">
        <f ca="1">IF(ROWS($1:17)&gt;COUNT(Dong3),"",OFFSET(TH!D$1,SMALL(Dong3,ROWS($1:17)),))</f>
        <v>GBN</v>
      </c>
      <c r="B29" s="254">
        <f ca="1">IF(ROWS($1:17)&gt;COUNT(Dong3),"",OFFSET(TH!E$1,SMALL(Dong3,ROWS($1:17)),))</f>
        <v>42403</v>
      </c>
      <c r="C29" s="264" t="str">
        <f ca="1">IF(ROWS($1:17)&gt;COUNT(Dong3),"",OFFSET(TH!F$1,SMALL(Dong3,ROWS($1:17)),))</f>
        <v xml:space="preserve">VAT Phí chuyển tiền </v>
      </c>
      <c r="D29" s="266">
        <f ca="1">IF(ROWS($1:17)&gt;COUNT(Dong3),"",OFFSET(TH!M$1,SMALL(Dong3,ROWS($1:17)),))</f>
        <v>24000</v>
      </c>
      <c r="E29" s="255"/>
    </row>
    <row r="30" spans="1:5" ht="18" customHeight="1">
      <c r="A30" s="265" t="str">
        <f ca="1">IF(ROWS($1:18)&gt;COUNT(Dong3),"",OFFSET(TH!D$1,SMALL(Dong3,ROWS($1:18)),))</f>
        <v>GBN</v>
      </c>
      <c r="B30" s="254">
        <f ca="1">IF(ROWS($1:18)&gt;COUNT(Dong3),"",OFFSET(TH!E$1,SMALL(Dong3,ROWS($1:18)),))</f>
        <v>42403</v>
      </c>
      <c r="C30" s="264" t="str">
        <f ca="1">IF(ROWS($1:18)&gt;COUNT(Dong3),"",OFFSET(TH!F$1,SMALL(Dong3,ROWS($1:18)),))</f>
        <v xml:space="preserve">VAT Phí chuyển tiền </v>
      </c>
      <c r="D30" s="266">
        <f ca="1">IF(ROWS($1:18)&gt;COUNT(Dong3),"",OFFSET(TH!M$1,SMALL(Dong3,ROWS($1:18)),))</f>
        <v>3300</v>
      </c>
      <c r="E30" s="255"/>
    </row>
    <row r="31" spans="1:5" ht="18" customHeight="1">
      <c r="A31" s="265" t="str">
        <f ca="1">IF(ROWS($1:19)&gt;COUNT(Dong3),"",OFFSET(TH!D$1,SMALL(Dong3,ROWS($1:19)),))</f>
        <v>C27</v>
      </c>
      <c r="B31" s="254">
        <f ca="1">IF(ROWS($1:19)&gt;COUNT(Dong3),"",OFFSET(TH!E$1,SMALL(Dong3,ROWS($1:19)),))</f>
        <v>42410</v>
      </c>
      <c r="C31" s="264" t="str">
        <f ca="1">IF(ROWS($1:19)&gt;COUNT(Dong3),"",OFFSET(TH!F$1,SMALL(Dong3,ROWS($1:19)),))</f>
        <v>VAT Phí dịch vụ bảo vệ T1/2016</v>
      </c>
      <c r="D31" s="266">
        <f ca="1">IF(ROWS($1:19)&gt;COUNT(Dong3),"",OFFSET(TH!M$1,SMALL(Dong3,ROWS($1:19)),))</f>
        <v>681818</v>
      </c>
      <c r="E31" s="255"/>
    </row>
    <row r="32" spans="1:5" ht="18" customHeight="1">
      <c r="A32" s="265" t="str">
        <f ca="1">IF(ROWS($1:20)&gt;COUNT(Dong3),"",OFFSET(TH!D$1,SMALL(Dong3,ROWS($1:20)),))</f>
        <v>C28</v>
      </c>
      <c r="B32" s="254">
        <f ca="1">IF(ROWS($1:20)&gt;COUNT(Dong3),"",OFFSET(TH!E$1,SMALL(Dong3,ROWS($1:20)),))</f>
        <v>42419</v>
      </c>
      <c r="C32" s="264" t="str">
        <f ca="1">IF(ROWS($1:20)&gt;COUNT(Dong3),"",OFFSET(TH!F$1,SMALL(Dong3,ROWS($1:20)),))</f>
        <v>VAT Cước điện thoại + Internet T1/2016</v>
      </c>
      <c r="D32" s="266">
        <f ca="1">IF(ROWS($1:20)&gt;COUNT(Dong3),"",OFFSET(TH!M$1,SMALL(Dong3,ROWS($1:20)),))</f>
        <v>51408</v>
      </c>
      <c r="E32" s="255"/>
    </row>
    <row r="33" spans="1:5" ht="18" customHeight="1">
      <c r="A33" s="265" t="str">
        <f ca="1">IF(ROWS($1:21)&gt;COUNT(Dong3),"",OFFSET(TH!D$1,SMALL(Dong3,ROWS($1:21)),))</f>
        <v>C31</v>
      </c>
      <c r="B33" s="254">
        <f ca="1">IF(ROWS($1:21)&gt;COUNT(Dong3),"",OFFSET(TH!E$1,SMALL(Dong3,ROWS($1:21)),))</f>
        <v>42425</v>
      </c>
      <c r="C33" s="264" t="str">
        <f ca="1">IF(ROWS($1:21)&gt;COUNT(Dong3),"",OFFSET(TH!F$1,SMALL(Dong3,ROWS($1:21)),))</f>
        <v>VAT Tiền xử lý nước thải</v>
      </c>
      <c r="D33" s="266">
        <f ca="1">IF(ROWS($1:21)&gt;COUNT(Dong3),"",OFFSET(TH!M$1,SMALL(Dong3,ROWS($1:21)),))</f>
        <v>432436</v>
      </c>
      <c r="E33" s="255"/>
    </row>
    <row r="34" spans="1:5" ht="18" customHeight="1">
      <c r="A34" s="265" t="str">
        <f ca="1">IF(ROWS($1:22)&gt;COUNT(Dong3),"",OFFSET(TH!D$1,SMALL(Dong3,ROWS($1:22)),))</f>
        <v>C32</v>
      </c>
      <c r="B34" s="254">
        <f ca="1">IF(ROWS($1:22)&gt;COUNT(Dong3),"",OFFSET(TH!E$1,SMALL(Dong3,ROWS($1:22)),))</f>
        <v>42425</v>
      </c>
      <c r="C34" s="264" t="str">
        <f ca="1">IF(ROWS($1:22)&gt;COUNT(Dong3),"",OFFSET(TH!F$1,SMALL(Dong3,ROWS($1:22)),))</f>
        <v>VAT Thu gom rác thải 11/15 - 1/17</v>
      </c>
      <c r="D34" s="266">
        <f ca="1">IF(ROWS($1:22)&gt;COUNT(Dong3),"",OFFSET(TH!M$1,SMALL(Dong3,ROWS($1:22)),))</f>
        <v>300000</v>
      </c>
      <c r="E34" s="255"/>
    </row>
    <row r="35" spans="1:5" ht="18" customHeight="1">
      <c r="A35" s="265" t="str">
        <f ca="1">IF(ROWS($1:23)&gt;COUNT(Dong3),"",OFFSET(TH!D$1,SMALL(Dong3,ROWS($1:23)),))</f>
        <v>C33</v>
      </c>
      <c r="B35" s="254">
        <f ca="1">IF(ROWS($1:23)&gt;COUNT(Dong3),"",OFFSET(TH!E$1,SMALL(Dong3,ROWS($1:23)),))</f>
        <v>42425</v>
      </c>
      <c r="C35" s="264" t="str">
        <f ca="1">IF(ROWS($1:23)&gt;COUNT(Dong3),"",OFFSET(TH!F$1,SMALL(Dong3,ROWS($1:23)),))</f>
        <v>VAT Tiền nước tháng 2/2016</v>
      </c>
      <c r="D35" s="266">
        <f ca="1">IF(ROWS($1:23)&gt;COUNT(Dong3),"",OFFSET(TH!M$1,SMALL(Dong3,ROWS($1:23)),))</f>
        <v>351130</v>
      </c>
      <c r="E35" s="255"/>
    </row>
    <row r="36" spans="1:5" ht="18" customHeight="1">
      <c r="A36" s="265" t="str">
        <f ca="1">IF(ROWS($1:24)&gt;COUNT(Dong3),"",OFFSET(TH!D$1,SMALL(Dong3,ROWS($1:24)),))</f>
        <v>GBN</v>
      </c>
      <c r="B36" s="254">
        <f ca="1">IF(ROWS($1:24)&gt;COUNT(Dong3),"",OFFSET(TH!E$1,SMALL(Dong3,ROWS($1:24)),))</f>
        <v>42430</v>
      </c>
      <c r="C36" s="264" t="str">
        <f ca="1">IF(ROWS($1:24)&gt;COUNT(Dong3),"",OFFSET(TH!F$1,SMALL(Dong3,ROWS($1:24)),))</f>
        <v xml:space="preserve">VAT Phí chuyển tiền </v>
      </c>
      <c r="D36" s="266">
        <f ca="1">IF(ROWS($1:24)&gt;COUNT(Dong3),"",OFFSET(TH!M$1,SMALL(Dong3,ROWS($1:24)),))</f>
        <v>4500</v>
      </c>
      <c r="E36" s="255"/>
    </row>
    <row r="37" spans="1:5" ht="18" customHeight="1">
      <c r="A37" s="265" t="str">
        <f ca="1">IF(ROWS($1:25)&gt;COUNT(Dong3),"",OFFSET(TH!D$1,SMALL(Dong3,ROWS($1:25)),))</f>
        <v>GBN</v>
      </c>
      <c r="B37" s="254">
        <f ca="1">IF(ROWS($1:25)&gt;COUNT(Dong3),"",OFFSET(TH!E$1,SMALL(Dong3,ROWS($1:25)),))</f>
        <v>42432</v>
      </c>
      <c r="C37" s="264" t="str">
        <f ca="1">IF(ROWS($1:25)&gt;COUNT(Dong3),"",OFFSET(TH!F$1,SMALL(Dong3,ROWS($1:25)),))</f>
        <v>VAT Phí nộp thuế điện tử</v>
      </c>
      <c r="D37" s="266">
        <f ca="1">IF(ROWS($1:25)&gt;COUNT(Dong3),"",OFFSET(TH!M$1,SMALL(Dong3,ROWS($1:25)),))</f>
        <v>1000</v>
      </c>
      <c r="E37" s="255"/>
    </row>
    <row r="38" spans="1:5" ht="18" customHeight="1">
      <c r="A38" s="265" t="str">
        <f ca="1">IF(ROWS($1:26)&gt;COUNT(Dong3),"",OFFSET(TH!D$1,SMALL(Dong3,ROWS($1:26)),))</f>
        <v>C37</v>
      </c>
      <c r="B38" s="254">
        <f ca="1">IF(ROWS($1:26)&gt;COUNT(Dong3),"",OFFSET(TH!E$1,SMALL(Dong3,ROWS($1:26)),))</f>
        <v>42439</v>
      </c>
      <c r="C38" s="264" t="str">
        <f ca="1">IF(ROWS($1:26)&gt;COUNT(Dong3),"",OFFSET(TH!F$1,SMALL(Dong3,ROWS($1:26)),))</f>
        <v>VAT Phí dịch vụ bảo vệ T2/2016</v>
      </c>
      <c r="D38" s="266">
        <f ca="1">IF(ROWS($1:26)&gt;COUNT(Dong3),"",OFFSET(TH!M$1,SMALL(Dong3,ROWS($1:26)),))</f>
        <v>681818</v>
      </c>
      <c r="E38" s="255"/>
    </row>
    <row r="39" spans="1:5" ht="18" customHeight="1">
      <c r="A39" s="265" t="str">
        <f ca="1">IF(ROWS($1:27)&gt;COUNT(Dong3),"",OFFSET(TH!D$1,SMALL(Dong3,ROWS($1:27)),))</f>
        <v>VL/N01</v>
      </c>
      <c r="B39" s="254">
        <f ca="1">IF(ROWS($1:27)&gt;COUNT(Dong3),"",OFFSET(TH!E$1,SMALL(Dong3,ROWS($1:27)),))</f>
        <v>42441</v>
      </c>
      <c r="C39" s="264" t="str">
        <f ca="1">IF(ROWS($1:27)&gt;COUNT(Dong3),"",OFFSET(TH!F$1,SMALL(Dong3,ROWS($1:27)),))</f>
        <v>VAT Túi PE</v>
      </c>
      <c r="D39" s="266">
        <f ca="1">IF(ROWS($1:27)&gt;COUNT(Dong3),"",OFFSET(TH!M$1,SMALL(Dong3,ROWS($1:27)),))</f>
        <v>3300000</v>
      </c>
      <c r="E39" s="255"/>
    </row>
    <row r="40" spans="1:5" ht="18" customHeight="1">
      <c r="A40" s="265" t="str">
        <f ca="1">IF(ROWS($1:28)&gt;COUNT(Dong3),"",OFFSET(TH!D$1,SMALL(Dong3,ROWS($1:28)),))</f>
        <v>C38</v>
      </c>
      <c r="B40" s="254">
        <f ca="1">IF(ROWS($1:28)&gt;COUNT(Dong3),"",OFFSET(TH!E$1,SMALL(Dong3,ROWS($1:28)),))</f>
        <v>42444</v>
      </c>
      <c r="C40" s="264" t="str">
        <f ca="1">IF(ROWS($1:28)&gt;COUNT(Dong3),"",OFFSET(TH!F$1,SMALL(Dong3,ROWS($1:28)),))</f>
        <v>VAT Cước điện thoại + Internet T1/2016</v>
      </c>
      <c r="D40" s="266">
        <f ca="1">IF(ROWS($1:28)&gt;COUNT(Dong3),"",OFFSET(TH!M$1,SMALL(Dong3,ROWS($1:28)),))</f>
        <v>42942</v>
      </c>
      <c r="E40" s="255"/>
    </row>
    <row r="41" spans="1:5" ht="18" customHeight="1">
      <c r="A41" s="265" t="str">
        <f ca="1">IF(ROWS($1:29)&gt;COUNT(Dong3),"",OFFSET(TH!D$1,SMALL(Dong3,ROWS($1:29)),))</f>
        <v>GBN</v>
      </c>
      <c r="B41" s="254">
        <f ca="1">IF(ROWS($1:29)&gt;COUNT(Dong3),"",OFFSET(TH!E$1,SMALL(Dong3,ROWS($1:29)),))</f>
        <v>42445</v>
      </c>
      <c r="C41" s="264" t="str">
        <f ca="1">IF(ROWS($1:29)&gt;COUNT(Dong3),"",OFFSET(TH!F$1,SMALL(Dong3,ROWS($1:29)),))</f>
        <v xml:space="preserve">VAT Phí chuyển tiền </v>
      </c>
      <c r="D41" s="266">
        <f ca="1">IF(ROWS($1:29)&gt;COUNT(Dong3),"",OFFSET(TH!M$1,SMALL(Dong3,ROWS($1:29)),))</f>
        <v>2500</v>
      </c>
      <c r="E41" s="255"/>
    </row>
    <row r="42" spans="1:5" ht="18" customHeight="1">
      <c r="A42" s="265" t="str">
        <f ca="1">IF(ROWS($1:30)&gt;COUNT(Dong3),"",OFFSET(TH!D$1,SMALL(Dong3,ROWS($1:30)),))</f>
        <v>GBN</v>
      </c>
      <c r="B42" s="254">
        <f ca="1">IF(ROWS($1:30)&gt;COUNT(Dong3),"",OFFSET(TH!E$1,SMALL(Dong3,ROWS($1:30)),))</f>
        <v>42445</v>
      </c>
      <c r="C42" s="264" t="str">
        <f ca="1">IF(ROWS($1:30)&gt;COUNT(Dong3),"",OFFSET(TH!F$1,SMALL(Dong3,ROWS($1:30)),))</f>
        <v>VAT Phí kiểm đếm</v>
      </c>
      <c r="D42" s="266">
        <f ca="1">IF(ROWS($1:30)&gt;COUNT(Dong3),"",OFFSET(TH!M$1,SMALL(Dong3,ROWS($1:30)),))</f>
        <v>2000</v>
      </c>
      <c r="E42" s="255"/>
    </row>
    <row r="43" spans="1:5" ht="18" customHeight="1">
      <c r="A43" s="265" t="str">
        <f ca="1">IF(ROWS($1:31)&gt;COUNT(Dong3),"",OFFSET(TH!D$1,SMALL(Dong3,ROWS($1:31)),))</f>
        <v>GBN</v>
      </c>
      <c r="B43" s="254">
        <f ca="1">IF(ROWS($1:31)&gt;COUNT(Dong3),"",OFFSET(TH!E$1,SMALL(Dong3,ROWS($1:31)),))</f>
        <v>42445</v>
      </c>
      <c r="C43" s="264" t="str">
        <f ca="1">IF(ROWS($1:31)&gt;COUNT(Dong3),"",OFFSET(TH!F$1,SMALL(Dong3,ROWS($1:31)),))</f>
        <v xml:space="preserve">VAT Phí chuyển tiền </v>
      </c>
      <c r="D43" s="266">
        <f ca="1">IF(ROWS($1:31)&gt;COUNT(Dong3),"",OFFSET(TH!M$1,SMALL(Dong3,ROWS($1:31)),))</f>
        <v>2500</v>
      </c>
      <c r="E43" s="255"/>
    </row>
    <row r="44" spans="1:5" ht="18" customHeight="1">
      <c r="A44" s="265" t="str">
        <f ca="1">IF(ROWS($1:32)&gt;COUNT(Dong3),"",OFFSET(TH!D$1,SMALL(Dong3,ROWS($1:32)),))</f>
        <v>GBN</v>
      </c>
      <c r="B44" s="254">
        <f ca="1">IF(ROWS($1:32)&gt;COUNT(Dong3),"",OFFSET(TH!E$1,SMALL(Dong3,ROWS($1:32)),))</f>
        <v>42445</v>
      </c>
      <c r="C44" s="264" t="str">
        <f ca="1">IF(ROWS($1:32)&gt;COUNT(Dong3),"",OFFSET(TH!F$1,SMALL(Dong3,ROWS($1:32)),))</f>
        <v>VAT Phí kiểm đếm</v>
      </c>
      <c r="D44" s="266">
        <f ca="1">IF(ROWS($1:32)&gt;COUNT(Dong3),"",OFFSET(TH!M$1,SMALL(Dong3,ROWS($1:32)),))</f>
        <v>2000</v>
      </c>
      <c r="E44" s="255"/>
    </row>
    <row r="45" spans="1:5" ht="18" customHeight="1">
      <c r="A45" s="265" t="str">
        <f ca="1">IF(ROWS($1:33)&gt;COUNT(Dong3),"",OFFSET(TH!D$1,SMALL(Dong3,ROWS($1:33)),))</f>
        <v>GBN</v>
      </c>
      <c r="B45" s="254">
        <f ca="1">IF(ROWS($1:33)&gt;COUNT(Dong3),"",OFFSET(TH!E$1,SMALL(Dong3,ROWS($1:33)),))</f>
        <v>42445</v>
      </c>
      <c r="C45" s="264" t="str">
        <f ca="1">IF(ROWS($1:33)&gt;COUNT(Dong3),"",OFFSET(TH!F$1,SMALL(Dong3,ROWS($1:33)),))</f>
        <v xml:space="preserve">VAT Phí chuyển tiền </v>
      </c>
      <c r="D45" s="266">
        <f ca="1">IF(ROWS($1:33)&gt;COUNT(Dong3),"",OFFSET(TH!M$1,SMALL(Dong3,ROWS($1:33)),))</f>
        <v>2500</v>
      </c>
      <c r="E45" s="255"/>
    </row>
    <row r="46" spans="1:5" ht="18" customHeight="1">
      <c r="A46" s="265" t="str">
        <f ca="1">IF(ROWS($1:34)&gt;COUNT(Dong3),"",OFFSET(TH!D$1,SMALL(Dong3,ROWS($1:34)),))</f>
        <v>GBN</v>
      </c>
      <c r="B46" s="254">
        <f ca="1">IF(ROWS($1:34)&gt;COUNT(Dong3),"",OFFSET(TH!E$1,SMALL(Dong3,ROWS($1:34)),))</f>
        <v>42445</v>
      </c>
      <c r="C46" s="264" t="str">
        <f ca="1">IF(ROWS($1:34)&gt;COUNT(Dong3),"",OFFSET(TH!F$1,SMALL(Dong3,ROWS($1:34)),))</f>
        <v>VAT Phí kiểm đếm</v>
      </c>
      <c r="D46" s="266">
        <f ca="1">IF(ROWS($1:34)&gt;COUNT(Dong3),"",OFFSET(TH!M$1,SMALL(Dong3,ROWS($1:34)),))</f>
        <v>2000</v>
      </c>
      <c r="E46" s="255"/>
    </row>
    <row r="47" spans="1:5" ht="18" customHeight="1">
      <c r="A47" s="265" t="str">
        <f ca="1">IF(ROWS($1:35)&gt;COUNT(Dong3),"",OFFSET(TH!D$1,SMALL(Dong3,ROWS($1:35)),))</f>
        <v>GBN</v>
      </c>
      <c r="B47" s="254">
        <f ca="1">IF(ROWS($1:35)&gt;COUNT(Dong3),"",OFFSET(TH!E$1,SMALL(Dong3,ROWS($1:35)),))</f>
        <v>42445</v>
      </c>
      <c r="C47" s="264" t="str">
        <f ca="1">IF(ROWS($1:35)&gt;COUNT(Dong3),"",OFFSET(TH!F$1,SMALL(Dong3,ROWS($1:35)),))</f>
        <v xml:space="preserve">VAT Phí chuyển tiền </v>
      </c>
      <c r="D47" s="266">
        <f ca="1">IF(ROWS($1:35)&gt;COUNT(Dong3),"",OFFSET(TH!M$1,SMALL(Dong3,ROWS($1:35)),))</f>
        <v>4615</v>
      </c>
      <c r="E47" s="255"/>
    </row>
    <row r="48" spans="1:5" ht="18" customHeight="1">
      <c r="A48" s="265" t="str">
        <f ca="1">IF(ROWS($1:36)&gt;COUNT(Dong3),"",OFFSET(TH!D$1,SMALL(Dong3,ROWS($1:36)),))</f>
        <v>GBN</v>
      </c>
      <c r="B48" s="254">
        <f ca="1">IF(ROWS($1:36)&gt;COUNT(Dong3),"",OFFSET(TH!E$1,SMALL(Dong3,ROWS($1:36)),))</f>
        <v>42445</v>
      </c>
      <c r="C48" s="264" t="str">
        <f ca="1">IF(ROWS($1:36)&gt;COUNT(Dong3),"",OFFSET(TH!F$1,SMALL(Dong3,ROWS($1:36)),))</f>
        <v>VAT Phí kiểm đếm</v>
      </c>
      <c r="D48" s="266">
        <f ca="1">IF(ROWS($1:36)&gt;COUNT(Dong3),"",OFFSET(TH!M$1,SMALL(Dong3,ROWS($1:36)),))</f>
        <v>2769</v>
      </c>
      <c r="E48" s="255"/>
    </row>
    <row r="49" spans="1:5" ht="18" customHeight="1">
      <c r="A49" s="265" t="str">
        <f ca="1">IF(ROWS($1:37)&gt;COUNT(Dong3),"",OFFSET(TH!D$1,SMALL(Dong3,ROWS($1:37)),))</f>
        <v>C41</v>
      </c>
      <c r="B49" s="254">
        <f ca="1">IF(ROWS($1:37)&gt;COUNT(Dong3),"",OFFSET(TH!E$1,SMALL(Dong3,ROWS($1:37)),))</f>
        <v>42450</v>
      </c>
      <c r="C49" s="264" t="str">
        <f ca="1">IF(ROWS($1:37)&gt;COUNT(Dong3),"",OFFSET(TH!F$1,SMALL(Dong3,ROWS($1:37)),))</f>
        <v>VAT Dịch vụ thoát nước thải</v>
      </c>
      <c r="D49" s="266">
        <f ca="1">IF(ROWS($1:37)&gt;COUNT(Dong3),"",OFFSET(TH!M$1,SMALL(Dong3,ROWS($1:37)),))</f>
        <v>414109</v>
      </c>
      <c r="E49" s="255"/>
    </row>
    <row r="50" spans="1:5" ht="18" customHeight="1">
      <c r="A50" s="265" t="str">
        <f ca="1">IF(ROWS($1:38)&gt;COUNT(Dong3),"",OFFSET(TH!D$1,SMALL(Dong3,ROWS($1:38)),))</f>
        <v>C44</v>
      </c>
      <c r="B50" s="254">
        <f ca="1">IF(ROWS($1:38)&gt;COUNT(Dong3),"",OFFSET(TH!E$1,SMALL(Dong3,ROWS($1:38)),))</f>
        <v>42453</v>
      </c>
      <c r="C50" s="264" t="str">
        <f ca="1">IF(ROWS($1:38)&gt;COUNT(Dong3),"",OFFSET(TH!F$1,SMALL(Dong3,ROWS($1:38)),))</f>
        <v>VAT Thiết bị</v>
      </c>
      <c r="D50" s="266">
        <f ca="1">IF(ROWS($1:38)&gt;COUNT(Dong3),"",OFFSET(TH!M$1,SMALL(Dong3,ROWS($1:38)),))</f>
        <v>1705089</v>
      </c>
      <c r="E50" s="255"/>
    </row>
    <row r="51" spans="1:5" ht="18" customHeight="1">
      <c r="A51" s="265" t="str">
        <f ca="1">IF(ROWS($1:39)&gt;COUNT(Dong3),"",OFFSET(TH!D$1,SMALL(Dong3,ROWS($1:39)),))</f>
        <v>CTGS</v>
      </c>
      <c r="B51" s="254">
        <f ca="1">IF(ROWS($1:39)&gt;COUNT(Dong3),"",OFFSET(TH!E$1,SMALL(Dong3,ROWS($1:39)),))</f>
        <v>42446</v>
      </c>
      <c r="C51" s="264" t="str">
        <f ca="1">IF(ROWS($1:39)&gt;COUNT(Dong3),"",OFFSET(TH!F$1,SMALL(Dong3,ROWS($1:39)),))</f>
        <v>VAT Phí hạ tầng từ 15/9/15 đến 15/9/16</v>
      </c>
      <c r="D51" s="266">
        <f ca="1">IF(ROWS($1:39)&gt;COUNT(Dong3),"",OFFSET(TH!M$1,SMALL(Dong3,ROWS($1:39)),))</f>
        <v>3128000</v>
      </c>
      <c r="E51" s="255"/>
    </row>
    <row r="52" spans="1:5" ht="18" customHeight="1">
      <c r="A52" s="265" t="str">
        <f ca="1">IF(ROWS($1:40)&gt;COUNT(Dong3),"",OFFSET(TH!D$1,SMALL(Dong3,ROWS($1:40)),))</f>
        <v>CTGS</v>
      </c>
      <c r="B52" s="254">
        <f ca="1">IF(ROWS($1:40)&gt;COUNT(Dong3),"",OFFSET(TH!E$1,SMALL(Dong3,ROWS($1:40)),))</f>
        <v>42414</v>
      </c>
      <c r="C52" s="264" t="str">
        <f ca="1">IF(ROWS($1:40)&gt;COUNT(Dong3),"",OFFSET(TH!F$1,SMALL(Dong3,ROWS($1:40)),))</f>
        <v>VAT Tiền điện kỳ 1 T2/2016</v>
      </c>
      <c r="D52" s="266">
        <f ca="1">IF(ROWS($1:40)&gt;COUNT(Dong3),"",OFFSET(TH!M$1,SMALL(Dong3,ROWS($1:40)),))</f>
        <v>3675980</v>
      </c>
      <c r="E52" s="255"/>
    </row>
    <row r="53" spans="1:5" ht="18" customHeight="1">
      <c r="A53" s="265" t="str">
        <f ca="1">IF(ROWS($1:41)&gt;COUNT(Dong3),"",OFFSET(TH!D$1,SMALL(Dong3,ROWS($1:41)),))</f>
        <v>CTGS</v>
      </c>
      <c r="B53" s="254">
        <f ca="1">IF(ROWS($1:41)&gt;COUNT(Dong3),"",OFFSET(TH!E$1,SMALL(Dong3,ROWS($1:41)),))</f>
        <v>42426</v>
      </c>
      <c r="C53" s="264" t="str">
        <f ca="1">IF(ROWS($1:41)&gt;COUNT(Dong3),"",OFFSET(TH!F$1,SMALL(Dong3,ROWS($1:41)),))</f>
        <v>VAT Tiền điện kỳ 2 T2/2016</v>
      </c>
      <c r="D53" s="266">
        <f ca="1">IF(ROWS($1:41)&gt;COUNT(Dong3),"",OFFSET(TH!M$1,SMALL(Dong3,ROWS($1:41)),))</f>
        <v>2944300</v>
      </c>
      <c r="E53" s="255"/>
    </row>
    <row r="54" spans="1:5" ht="18" customHeight="1">
      <c r="A54" s="265" t="str">
        <f ca="1">IF(ROWS($1:42)&gt;COUNT(Dong3),"",OFFSET(TH!D$1,SMALL(Dong3,ROWS($1:42)),))</f>
        <v>GBN</v>
      </c>
      <c r="B54" s="254">
        <f ca="1">IF(ROWS($1:42)&gt;COUNT(Dong3),"",OFFSET(TH!E$1,SMALL(Dong3,ROWS($1:42)),))</f>
        <v>42454</v>
      </c>
      <c r="C54" s="264" t="str">
        <f ca="1">IF(ROWS($1:42)&gt;COUNT(Dong3),"",OFFSET(TH!F$1,SMALL(Dong3,ROWS($1:42)),))</f>
        <v>VAT Dịch vụ thông báo số dư</v>
      </c>
      <c r="D54" s="266">
        <f ca="1">IF(ROWS($1:42)&gt;COUNT(Dong3),"",OFFSET(TH!M$1,SMALL(Dong3,ROWS($1:42)),))</f>
        <v>5000</v>
      </c>
      <c r="E54" s="255"/>
    </row>
    <row r="55" spans="1:5" ht="18" customHeight="1">
      <c r="A55" s="265" t="str">
        <f ca="1">IF(ROWS($1:43)&gt;COUNT(Dong3),"",OFFSET(TH!D$1,SMALL(Dong3,ROWS($1:43)),))</f>
        <v>GBN</v>
      </c>
      <c r="B55" s="254">
        <f ca="1">IF(ROWS($1:43)&gt;COUNT(Dong3),"",OFFSET(TH!E$1,SMALL(Dong3,ROWS($1:43)),))</f>
        <v>42454</v>
      </c>
      <c r="C55" s="264" t="str">
        <f ca="1">IF(ROWS($1:43)&gt;COUNT(Dong3),"",OFFSET(TH!F$1,SMALL(Dong3,ROWS($1:43)),))</f>
        <v>VAT Dịch vụ thông báo số dư</v>
      </c>
      <c r="D55" s="266">
        <f ca="1">IF(ROWS($1:43)&gt;COUNT(Dong3),"",OFFSET(TH!M$1,SMALL(Dong3,ROWS($1:43)),))</f>
        <v>5000</v>
      </c>
      <c r="E55" s="255"/>
    </row>
    <row r="56" spans="1:5" ht="18" customHeight="1">
      <c r="A56" s="265" t="str">
        <f ca="1">IF(ROWS($1:44)&gt;COUNT(Dong3),"",OFFSET(TH!D$1,SMALL(Dong3,ROWS($1:44)),))</f>
        <v>GBN</v>
      </c>
      <c r="B56" s="254">
        <f ca="1">IF(ROWS($1:44)&gt;COUNT(Dong3),"",OFFSET(TH!E$1,SMALL(Dong3,ROWS($1:44)),))</f>
        <v>42458</v>
      </c>
      <c r="C56" s="264" t="str">
        <f ca="1">IF(ROWS($1:44)&gt;COUNT(Dong3),"",OFFSET(TH!F$1,SMALL(Dong3,ROWS($1:44)),))</f>
        <v xml:space="preserve">VAT Phí chuyển tiền </v>
      </c>
      <c r="D56" s="266">
        <f ca="1">IF(ROWS($1:44)&gt;COUNT(Dong3),"",OFFSET(TH!M$1,SMALL(Dong3,ROWS($1:44)),))</f>
        <v>4000</v>
      </c>
      <c r="E56" s="255"/>
    </row>
    <row r="57" spans="1:5" ht="18" customHeight="1">
      <c r="A57" s="265" t="str">
        <f ca="1">IF(ROWS($1:45)&gt;COUNT(Dong3),"",OFFSET(TH!D$1,SMALL(Dong3,ROWS($1:45)),))</f>
        <v>GBN</v>
      </c>
      <c r="B57" s="254">
        <f ca="1">IF(ROWS($1:45)&gt;COUNT(Dong3),"",OFFSET(TH!E$1,SMALL(Dong3,ROWS($1:45)),))</f>
        <v>42459</v>
      </c>
      <c r="C57" s="264" t="str">
        <f ca="1">IF(ROWS($1:45)&gt;COUNT(Dong3),"",OFFSET(TH!F$1,SMALL(Dong3,ROWS($1:45)),))</f>
        <v xml:space="preserve">VAT Phí chuyển tiền </v>
      </c>
      <c r="D57" s="266">
        <f ca="1">IF(ROWS($1:45)&gt;COUNT(Dong3),"",OFFSET(TH!M$1,SMALL(Dong3,ROWS($1:45)),))</f>
        <v>4500</v>
      </c>
      <c r="E57" s="255"/>
    </row>
    <row r="58" spans="1:5" ht="18" customHeight="1">
      <c r="A58" s="265" t="str">
        <f ca="1">IF(ROWS($1:46)&gt;COUNT(Dong3),"",OFFSET(TH!D$1,SMALL(Dong3,ROWS($1:46)),))</f>
        <v>CTGS</v>
      </c>
      <c r="B58" s="254">
        <f ca="1">IF(ROWS($1:46)&gt;COUNT(Dong3),"",OFFSET(TH!E$1,SMALL(Dong3,ROWS($1:46)),))</f>
        <v>42440</v>
      </c>
      <c r="C58" s="264" t="str">
        <f ca="1">IF(ROWS($1:46)&gt;COUNT(Dong3),"",OFFSET(TH!F$1,SMALL(Dong3,ROWS($1:46)),))</f>
        <v>VAT Tiền điện kỳ 1 T3/2016</v>
      </c>
      <c r="D58" s="266">
        <f ca="1">IF(ROWS($1:46)&gt;COUNT(Dong3),"",OFFSET(TH!M$1,SMALL(Dong3,ROWS($1:46)),))</f>
        <v>3862570</v>
      </c>
      <c r="E58" s="255"/>
    </row>
    <row r="59" spans="1:5" ht="18" customHeight="1">
      <c r="A59" s="265" t="str">
        <f ca="1">IF(ROWS($1:47)&gt;COUNT(Dong3),"",OFFSET(TH!D$1,SMALL(Dong3,ROWS($1:47)),))</f>
        <v>CTGS</v>
      </c>
      <c r="B59" s="254">
        <f ca="1">IF(ROWS($1:47)&gt;COUNT(Dong3),"",OFFSET(TH!E$1,SMALL(Dong3,ROWS($1:47)),))</f>
        <v>42454</v>
      </c>
      <c r="C59" s="264" t="str">
        <f ca="1">IF(ROWS($1:47)&gt;COUNT(Dong3),"",OFFSET(TH!F$1,SMALL(Dong3,ROWS($1:47)),))</f>
        <v>VAT Tiền điện kỳ 2 T3/2016</v>
      </c>
      <c r="D59" s="266">
        <f ca="1">IF(ROWS($1:47)&gt;COUNT(Dong3),"",OFFSET(TH!M$1,SMALL(Dong3,ROWS($1:47)),))</f>
        <v>4245230</v>
      </c>
      <c r="E59" s="255"/>
    </row>
    <row r="60" spans="1:5" ht="18" customHeight="1">
      <c r="A60" s="265" t="str">
        <f ca="1">IF(ROWS($1:48)&gt;COUNT(Dong3),"",OFFSET(TH!D$1,SMALL(Dong3,ROWS($1:48)),))</f>
        <v>C49</v>
      </c>
      <c r="B60" s="254">
        <f ca="1">IF(ROWS($1:48)&gt;COUNT(Dong3),"",OFFSET(TH!E$1,SMALL(Dong3,ROWS($1:48)),))</f>
        <v>42450</v>
      </c>
      <c r="C60" s="264" t="str">
        <f ca="1">IF(ROWS($1:48)&gt;COUNT(Dong3),"",OFFSET(TH!F$1,SMALL(Dong3,ROWS($1:48)),))</f>
        <v>VAT Tiền nước tháng 3/2016</v>
      </c>
      <c r="D60" s="266">
        <f ca="1">IF(ROWS($1:48)&gt;COUNT(Dong3),"",OFFSET(TH!M$1,SMALL(Dong3,ROWS($1:48)),))</f>
        <v>553150</v>
      </c>
      <c r="E60" s="255"/>
    </row>
    <row r="61" spans="1:5" ht="18" customHeight="1">
      <c r="A61" s="265" t="str">
        <f ca="1">IF(ROWS($1:49)&gt;COUNT(Dong3),"",OFFSET(TH!D$1,SMALL(Dong3,ROWS($1:49)),))</f>
        <v/>
      </c>
      <c r="B61" s="254" t="str">
        <f ca="1">IF(ROWS($1:49)&gt;COUNT(Dong3),"",OFFSET(TH!E$1,SMALL(Dong3,ROWS($1:49)),))</f>
        <v/>
      </c>
      <c r="C61" s="264" t="str">
        <f ca="1">IF(ROWS($1:49)&gt;COUNT(Dong3),"",OFFSET(TH!F$1,SMALL(Dong3,ROWS($1:49)),))</f>
        <v/>
      </c>
      <c r="D61" s="266" t="str">
        <f ca="1">IF(ROWS($1:49)&gt;COUNT(Dong3),"",OFFSET(TH!M$1,SMALL(Dong3,ROWS($1:49)),))</f>
        <v/>
      </c>
      <c r="E61" s="255"/>
    </row>
    <row r="62" spans="1:5" ht="18" customHeight="1">
      <c r="A62" s="265" t="str">
        <f ca="1">IF(ROWS($1:50)&gt;COUNT(Dong3),"",OFFSET(TH!D$1,SMALL(Dong3,ROWS($1:50)),))</f>
        <v/>
      </c>
      <c r="B62" s="254" t="str">
        <f ca="1">IF(ROWS($1:50)&gt;COUNT(Dong3),"",OFFSET(TH!E$1,SMALL(Dong3,ROWS($1:50)),))</f>
        <v/>
      </c>
      <c r="C62" s="264" t="str">
        <f ca="1">IF(ROWS($1:50)&gt;COUNT(Dong3),"",OFFSET(TH!F$1,SMALL(Dong3,ROWS($1:50)),))</f>
        <v/>
      </c>
      <c r="D62" s="266" t="str">
        <f ca="1">IF(ROWS($1:50)&gt;COUNT(Dong3),"",OFFSET(TH!M$1,SMALL(Dong3,ROWS($1:50)),))</f>
        <v/>
      </c>
      <c r="E62" s="255"/>
    </row>
    <row r="63" spans="1:5" ht="18" customHeight="1">
      <c r="A63" s="265" t="str">
        <f ca="1">IF(ROWS($1:51)&gt;COUNT(Dong3),"",OFFSET(TH!D$1,SMALL(Dong3,ROWS($1:51)),))</f>
        <v/>
      </c>
      <c r="B63" s="254" t="str">
        <f ca="1">IF(ROWS($1:51)&gt;COUNT(Dong3),"",OFFSET(TH!E$1,SMALL(Dong3,ROWS($1:51)),))</f>
        <v/>
      </c>
      <c r="C63" s="264" t="str">
        <f ca="1">IF(ROWS($1:51)&gt;COUNT(Dong3),"",OFFSET(TH!F$1,SMALL(Dong3,ROWS($1:51)),))</f>
        <v/>
      </c>
      <c r="D63" s="266" t="str">
        <f ca="1">IF(ROWS($1:51)&gt;COUNT(Dong3),"",OFFSET(TH!M$1,SMALL(Dong3,ROWS($1:51)),))</f>
        <v/>
      </c>
      <c r="E63" s="255"/>
    </row>
    <row r="64" spans="1:5" ht="18" customHeight="1">
      <c r="A64" s="265" t="str">
        <f ca="1">IF(ROWS($1:52)&gt;COUNT(Dong3),"",OFFSET(TH!D$1,SMALL(Dong3,ROWS($1:52)),))</f>
        <v/>
      </c>
      <c r="B64" s="254" t="str">
        <f ca="1">IF(ROWS($1:52)&gt;COUNT(Dong3),"",OFFSET(TH!E$1,SMALL(Dong3,ROWS($1:52)),))</f>
        <v/>
      </c>
      <c r="C64" s="264" t="str">
        <f ca="1">IF(ROWS($1:52)&gt;COUNT(Dong3),"",OFFSET(TH!F$1,SMALL(Dong3,ROWS($1:52)),))</f>
        <v/>
      </c>
      <c r="D64" s="266" t="str">
        <f ca="1">IF(ROWS($1:52)&gt;COUNT(Dong3),"",OFFSET(TH!M$1,SMALL(Dong3,ROWS($1:52)),))</f>
        <v/>
      </c>
      <c r="E64" s="255"/>
    </row>
    <row r="65" spans="1:5" ht="18" customHeight="1">
      <c r="A65" s="265" t="str">
        <f ca="1">IF(ROWS($1:53)&gt;COUNT(Dong3),"",OFFSET(TH!D$1,SMALL(Dong3,ROWS($1:53)),))</f>
        <v/>
      </c>
      <c r="B65" s="254" t="str">
        <f ca="1">IF(ROWS($1:53)&gt;COUNT(Dong3),"",OFFSET(TH!E$1,SMALL(Dong3,ROWS($1:53)),))</f>
        <v/>
      </c>
      <c r="C65" s="264" t="str">
        <f ca="1">IF(ROWS($1:53)&gt;COUNT(Dong3),"",OFFSET(TH!F$1,SMALL(Dong3,ROWS($1:53)),))</f>
        <v/>
      </c>
      <c r="D65" s="266" t="str">
        <f ca="1">IF(ROWS($1:53)&gt;COUNT(Dong3),"",OFFSET(TH!M$1,SMALL(Dong3,ROWS($1:53)),))</f>
        <v/>
      </c>
      <c r="E65" s="255"/>
    </row>
    <row r="66" spans="1:5" ht="18" customHeight="1">
      <c r="A66" s="265"/>
      <c r="B66" s="254"/>
      <c r="C66" s="414"/>
      <c r="D66" s="415"/>
      <c r="E66" s="416"/>
    </row>
    <row r="67" spans="1:5" s="245" customFormat="1" ht="18" customHeight="1">
      <c r="A67" s="256"/>
      <c r="B67" s="257"/>
      <c r="C67" s="258" t="s">
        <v>264</v>
      </c>
      <c r="D67" s="259">
        <f ca="1">SUM(D13:D66)</f>
        <v>35262194</v>
      </c>
      <c r="E67" s="259">
        <f>SUM(E13:E65)</f>
        <v>0</v>
      </c>
    </row>
    <row r="68" spans="1:5" s="245" customFormat="1" ht="18" customHeight="1">
      <c r="A68" s="260"/>
      <c r="B68" s="261"/>
      <c r="C68" s="258" t="s">
        <v>265</v>
      </c>
      <c r="D68" s="259">
        <f ca="1">IF(D67+D11-E67&gt;0,D11+D67-E67,0)</f>
        <v>35262194</v>
      </c>
      <c r="E68" s="259"/>
    </row>
    <row r="70" spans="1:5">
      <c r="B70" s="262" t="s">
        <v>266</v>
      </c>
    </row>
    <row r="71" spans="1:5">
      <c r="B71" s="263" t="str">
        <f ca="1">IF(YEAR($B$13)&lt;&gt;2015,"- Ngày mở sổ: 01/01/2015","- Ngày mở sổ: "&amp;DAY($B$13)&amp;"/"&amp;MONTH($B$13)&amp;"/ 2015")</f>
        <v>- Ngày mở sổ: 01/01/2015</v>
      </c>
    </row>
    <row r="72" spans="1:5">
      <c r="D72" s="186" t="str">
        <f>"Trà Vinh, Ngày "&amp;IF(OR($J$9=3,$J$9=12),"31","30")&amp;" tháng "&amp;$J$9&amp;"  năm  2015 "</f>
        <v xml:space="preserve">Trà Vinh, Ngày 31 tháng 3  năm  2015 </v>
      </c>
    </row>
    <row r="73" spans="1:5" s="240" customFormat="1">
      <c r="A73" s="4"/>
      <c r="B73" s="240" t="s">
        <v>14</v>
      </c>
      <c r="D73" s="240" t="s">
        <v>15</v>
      </c>
    </row>
    <row r="74" spans="1:5" s="240" customFormat="1">
      <c r="A74" s="4"/>
      <c r="B74" s="240" t="s">
        <v>16</v>
      </c>
      <c r="D74" s="240"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H31"/>
  <sheetViews>
    <sheetView showZeros="0" workbookViewId="0">
      <pane ySplit="3" topLeftCell="A4" activePane="bottomLeft" state="frozen"/>
      <selection pane="bottomLeft" activeCell="B23" sqref="B23"/>
    </sheetView>
  </sheetViews>
  <sheetFormatPr defaultColWidth="8" defaultRowHeight="13.5"/>
  <cols>
    <col min="1" max="1" width="5.5703125" style="267" customWidth="1"/>
    <col min="2" max="2" width="59.140625" style="267" customWidth="1"/>
    <col min="3" max="8" width="16.42578125" style="267" customWidth="1"/>
    <col min="9" max="16384" width="8" style="267"/>
  </cols>
  <sheetData>
    <row r="1" spans="1:8" ht="27" customHeight="1">
      <c r="A1" s="1124" t="s">
        <v>182</v>
      </c>
      <c r="B1" s="1124"/>
      <c r="C1" s="1124"/>
      <c r="D1" s="1124"/>
      <c r="E1" s="1124"/>
      <c r="F1" s="1124"/>
      <c r="G1" s="1124"/>
      <c r="H1" s="1124"/>
    </row>
    <row r="2" spans="1:8" s="10" customFormat="1" ht="14.25" customHeight="1">
      <c r="A2" s="1152" t="s">
        <v>46</v>
      </c>
      <c r="B2" s="1154" t="s">
        <v>47</v>
      </c>
      <c r="C2" s="1150" t="s">
        <v>48</v>
      </c>
      <c r="D2" s="1151"/>
      <c r="E2" s="1150" t="s">
        <v>49</v>
      </c>
      <c r="F2" s="1151"/>
      <c r="G2" s="1150" t="s">
        <v>60</v>
      </c>
      <c r="H2" s="1151"/>
    </row>
    <row r="3" spans="1:8" s="10" customFormat="1" ht="14.25" customHeight="1">
      <c r="A3" s="1153"/>
      <c r="B3" s="1155"/>
      <c r="C3" s="374" t="s">
        <v>61</v>
      </c>
      <c r="D3" s="374" t="s">
        <v>62</v>
      </c>
      <c r="E3" s="374" t="s">
        <v>61</v>
      </c>
      <c r="F3" s="374" t="s">
        <v>62</v>
      </c>
      <c r="G3" s="374" t="s">
        <v>61</v>
      </c>
      <c r="H3" s="374" t="s">
        <v>62</v>
      </c>
    </row>
    <row r="4" spans="1:8" s="10" customFormat="1" ht="16.5" customHeight="1">
      <c r="A4" s="6">
        <f>IF(B4&lt;&gt;"",ROW()-3,"")</f>
        <v>1</v>
      </c>
      <c r="B4" s="7" t="s">
        <v>50</v>
      </c>
      <c r="C4" s="8">
        <v>0</v>
      </c>
      <c r="D4" s="8">
        <v>0</v>
      </c>
      <c r="E4" s="8">
        <f t="array" ref="E4">SUM(IF("331"&amp;B4=KHN&amp;KH,TH))</f>
        <v>64768000</v>
      </c>
      <c r="F4" s="8">
        <f t="array" ref="F4">SUM(IF("331"&amp;B4=KHC&amp;KH,TH))</f>
        <v>34408000</v>
      </c>
      <c r="G4" s="92">
        <f t="shared" ref="G4:G10" si="0">ROUND(MAX(C4+E4-D4-F4,0),2)</f>
        <v>30360000</v>
      </c>
      <c r="H4" s="92">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2">
        <f t="shared" si="0"/>
        <v>0</v>
      </c>
      <c r="H5" s="92">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2">
        <f t="shared" si="0"/>
        <v>850000000</v>
      </c>
      <c r="H6" s="92">
        <f t="shared" si="1"/>
        <v>0</v>
      </c>
    </row>
    <row r="7" spans="1:8" s="10" customFormat="1" ht="16.5" customHeight="1">
      <c r="A7" s="6">
        <f t="shared" si="2"/>
        <v>4</v>
      </c>
      <c r="B7" s="7" t="s">
        <v>163</v>
      </c>
      <c r="C7" s="8">
        <v>0</v>
      </c>
      <c r="D7" s="8">
        <v>92291900</v>
      </c>
      <c r="E7" s="8">
        <f t="array" ref="E7">SUM(IF("331"&amp;B7=KHN&amp;KH,TH))</f>
        <v>92291900</v>
      </c>
      <c r="F7" s="8">
        <f t="array" ref="F7">SUM(IF("331"&amp;B7=KHC&amp;KH,TH))</f>
        <v>0</v>
      </c>
      <c r="G7" s="92">
        <f t="shared" si="0"/>
        <v>0</v>
      </c>
      <c r="H7" s="92">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2">
        <f t="shared" si="0"/>
        <v>0</v>
      </c>
      <c r="H8" s="92">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2">
        <f t="shared" si="0"/>
        <v>0</v>
      </c>
      <c r="H9" s="92">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2">
        <f t="shared" si="0"/>
        <v>360000000</v>
      </c>
      <c r="H10" s="92">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2">
        <f t="shared" ref="G11:G22" si="3">ROUND(MAX(C11+E11-D11-F11,0),2)</f>
        <v>60000000</v>
      </c>
      <c r="H11" s="92">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2">
        <f>ROUND(MAX(C12+E12-D12-F12,0),2)</f>
        <v>0</v>
      </c>
      <c r="H12" s="92">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2">
        <f>ROUND(MAX(C13+E13-D13-F13,0),2)</f>
        <v>0</v>
      </c>
      <c r="H13" s="92">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2">
        <f>ROUND(MAX(C14+E14-D14-F14,0),2)</f>
        <v>0</v>
      </c>
      <c r="H14" s="92">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2">
        <f>ROUND(MAX(C15+E15-D15-F15,0),2)</f>
        <v>0</v>
      </c>
      <c r="H15" s="92">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2">
        <f>ROUND(MAX(C16+E16-D16-F16,0),2)</f>
        <v>0</v>
      </c>
      <c r="H16" s="92">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2">
        <f t="shared" si="3"/>
        <v>0</v>
      </c>
      <c r="H17" s="92">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2">
        <f t="shared" si="3"/>
        <v>0</v>
      </c>
      <c r="H18" s="92">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2">
        <f t="shared" si="3"/>
        <v>0</v>
      </c>
      <c r="H19" s="92">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0</v>
      </c>
      <c r="G20" s="92">
        <f t="shared" si="3"/>
        <v>360000000</v>
      </c>
      <c r="H20" s="92">
        <f t="shared" si="4"/>
        <v>0</v>
      </c>
    </row>
    <row r="21" spans="1:8" s="10" customFormat="1" ht="16.5" customHeight="1">
      <c r="A21" s="6">
        <f t="shared" si="2"/>
        <v>18</v>
      </c>
      <c r="B21" s="7" t="s">
        <v>222</v>
      </c>
      <c r="C21" s="8">
        <v>0</v>
      </c>
      <c r="D21" s="8">
        <v>0</v>
      </c>
      <c r="E21" s="8">
        <f t="array" ref="E21">SUM(IF("331"&amp;B21=KHN&amp;KH,TH))</f>
        <v>442420880</v>
      </c>
      <c r="F21" s="8">
        <f t="array" ref="F21">SUM(IF("331"&amp;B21=KHC&amp;KH,TH))</f>
        <v>495556270</v>
      </c>
      <c r="G21" s="92">
        <f t="shared" si="3"/>
        <v>0</v>
      </c>
      <c r="H21" s="92">
        <f t="shared" si="4"/>
        <v>53135390</v>
      </c>
    </row>
    <row r="22" spans="1:8" s="10" customFormat="1" ht="16.5" customHeight="1">
      <c r="A22" s="6">
        <f t="shared" si="2"/>
        <v>19</v>
      </c>
      <c r="B22" s="7" t="s">
        <v>317</v>
      </c>
      <c r="C22" s="8">
        <v>0</v>
      </c>
      <c r="D22" s="8">
        <v>0</v>
      </c>
      <c r="E22" s="8">
        <f t="array" ref="E22">SUM(IF("331"&amp;B22=KHN&amp;KH,TH))</f>
        <v>11539968</v>
      </c>
      <c r="F22" s="8">
        <f t="array" ref="F22">SUM(IF("331"&amp;B22=KHC&amp;KH,TH))</f>
        <v>19683840</v>
      </c>
      <c r="G22" s="92">
        <f t="shared" si="3"/>
        <v>0</v>
      </c>
      <c r="H22" s="92">
        <f t="shared" si="4"/>
        <v>8143872</v>
      </c>
    </row>
    <row r="23" spans="1:8" s="10" customFormat="1" ht="16.5" customHeight="1">
      <c r="A23" s="6">
        <f t="shared" si="2"/>
        <v>20</v>
      </c>
      <c r="B23" s="67" t="s">
        <v>768</v>
      </c>
      <c r="C23" s="8">
        <v>0</v>
      </c>
      <c r="D23" s="8">
        <v>0</v>
      </c>
      <c r="E23" s="8">
        <f t="array" ref="E23">SUM(IF("331"&amp;B23=KHN&amp;KH,TH))</f>
        <v>0</v>
      </c>
      <c r="F23" s="8">
        <f t="array" ref="F23">SUM(IF("331"&amp;B23=KHC&amp;KH,TH))</f>
        <v>40920000</v>
      </c>
      <c r="G23" s="92">
        <f t="shared" ref="G23:G25" si="5">ROUND(MAX(C23+E23-D23-F23,0),2)</f>
        <v>0</v>
      </c>
      <c r="H23" s="92">
        <f t="shared" ref="H23:H25" si="6">ROUND(MAX(D23+F23-C23-E23,0),2)</f>
        <v>40920000</v>
      </c>
    </row>
    <row r="24" spans="1:8" s="10" customFormat="1" ht="16.5" customHeight="1">
      <c r="A24" s="6" t="str">
        <f t="shared" si="2"/>
        <v/>
      </c>
      <c r="B24" s="7"/>
      <c r="C24" s="8">
        <v>0</v>
      </c>
      <c r="D24" s="8">
        <v>0</v>
      </c>
      <c r="E24" s="8">
        <f t="array" ref="E24">SUM(IF("331"&amp;B24=KHN&amp;KH,TH))</f>
        <v>0</v>
      </c>
      <c r="F24" s="8">
        <f t="array" ref="F24">SUM(IF("331"&amp;B24=KHC&amp;KH,TH))</f>
        <v>0</v>
      </c>
      <c r="G24" s="92">
        <f t="shared" si="5"/>
        <v>0</v>
      </c>
      <c r="H24" s="92">
        <f t="shared" si="6"/>
        <v>0</v>
      </c>
    </row>
    <row r="25" spans="1:8" s="10" customFormat="1" ht="16.5" customHeight="1">
      <c r="A25" s="6" t="str">
        <f t="shared" si="2"/>
        <v/>
      </c>
      <c r="B25" s="7"/>
      <c r="C25" s="8">
        <v>0</v>
      </c>
      <c r="D25" s="8">
        <v>0</v>
      </c>
      <c r="E25" s="8">
        <f t="array" ref="E25">SUM(IF("331"&amp;B25=KHN&amp;KH,TH))</f>
        <v>0</v>
      </c>
      <c r="F25" s="8">
        <f t="array" ref="F25">SUM(IF("331"&amp;B25=KHC&amp;KH,TH))</f>
        <v>0</v>
      </c>
      <c r="G25" s="92">
        <f t="shared" si="5"/>
        <v>0</v>
      </c>
      <c r="H25" s="92">
        <f t="shared" si="6"/>
        <v>0</v>
      </c>
    </row>
    <row r="26" spans="1:8" s="10" customFormat="1" ht="16.5" customHeight="1">
      <c r="A26" s="6" t="str">
        <f t="shared" si="2"/>
        <v/>
      </c>
      <c r="B26" s="74"/>
      <c r="C26" s="8"/>
      <c r="D26" s="8"/>
      <c r="E26" s="8"/>
      <c r="F26" s="8"/>
      <c r="G26" s="92"/>
      <c r="H26" s="92"/>
    </row>
    <row r="27" spans="1:8" s="14" customFormat="1" ht="14.25" customHeight="1">
      <c r="A27" s="11"/>
      <c r="B27" s="12" t="s">
        <v>56</v>
      </c>
      <c r="C27" s="13">
        <f t="shared" ref="C27:H27" si="7">SUM(C4:C26)</f>
        <v>6538400000</v>
      </c>
      <c r="D27" s="13">
        <f t="shared" si="7"/>
        <v>2228368236</v>
      </c>
      <c r="E27" s="13">
        <f t="shared" si="7"/>
        <v>2854957314</v>
      </c>
      <c r="F27" s="13">
        <f t="shared" si="7"/>
        <v>8784611899</v>
      </c>
      <c r="G27" s="13">
        <f t="shared" si="7"/>
        <v>1660360000</v>
      </c>
      <c r="H27" s="13">
        <f t="shared" si="7"/>
        <v>3279982821</v>
      </c>
    </row>
    <row r="29" spans="1:8">
      <c r="E29" s="15">
        <f>CDPS!E34</f>
        <v>2854957314</v>
      </c>
      <c r="F29" s="15">
        <f>CDPS!F34</f>
        <v>8784611899</v>
      </c>
    </row>
    <row r="31" spans="1:8">
      <c r="E31" s="274">
        <f>E27-E29</f>
        <v>0</v>
      </c>
      <c r="F31" s="274">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H17" sqref="H17:H19"/>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6" t="s">
        <v>86</v>
      </c>
      <c r="I1" s="1156"/>
      <c r="J1" s="1156"/>
    </row>
    <row r="2" spans="1:10" s="3" customFormat="1" ht="14.25" customHeight="1">
      <c r="A2" s="1" t="s">
        <v>18</v>
      </c>
      <c r="B2" s="16"/>
      <c r="C2" s="16"/>
      <c r="G2" s="17"/>
      <c r="H2" s="1157" t="s">
        <v>87</v>
      </c>
      <c r="I2" s="1157"/>
      <c r="J2" s="1157"/>
    </row>
    <row r="3" spans="1:10" s="3" customFormat="1" ht="14.25" customHeight="1">
      <c r="A3" s="4"/>
      <c r="B3" s="16"/>
      <c r="C3" s="16"/>
      <c r="G3" s="17"/>
      <c r="H3" s="1157"/>
      <c r="I3" s="1157"/>
      <c r="J3" s="1157"/>
    </row>
    <row r="4" spans="1:10" s="5" customFormat="1" ht="28.5" customHeight="1">
      <c r="A4" s="1163" t="s">
        <v>33</v>
      </c>
      <c r="B4" s="1163"/>
      <c r="C4" s="1163"/>
      <c r="D4" s="1163"/>
      <c r="E4" s="1163"/>
      <c r="F4" s="1163"/>
      <c r="G4" s="1163"/>
      <c r="H4" s="1163"/>
      <c r="I4" s="1163"/>
      <c r="J4" s="1163"/>
    </row>
    <row r="5" spans="1:10" s="18" customFormat="1" ht="14.25" customHeight="1">
      <c r="E5" s="19" t="s">
        <v>34</v>
      </c>
    </row>
    <row r="6" spans="1:10" s="18" customFormat="1" ht="14.25" customHeight="1">
      <c r="E6" s="19" t="s">
        <v>35</v>
      </c>
    </row>
    <row r="7" spans="1:10" s="18" customFormat="1" ht="14.25" customHeight="1">
      <c r="D7" s="20" t="s">
        <v>85</v>
      </c>
      <c r="E7" s="1158" t="s">
        <v>768</v>
      </c>
      <c r="F7" s="1158"/>
      <c r="G7" s="1158"/>
      <c r="H7" s="1158"/>
    </row>
    <row r="8" spans="1:10" s="18" customFormat="1" ht="14.25" customHeight="1">
      <c r="E8" s="19" t="s">
        <v>36</v>
      </c>
    </row>
    <row r="9" spans="1:10" s="18" customFormat="1" ht="6.75" customHeight="1">
      <c r="B9" s="19"/>
      <c r="C9" s="1159"/>
      <c r="D9" s="1159"/>
      <c r="E9" s="1159"/>
      <c r="F9" s="1159"/>
      <c r="G9" s="1159"/>
      <c r="H9" s="1159"/>
      <c r="I9" s="1159"/>
      <c r="J9" s="1159"/>
    </row>
    <row r="10" spans="1:10" s="18" customFormat="1" ht="14.25" customHeight="1">
      <c r="A10" s="1106" t="s">
        <v>27</v>
      </c>
      <c r="B10" s="1160" t="s">
        <v>1</v>
      </c>
      <c r="C10" s="1160"/>
      <c r="D10" s="1106" t="s">
        <v>0</v>
      </c>
      <c r="E10" s="1106" t="s">
        <v>19</v>
      </c>
      <c r="F10" s="1106" t="s">
        <v>37</v>
      </c>
      <c r="G10" s="1161" t="s">
        <v>28</v>
      </c>
      <c r="H10" s="1162"/>
      <c r="I10" s="1161" t="s">
        <v>38</v>
      </c>
      <c r="J10" s="1162"/>
    </row>
    <row r="11" spans="1:10" s="18" customFormat="1" ht="24.75" customHeight="1">
      <c r="A11" s="1106"/>
      <c r="B11" s="30" t="s">
        <v>20</v>
      </c>
      <c r="C11" s="30" t="s">
        <v>39</v>
      </c>
      <c r="D11" s="1106"/>
      <c r="E11" s="1106"/>
      <c r="F11" s="1106"/>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VLOOKUP($E$7,'331'!$B$4:$H$26,2,0)</f>
        <v>0</v>
      </c>
      <c r="J13" s="80">
        <f>VLOOKUP($E$7,'331'!$B$4:$H$26,3,0)</f>
        <v>0</v>
      </c>
    </row>
    <row r="14" spans="1:10" s="18" customFormat="1" ht="18" customHeight="1">
      <c r="A14" s="9">
        <f ca="1">IF(C14&lt;&gt;"",C14,"")</f>
        <v>42441</v>
      </c>
      <c r="B14" s="9" t="str">
        <f ca="1">IF(ROWS($1:1)&gt;COUNT(Dong),"",OFFSET(TH!D$1,SMALL(Dong,ROWS($1:1)),))</f>
        <v>VL/N01</v>
      </c>
      <c r="C14" s="9">
        <f ca="1">IF(ROWS($1:1)&gt;COUNT(Dong),"",OFFSET(TH!E$1,SMALL(Dong,ROWS($1:1)),))</f>
        <v>42441</v>
      </c>
      <c r="D14" s="439" t="str">
        <f ca="1">IF(ROWS($1:1)&gt;COUNT(Dong),"",OFFSET(TH!F$1,SMALL(Dong,ROWS($1:1)),))</f>
        <v>Túi PE 86*75</v>
      </c>
      <c r="E14" s="79" t="str">
        <f ca="1">IF(ROWS($1:1)&gt;COUNT(Dong),"",IF(OFFSET(TH!N$1,SMALL(Dong,ROWS($1:1)),)="331",OFFSET(TH!O$1,SMALL(Dong,ROWS($1:1)),),OFFSET(TH!N$1,SMALL(Dong,ROWS($1:1)),)))</f>
        <v>1522</v>
      </c>
      <c r="F14" s="79"/>
      <c r="G14" s="101">
        <f ca="1">IF(ROWS($1:1)&gt;COUNT(Dong),"",IF(OFFSET(TH!N$1,SMALL(Dong,ROWS($1:1)),)="331",OFFSET(TH!M$1,SMALL(Dong,ROWS($1:1)),),0))</f>
        <v>0</v>
      </c>
      <c r="H14" s="101">
        <f ca="1">IF(ROWS($1:1)&gt;COUNT(Dong),"",IF(OFFSET(TH!O$1,SMALL(Dong,ROWS($1:1)),)="331",OFFSET(TH!M$1,SMALL(Dong,ROWS($1:1)),),0))</f>
        <v>16500000</v>
      </c>
      <c r="I14" s="25">
        <f ca="1">IF(D14&lt;&gt;"",MAX(I13+G14-H14-J13,0),0)</f>
        <v>0</v>
      </c>
      <c r="J14" s="25">
        <f ca="1">IF(D14&lt;&gt;"",MAX(J13+H14-I13-G14,0),0)</f>
        <v>16500000</v>
      </c>
    </row>
    <row r="15" spans="1:10" s="18" customFormat="1" ht="18" customHeight="1">
      <c r="A15" s="9">
        <f t="shared" ref="A15:A30" ca="1" si="0">IF(C15&lt;&gt;"",C15,"")</f>
        <v>42441</v>
      </c>
      <c r="B15" s="9" t="str">
        <f ca="1">IF(ROWS($1:2)&gt;COUNT(Dong),"",OFFSET(TH!D$1,SMALL(Dong,ROWS($1:2)),))</f>
        <v>VL/N01</v>
      </c>
      <c r="C15" s="9">
        <f ca="1">IF(ROWS($1:2)&gt;COUNT(Dong),"",OFFSET(TH!E$1,SMALL(Dong,ROWS($1:2)),))</f>
        <v>42441</v>
      </c>
      <c r="D15" s="439" t="str">
        <f ca="1">IF(ROWS($1:2)&gt;COUNT(Dong),"",OFFSET(TH!F$1,SMALL(Dong,ROWS($1:2)),))</f>
        <v>Túi PE 40*60</v>
      </c>
      <c r="E15" s="79" t="str">
        <f ca="1">IF(ROWS($1:2)&gt;COUNT(Dong),"",IF(OFFSET(TH!N$1,SMALL(Dong,ROWS($1:2)),)="331",OFFSET(TH!O$1,SMALL(Dong,ROWS($1:2)),),OFFSET(TH!N$1,SMALL(Dong,ROWS($1:2)),)))</f>
        <v>1522</v>
      </c>
      <c r="F15" s="79"/>
      <c r="G15" s="101">
        <f ca="1">IF(ROWS($1:2)&gt;COUNT(Dong),"",IF(OFFSET(TH!N$1,SMALL(Dong,ROWS($1:2)),)="331",OFFSET(TH!M$1,SMALL(Dong,ROWS($1:2)),),0))</f>
        <v>0</v>
      </c>
      <c r="H15" s="101">
        <f ca="1">IF(ROWS($1:2)&gt;COUNT(Dong),"",IF(OFFSET(TH!O$1,SMALL(Dong,ROWS($1:2)),)="331",OFFSET(TH!M$1,SMALL(Dong,ROWS($1:2)),),0))</f>
        <v>16500000</v>
      </c>
      <c r="I15" s="25">
        <f t="shared" ref="I15:I30" ca="1" si="1">IF(D15&lt;&gt;"",MAX(I14+G15-H15-J14,0),0)</f>
        <v>0</v>
      </c>
      <c r="J15" s="25">
        <f t="shared" ref="J15:J30" ca="1" si="2">IF(D15&lt;&gt;"",MAX(J14+H15-I14-G15,0),0)</f>
        <v>33000000</v>
      </c>
    </row>
    <row r="16" spans="1:10" s="18" customFormat="1" ht="18" customHeight="1">
      <c r="A16" s="9">
        <f t="shared" ca="1" si="0"/>
        <v>42441</v>
      </c>
      <c r="B16" s="9" t="str">
        <f ca="1">IF(ROWS($1:3)&gt;COUNT(Dong),"",OFFSET(TH!D$1,SMALL(Dong,ROWS($1:3)),))</f>
        <v>VL/N01</v>
      </c>
      <c r="C16" s="9">
        <f ca="1">IF(ROWS($1:3)&gt;COUNT(Dong),"",OFFSET(TH!E$1,SMALL(Dong,ROWS($1:3)),))</f>
        <v>42441</v>
      </c>
      <c r="D16" s="439" t="str">
        <f ca="1">IF(ROWS($1:3)&gt;COUNT(Dong),"",OFFSET(TH!F$1,SMALL(Dong,ROWS($1:3)),))</f>
        <v>VAT Túi PE</v>
      </c>
      <c r="E16" s="79" t="str">
        <f ca="1">IF(ROWS($1:3)&gt;COUNT(Dong),"",IF(OFFSET(TH!N$1,SMALL(Dong,ROWS($1:3)),)="331",OFFSET(TH!O$1,SMALL(Dong,ROWS($1:3)),),OFFSET(TH!N$1,SMALL(Dong,ROWS($1:3)),)))</f>
        <v>1331</v>
      </c>
      <c r="F16" s="79"/>
      <c r="G16" s="101">
        <f ca="1">IF(ROWS($1:3)&gt;COUNT(Dong),"",IF(OFFSET(TH!N$1,SMALL(Dong,ROWS($1:3)),)="331",OFFSET(TH!M$1,SMALL(Dong,ROWS($1:3)),),0))</f>
        <v>0</v>
      </c>
      <c r="H16" s="101">
        <f ca="1">IF(ROWS($1:3)&gt;COUNT(Dong),"",IF(OFFSET(TH!O$1,SMALL(Dong,ROWS($1:3)),)="331",OFFSET(TH!M$1,SMALL(Dong,ROWS($1:3)),),0))</f>
        <v>3300000</v>
      </c>
      <c r="I16" s="25">
        <f t="shared" ca="1" si="1"/>
        <v>0</v>
      </c>
      <c r="J16" s="25">
        <f t="shared" ca="1" si="2"/>
        <v>36300000</v>
      </c>
    </row>
    <row r="17" spans="1:10" s="18" customFormat="1" ht="18" customHeight="1">
      <c r="A17" s="9">
        <f t="shared" ca="1" si="0"/>
        <v>42472</v>
      </c>
      <c r="B17" s="9" t="str">
        <f ca="1">IF(ROWS($1:4)&gt;COUNT(Dong),"",OFFSET(TH!D$1,SMALL(Dong,ROWS($1:4)),))</f>
        <v>VL/N01</v>
      </c>
      <c r="C17" s="9">
        <f ca="1">IF(ROWS($1:4)&gt;COUNT(Dong),"",OFFSET(TH!E$1,SMALL(Dong,ROWS($1:4)),))</f>
        <v>42472</v>
      </c>
      <c r="D17" s="439" t="str">
        <f ca="1">IF(ROWS($1:4)&gt;COUNT(Dong),"",OFFSET(TH!F$1,SMALL(Dong,ROWS($1:4)),))</f>
        <v>Túi PA Trắng (18x28)</v>
      </c>
      <c r="E17" s="79" t="str">
        <f ca="1">IF(ROWS($1:4)&gt;COUNT(Dong),"",IF(OFFSET(TH!N$1,SMALL(Dong,ROWS($1:4)),)="331",OFFSET(TH!O$1,SMALL(Dong,ROWS($1:4)),),OFFSET(TH!N$1,SMALL(Dong,ROWS($1:4)),)))</f>
        <v>1522</v>
      </c>
      <c r="F17" s="79"/>
      <c r="G17" s="101">
        <f ca="1">IF(ROWS($1:4)&gt;COUNT(Dong),"",IF(OFFSET(TH!N$1,SMALL(Dong,ROWS($1:4)),)="331",OFFSET(TH!M$1,SMALL(Dong,ROWS($1:4)),),0))</f>
        <v>0</v>
      </c>
      <c r="H17" s="101">
        <f ca="1">IF(ROWS($1:4)&gt;COUNT(Dong),"",IF(OFFSET(TH!O$1,SMALL(Dong,ROWS($1:4)),)="331",OFFSET(TH!M$1,SMALL(Dong,ROWS($1:4)),),0))</f>
        <v>2400000</v>
      </c>
      <c r="I17" s="25">
        <f t="shared" ca="1" si="1"/>
        <v>0</v>
      </c>
      <c r="J17" s="25">
        <f t="shared" ca="1" si="2"/>
        <v>38700000</v>
      </c>
    </row>
    <row r="18" spans="1:10" s="18" customFormat="1" ht="18" customHeight="1">
      <c r="A18" s="9">
        <f t="shared" ca="1" si="0"/>
        <v>42472</v>
      </c>
      <c r="B18" s="9" t="str">
        <f ca="1">IF(ROWS($1:5)&gt;COUNT(Dong),"",OFFSET(TH!D$1,SMALL(Dong,ROWS($1:5)),))</f>
        <v>VL/N01</v>
      </c>
      <c r="C18" s="9">
        <f ca="1">IF(ROWS($1:5)&gt;COUNT(Dong),"",OFFSET(TH!E$1,SMALL(Dong,ROWS($1:5)),))</f>
        <v>42472</v>
      </c>
      <c r="D18" s="439" t="str">
        <f ca="1">IF(ROWS($1:5)&gt;COUNT(Dong),"",OFFSET(TH!F$1,SMALL(Dong,ROWS($1:5)),))</f>
        <v>Túi PA Trắng (18x32)</v>
      </c>
      <c r="E18" s="79" t="str">
        <f ca="1">IF(ROWS($1:5)&gt;COUNT(Dong),"",IF(OFFSET(TH!N$1,SMALL(Dong,ROWS($1:5)),)="331",OFFSET(TH!O$1,SMALL(Dong,ROWS($1:5)),),OFFSET(TH!N$1,SMALL(Dong,ROWS($1:5)),)))</f>
        <v>1522</v>
      </c>
      <c r="F18" s="79"/>
      <c r="G18" s="101">
        <f ca="1">IF(ROWS($1:5)&gt;COUNT(Dong),"",IF(OFFSET(TH!N$1,SMALL(Dong,ROWS($1:5)),)="331",OFFSET(TH!M$1,SMALL(Dong,ROWS($1:5)),),0))</f>
        <v>0</v>
      </c>
      <c r="H18" s="101">
        <f ca="1">IF(ROWS($1:5)&gt;COUNT(Dong),"",IF(OFFSET(TH!O$1,SMALL(Dong,ROWS($1:5)),)="331",OFFSET(TH!M$1,SMALL(Dong,ROWS($1:5)),),0))</f>
        <v>1800000</v>
      </c>
      <c r="I18" s="25">
        <f t="shared" ca="1" si="1"/>
        <v>0</v>
      </c>
      <c r="J18" s="25">
        <f t="shared" ca="1" si="2"/>
        <v>40500000</v>
      </c>
    </row>
    <row r="19" spans="1:10" s="18" customFormat="1" ht="18" customHeight="1">
      <c r="A19" s="9">
        <f t="shared" ca="1" si="0"/>
        <v>42472</v>
      </c>
      <c r="B19" s="9" t="str">
        <f ca="1">IF(ROWS($1:6)&gt;COUNT(Dong),"",OFFSET(TH!D$1,SMALL(Dong,ROWS($1:6)),))</f>
        <v>VL/N01</v>
      </c>
      <c r="C19" s="9">
        <f ca="1">IF(ROWS($1:6)&gt;COUNT(Dong),"",OFFSET(TH!E$1,SMALL(Dong,ROWS($1:6)),))</f>
        <v>42472</v>
      </c>
      <c r="D19" s="439" t="str">
        <f ca="1">IF(ROWS($1:6)&gt;COUNT(Dong),"",OFFSET(TH!F$1,SMALL(Dong,ROWS($1:6)),))</f>
        <v>VAT túi PA</v>
      </c>
      <c r="E19" s="79" t="str">
        <f ca="1">IF(ROWS($1:6)&gt;COUNT(Dong),"",IF(OFFSET(TH!N$1,SMALL(Dong,ROWS($1:6)),)="331",OFFSET(TH!O$1,SMALL(Dong,ROWS($1:6)),),OFFSET(TH!N$1,SMALL(Dong,ROWS($1:6)),)))</f>
        <v>1331</v>
      </c>
      <c r="F19" s="79"/>
      <c r="G19" s="101">
        <f ca="1">IF(ROWS($1:6)&gt;COUNT(Dong),"",IF(OFFSET(TH!N$1,SMALL(Dong,ROWS($1:6)),)="331",OFFSET(TH!M$1,SMALL(Dong,ROWS($1:6)),),0))</f>
        <v>0</v>
      </c>
      <c r="H19" s="101">
        <f ca="1">IF(ROWS($1:6)&gt;COUNT(Dong),"",IF(OFFSET(TH!O$1,SMALL(Dong,ROWS($1:6)),)="331",OFFSET(TH!M$1,SMALL(Dong,ROWS($1:6)),),0))</f>
        <v>420000</v>
      </c>
      <c r="I19" s="25">
        <f t="shared" ca="1" si="1"/>
        <v>0</v>
      </c>
      <c r="J19" s="25">
        <f t="shared" ca="1" si="2"/>
        <v>40920000</v>
      </c>
    </row>
    <row r="20" spans="1:10" s="18" customFormat="1" ht="18" customHeight="1">
      <c r="A20" s="9" t="str">
        <f t="shared" ca="1" si="0"/>
        <v/>
      </c>
      <c r="B20" s="9" t="str">
        <f ca="1">IF(ROWS($1:7)&gt;COUNT(Dong),"",OFFSET(TH!D$1,SMALL(Dong,ROWS($1:7)),))</f>
        <v/>
      </c>
      <c r="C20" s="9" t="str">
        <f ca="1">IF(ROWS($1:7)&gt;COUNT(Dong),"",OFFSET(TH!E$1,SMALL(Dong,ROWS($1:7)),))</f>
        <v/>
      </c>
      <c r="D20" s="439" t="str">
        <f ca="1">IF(ROWS($1:7)&gt;COUNT(Dong),"",OFFSET(TH!F$1,SMALL(Dong,ROWS($1:7)),))</f>
        <v/>
      </c>
      <c r="E20" s="79" t="str">
        <f ca="1">IF(ROWS($1:7)&gt;COUNT(Dong),"",IF(OFFSET(TH!N$1,SMALL(Dong,ROWS($1:7)),)="331",OFFSET(TH!O$1,SMALL(Dong,ROWS($1:7)),),OFFSET(TH!N$1,SMALL(Dong,ROWS($1:7)),)))</f>
        <v/>
      </c>
      <c r="F20" s="79"/>
      <c r="G20" s="101" t="str">
        <f ca="1">IF(ROWS($1:7)&gt;COUNT(Dong),"",IF(OFFSET(TH!N$1,SMALL(Dong,ROWS($1:7)),)="331",OFFSET(TH!M$1,SMALL(Dong,ROWS($1:7)),),0))</f>
        <v/>
      </c>
      <c r="H20" s="101"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39" t="str">
        <f ca="1">IF(ROWS($1:8)&gt;COUNT(Dong),"",OFFSET(TH!F$1,SMALL(Dong,ROWS($1:8)),))</f>
        <v/>
      </c>
      <c r="E21" s="79" t="str">
        <f ca="1">IF(ROWS($1:8)&gt;COUNT(Dong),"",IF(OFFSET(TH!N$1,SMALL(Dong,ROWS($1:8)),)="331",OFFSET(TH!O$1,SMALL(Dong,ROWS($1:8)),),OFFSET(TH!N$1,SMALL(Dong,ROWS($1:8)),)))</f>
        <v/>
      </c>
      <c r="F21" s="79"/>
      <c r="G21" s="101" t="str">
        <f ca="1">IF(ROWS($1:8)&gt;COUNT(Dong),"",IF(OFFSET(TH!N$1,SMALL(Dong,ROWS($1:8)),)="331",OFFSET(TH!M$1,SMALL(Dong,ROWS($1:8)),),0))</f>
        <v/>
      </c>
      <c r="H21" s="101"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39" t="str">
        <f ca="1">IF(ROWS($1:9)&gt;COUNT(Dong),"",OFFSET(TH!F$1,SMALL(Dong,ROWS($1:9)),))</f>
        <v/>
      </c>
      <c r="E22" s="79" t="str">
        <f ca="1">IF(ROWS($1:9)&gt;COUNT(Dong),"",IF(OFFSET(TH!N$1,SMALL(Dong,ROWS($1:9)),)="331",OFFSET(TH!O$1,SMALL(Dong,ROWS($1:9)),),OFFSET(TH!N$1,SMALL(Dong,ROWS($1:9)),)))</f>
        <v/>
      </c>
      <c r="F22" s="79"/>
      <c r="G22" s="101" t="str">
        <f ca="1">IF(ROWS($1:9)&gt;COUNT(Dong),"",IF(OFFSET(TH!N$1,SMALL(Dong,ROWS($1:9)),)="331",OFFSET(TH!M$1,SMALL(Dong,ROWS($1:9)),),0))</f>
        <v/>
      </c>
      <c r="H22" s="101"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39" t="str">
        <f ca="1">IF(ROWS($1:10)&gt;COUNT(Dong),"",OFFSET(TH!F$1,SMALL(Dong,ROWS($1:10)),))</f>
        <v/>
      </c>
      <c r="E23" s="79" t="str">
        <f ca="1">IF(ROWS($1:10)&gt;COUNT(Dong),"",IF(OFFSET(TH!N$1,SMALL(Dong,ROWS($1:10)),)="331",OFFSET(TH!O$1,SMALL(Dong,ROWS($1:10)),),OFFSET(TH!N$1,SMALL(Dong,ROWS($1:10)),)))</f>
        <v/>
      </c>
      <c r="F23" s="79"/>
      <c r="G23" s="101" t="str">
        <f ca="1">IF(ROWS($1:10)&gt;COUNT(Dong),"",IF(OFFSET(TH!N$1,SMALL(Dong,ROWS($1:10)),)="331",OFFSET(TH!M$1,SMALL(Dong,ROWS($1:10)),),0))</f>
        <v/>
      </c>
      <c r="H23" s="101"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39" t="str">
        <f ca="1">IF(ROWS($1:11)&gt;COUNT(Dong),"",OFFSET(TH!F$1,SMALL(Dong,ROWS($1:11)),))</f>
        <v/>
      </c>
      <c r="E24" s="79" t="str">
        <f ca="1">IF(ROWS($1:11)&gt;COUNT(Dong),"",IF(OFFSET(TH!N$1,SMALL(Dong,ROWS($1:11)),)="331",OFFSET(TH!O$1,SMALL(Dong,ROWS($1:11)),),OFFSET(TH!N$1,SMALL(Dong,ROWS($1:11)),)))</f>
        <v/>
      </c>
      <c r="F24" s="79"/>
      <c r="G24" s="101" t="str">
        <f ca="1">IF(ROWS($1:11)&gt;COUNT(Dong),"",IF(OFFSET(TH!N$1,SMALL(Dong,ROWS($1:11)),)="331",OFFSET(TH!M$1,SMALL(Dong,ROWS($1:11)),),0))</f>
        <v/>
      </c>
      <c r="H24" s="101"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39" t="str">
        <f ca="1">IF(ROWS($1:12)&gt;COUNT(Dong),"",OFFSET(TH!F$1,SMALL(Dong,ROWS($1:12)),))</f>
        <v/>
      </c>
      <c r="E25" s="79" t="str">
        <f ca="1">IF(ROWS($1:12)&gt;COUNT(Dong),"",IF(OFFSET(TH!N$1,SMALL(Dong,ROWS($1:12)),)="331",OFFSET(TH!O$1,SMALL(Dong,ROWS($1:12)),),OFFSET(TH!N$1,SMALL(Dong,ROWS($1:12)),)))</f>
        <v/>
      </c>
      <c r="F25" s="79"/>
      <c r="G25" s="101" t="str">
        <f ca="1">IF(ROWS($1:12)&gt;COUNT(Dong),"",IF(OFFSET(TH!N$1,SMALL(Dong,ROWS($1:12)),)="331",OFFSET(TH!M$1,SMALL(Dong,ROWS($1:12)),),0))</f>
        <v/>
      </c>
      <c r="H25" s="101"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101" t="str">
        <f ca="1">IF(ROWS($1:13)&gt;COUNT(Dong),"",IF(OFFSET(TH!N$1,SMALL(Dong,ROWS($1:13)),)="331",OFFSET(TH!M$1,SMALL(Dong,ROWS($1:13)),),0))</f>
        <v/>
      </c>
      <c r="H26" s="101"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101" t="str">
        <f ca="1">IF(ROWS($1:14)&gt;COUNT(Dong),"",IF(OFFSET(TH!N$1,SMALL(Dong,ROWS($1:14)),)="331",OFFSET(TH!M$1,SMALL(Dong,ROWS($1:14)),),0))</f>
        <v/>
      </c>
      <c r="H27" s="101"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101" t="str">
        <f ca="1">IF(ROWS($1:15)&gt;COUNT(Dong),"",IF(OFFSET(TH!N$1,SMALL(Dong,ROWS($1:15)),)="331",OFFSET(TH!M$1,SMALL(Dong,ROWS($1:15)),),0))</f>
        <v/>
      </c>
      <c r="H28" s="101"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101" t="str">
        <f ca="1">IF(ROWS($1:16)&gt;COUNT(Dong),"",IF(OFFSET(TH!N$1,SMALL(Dong,ROWS($1:16)),)="331",OFFSET(TH!M$1,SMALL(Dong,ROWS($1:16)),),0))</f>
        <v/>
      </c>
      <c r="H29" s="101"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101" t="str">
        <f ca="1">IF(ROWS($1:17)&gt;COUNT(Dong),"",IF(OFFSET(TH!N$1,SMALL(Dong,ROWS($1:17)),)="331",OFFSET(TH!M$1,SMALL(Dong,ROWS($1:17)),),0))</f>
        <v/>
      </c>
      <c r="H30" s="101"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1" s="18" customFormat="1" ht="18" customHeight="1">
      <c r="A39" s="433"/>
      <c r="B39" s="433"/>
      <c r="C39" s="433"/>
      <c r="D39" s="434"/>
      <c r="E39" s="435"/>
      <c r="F39" s="435"/>
      <c r="G39" s="436"/>
      <c r="H39" s="436"/>
      <c r="I39" s="437"/>
      <c r="J39" s="437"/>
    </row>
    <row r="40" spans="1:11" s="18" customFormat="1" ht="18" customHeight="1">
      <c r="A40" s="24"/>
      <c r="B40" s="21"/>
      <c r="C40" s="26"/>
      <c r="D40" s="23" t="s">
        <v>43</v>
      </c>
      <c r="E40" s="21" t="s">
        <v>26</v>
      </c>
      <c r="F40" s="21" t="s">
        <v>26</v>
      </c>
      <c r="G40" s="27">
        <f ca="1">SUM(G14:G30)</f>
        <v>0</v>
      </c>
      <c r="H40" s="27">
        <f ca="1">SUM(H14:H30)</f>
        <v>40920000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40920000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94" t="s">
        <v>267</v>
      </c>
      <c r="F45" s="1094"/>
      <c r="G45" s="1094"/>
      <c r="H45" s="1094"/>
      <c r="I45" s="1094"/>
      <c r="J45" s="1094"/>
    </row>
    <row r="46" spans="1:11" s="18" customFormat="1" ht="14.25" customHeight="1">
      <c r="C46" s="422" t="s">
        <v>14</v>
      </c>
      <c r="E46" s="1094" t="s">
        <v>15</v>
      </c>
      <c r="F46" s="1094"/>
      <c r="G46" s="1094"/>
      <c r="H46" s="1094"/>
      <c r="I46" s="1094"/>
      <c r="J46" s="1094"/>
    </row>
    <row r="47" spans="1:11" s="18" customFormat="1" ht="14.25" customHeight="1">
      <c r="C47" s="422" t="s">
        <v>16</v>
      </c>
      <c r="E47" s="1094" t="s">
        <v>16</v>
      </c>
      <c r="F47" s="1094"/>
      <c r="G47" s="1094"/>
      <c r="H47" s="1094"/>
      <c r="I47" s="1094"/>
      <c r="J47" s="1094"/>
    </row>
    <row r="48" spans="1:11" s="29" customFormat="1"/>
    <row r="54" spans="3:3" ht="15">
      <c r="C54" s="438"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7" customWidth="1"/>
    <col min="2" max="2" width="21.85546875" style="267" customWidth="1"/>
    <col min="3" max="4" width="8.7109375" style="267" customWidth="1"/>
    <col min="5" max="5" width="8.140625" style="267" customWidth="1"/>
    <col min="6" max="6" width="11" style="267" customWidth="1"/>
    <col min="7" max="7" width="8.140625" style="267" customWidth="1"/>
    <col min="8" max="8" width="13.7109375" style="267" customWidth="1"/>
    <col min="9" max="9" width="7.85546875" style="267" customWidth="1"/>
    <col min="10" max="10" width="12.42578125" style="267" customWidth="1"/>
    <col min="11" max="11" width="8.140625" style="267" customWidth="1"/>
    <col min="12" max="12" width="13.7109375" style="267" customWidth="1"/>
    <col min="13" max="13" width="8.140625" style="267" customWidth="1"/>
    <col min="14" max="14" width="10.140625" style="267" customWidth="1"/>
    <col min="15" max="15" width="8.140625" style="267" customWidth="1"/>
    <col min="16" max="16" width="14" style="267" customWidth="1"/>
    <col min="17" max="16384" width="8" style="267"/>
  </cols>
  <sheetData>
    <row r="1" spans="1:16" ht="21.75" customHeight="1">
      <c r="A1" s="1124" t="s">
        <v>268</v>
      </c>
      <c r="B1" s="1124"/>
      <c r="C1" s="1124"/>
      <c r="D1" s="1124"/>
      <c r="E1" s="1124"/>
      <c r="F1" s="1124"/>
      <c r="G1" s="1124"/>
      <c r="H1" s="1124"/>
      <c r="I1" s="1124"/>
      <c r="J1" s="1124"/>
      <c r="K1" s="1124"/>
      <c r="L1" s="1124"/>
      <c r="M1" s="1124"/>
      <c r="N1" s="1124"/>
      <c r="O1" s="1124"/>
      <c r="P1" s="1124"/>
    </row>
    <row r="2" spans="1:16" s="10" customFormat="1" ht="15.75" customHeight="1">
      <c r="A2" s="1152" t="s">
        <v>46</v>
      </c>
      <c r="B2" s="1154" t="s">
        <v>269</v>
      </c>
      <c r="C2" s="1154" t="s">
        <v>270</v>
      </c>
      <c r="D2" s="1154" t="s">
        <v>272</v>
      </c>
      <c r="E2" s="1126" t="s">
        <v>48</v>
      </c>
      <c r="F2" s="1126"/>
      <c r="G2" s="1126"/>
      <c r="H2" s="1126"/>
      <c r="I2" s="1126" t="s">
        <v>49</v>
      </c>
      <c r="J2" s="1126"/>
      <c r="K2" s="1126"/>
      <c r="L2" s="1126"/>
      <c r="M2" s="1150" t="s">
        <v>60</v>
      </c>
      <c r="N2" s="1164"/>
      <c r="O2" s="1164"/>
      <c r="P2" s="1151"/>
    </row>
    <row r="3" spans="1:16" s="10" customFormat="1" ht="15.75" customHeight="1">
      <c r="A3" s="1153"/>
      <c r="B3" s="1155"/>
      <c r="C3" s="1155"/>
      <c r="D3" s="1155"/>
      <c r="E3" s="1126" t="s">
        <v>61</v>
      </c>
      <c r="F3" s="1126"/>
      <c r="G3" s="1126" t="s">
        <v>62</v>
      </c>
      <c r="H3" s="1126"/>
      <c r="I3" s="1126" t="s">
        <v>61</v>
      </c>
      <c r="J3" s="1126"/>
      <c r="K3" s="1126" t="s">
        <v>62</v>
      </c>
      <c r="L3" s="1126"/>
      <c r="M3" s="1126" t="s">
        <v>61</v>
      </c>
      <c r="N3" s="1126"/>
      <c r="O3" s="1126" t="s">
        <v>62</v>
      </c>
      <c r="P3" s="1126"/>
    </row>
    <row r="4" spans="1:16" s="10" customFormat="1" ht="15.75" customHeight="1">
      <c r="A4" s="1153"/>
      <c r="B4" s="1155"/>
      <c r="C4" s="1155"/>
      <c r="D4" s="1155"/>
      <c r="E4" s="391" t="s">
        <v>335</v>
      </c>
      <c r="F4" s="391" t="s">
        <v>336</v>
      </c>
      <c r="G4" s="391" t="s">
        <v>335</v>
      </c>
      <c r="H4" s="391" t="s">
        <v>336</v>
      </c>
      <c r="I4" s="391" t="s">
        <v>335</v>
      </c>
      <c r="J4" s="391" t="s">
        <v>336</v>
      </c>
      <c r="K4" s="391" t="s">
        <v>335</v>
      </c>
      <c r="L4" s="391" t="s">
        <v>336</v>
      </c>
      <c r="M4" s="391" t="s">
        <v>335</v>
      </c>
      <c r="N4" s="391" t="s">
        <v>336</v>
      </c>
      <c r="O4" s="391" t="s">
        <v>335</v>
      </c>
      <c r="P4" s="391" t="s">
        <v>336</v>
      </c>
    </row>
    <row r="5" spans="1:16" s="10" customFormat="1" ht="18" customHeight="1">
      <c r="A5" s="6">
        <f>IF(B5&lt;&gt;"",ROW()-4,"")</f>
        <v>1</v>
      </c>
      <c r="B5" s="7" t="s">
        <v>167</v>
      </c>
      <c r="C5" s="268">
        <v>41870</v>
      </c>
      <c r="D5" s="268">
        <v>46253</v>
      </c>
      <c r="E5" s="392">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1">
        <f>ROUND(MAX(E5+I5-G5-K5,0),2)</f>
        <v>0</v>
      </c>
      <c r="N5" s="271">
        <f t="shared" ref="N5:N18" si="0">ROUND(MAX(F5+J5-H5-L5,0),2)</f>
        <v>0</v>
      </c>
      <c r="O5" s="271">
        <f t="shared" ref="O5:P19" si="1">ROUND(MAX(G5+K5-E5-I5,0),2)</f>
        <v>0</v>
      </c>
      <c r="P5" s="271">
        <f t="shared" si="1"/>
        <v>1000000000</v>
      </c>
    </row>
    <row r="6" spans="1:16" s="10" customFormat="1" ht="18" customHeight="1">
      <c r="A6" s="6">
        <f t="shared" ref="A6:A22" si="2">IF(B6&lt;&gt;"",ROW()-4,"")</f>
        <v>2</v>
      </c>
      <c r="B6" s="7" t="s">
        <v>168</v>
      </c>
      <c r="C6" s="268">
        <v>41905</v>
      </c>
      <c r="D6" s="268">
        <v>46253</v>
      </c>
      <c r="E6" s="268">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1">
        <f t="shared" ref="M6:M19" si="3">ROUND(MAX(E6+I6-G6-K6,0),2)</f>
        <v>0</v>
      </c>
      <c r="N6" s="271">
        <f t="shared" si="0"/>
        <v>0</v>
      </c>
      <c r="O6" s="271">
        <f t="shared" si="1"/>
        <v>0</v>
      </c>
      <c r="P6" s="271">
        <f t="shared" si="1"/>
        <v>2000000000</v>
      </c>
    </row>
    <row r="7" spans="1:16" s="10" customFormat="1" ht="18" customHeight="1">
      <c r="A7" s="6">
        <f t="shared" si="2"/>
        <v>3</v>
      </c>
      <c r="B7" s="7" t="s">
        <v>170</v>
      </c>
      <c r="C7" s="268">
        <v>41934</v>
      </c>
      <c r="D7" s="268">
        <v>46253</v>
      </c>
      <c r="E7" s="268">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1">
        <f t="shared" si="3"/>
        <v>0</v>
      </c>
      <c r="N7" s="271">
        <f t="shared" si="0"/>
        <v>0</v>
      </c>
      <c r="O7" s="271">
        <f t="shared" si="1"/>
        <v>0</v>
      </c>
      <c r="P7" s="271">
        <f t="shared" si="1"/>
        <v>1600000000</v>
      </c>
    </row>
    <row r="8" spans="1:16" s="10" customFormat="1" ht="18" customHeight="1">
      <c r="A8" s="6">
        <f t="shared" si="2"/>
        <v>4</v>
      </c>
      <c r="B8" s="7" t="s">
        <v>169</v>
      </c>
      <c r="C8" s="268">
        <v>41963</v>
      </c>
      <c r="D8" s="268">
        <v>46253</v>
      </c>
      <c r="E8" s="268">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1">
        <f t="shared" si="3"/>
        <v>0</v>
      </c>
      <c r="N8" s="271">
        <f t="shared" si="0"/>
        <v>0</v>
      </c>
      <c r="O8" s="271">
        <f t="shared" si="1"/>
        <v>0</v>
      </c>
      <c r="P8" s="271">
        <f t="shared" si="1"/>
        <v>1500000000</v>
      </c>
    </row>
    <row r="9" spans="1:16" s="10" customFormat="1" ht="18" customHeight="1">
      <c r="A9" s="6">
        <f t="shared" si="2"/>
        <v>5</v>
      </c>
      <c r="B9" s="7" t="s">
        <v>171</v>
      </c>
      <c r="C9" s="268">
        <v>41984</v>
      </c>
      <c r="D9" s="268">
        <v>46253</v>
      </c>
      <c r="E9" s="268">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1">
        <f t="shared" si="3"/>
        <v>0</v>
      </c>
      <c r="N9" s="271">
        <f t="shared" si="0"/>
        <v>0</v>
      </c>
      <c r="O9" s="271">
        <f t="shared" si="1"/>
        <v>0</v>
      </c>
      <c r="P9" s="271">
        <f t="shared" si="1"/>
        <v>1000000000</v>
      </c>
    </row>
    <row r="10" spans="1:16" s="10" customFormat="1" ht="18" customHeight="1">
      <c r="A10" s="6">
        <f t="shared" si="2"/>
        <v>6</v>
      </c>
      <c r="B10" s="7" t="s">
        <v>172</v>
      </c>
      <c r="C10" s="268">
        <v>42033</v>
      </c>
      <c r="D10" s="268">
        <v>46253</v>
      </c>
      <c r="E10" s="268">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1">
        <f t="shared" si="3"/>
        <v>0</v>
      </c>
      <c r="N10" s="271">
        <f t="shared" si="0"/>
        <v>0</v>
      </c>
      <c r="O10" s="271">
        <f t="shared" si="1"/>
        <v>0</v>
      </c>
      <c r="P10" s="271">
        <f t="shared" si="1"/>
        <v>1500000000</v>
      </c>
    </row>
    <row r="11" spans="1:16" s="10" customFormat="1" ht="18" customHeight="1">
      <c r="A11" s="6">
        <f t="shared" si="2"/>
        <v>7</v>
      </c>
      <c r="B11" s="7" t="s">
        <v>173</v>
      </c>
      <c r="C11" s="268">
        <v>42088</v>
      </c>
      <c r="D11" s="268">
        <v>46253</v>
      </c>
      <c r="E11" s="268">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1">
        <f t="shared" si="3"/>
        <v>0</v>
      </c>
      <c r="N11" s="271">
        <f t="shared" si="0"/>
        <v>0</v>
      </c>
      <c r="O11" s="271">
        <f t="shared" si="1"/>
        <v>0</v>
      </c>
      <c r="P11" s="271">
        <f t="shared" si="1"/>
        <v>2000000000</v>
      </c>
    </row>
    <row r="12" spans="1:16" s="10" customFormat="1" ht="18" customHeight="1">
      <c r="A12" s="6">
        <f t="shared" si="2"/>
        <v>8</v>
      </c>
      <c r="B12" s="7" t="s">
        <v>174</v>
      </c>
      <c r="C12" s="268">
        <v>42114</v>
      </c>
      <c r="D12" s="268">
        <v>46253</v>
      </c>
      <c r="E12" s="268">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1">
        <f t="shared" si="3"/>
        <v>0</v>
      </c>
      <c r="N12" s="271">
        <f t="shared" si="0"/>
        <v>0</v>
      </c>
      <c r="O12" s="271">
        <f t="shared" si="1"/>
        <v>0</v>
      </c>
      <c r="P12" s="271">
        <f t="shared" si="1"/>
        <v>1400000000</v>
      </c>
    </row>
    <row r="13" spans="1:16" s="10" customFormat="1" ht="18" customHeight="1">
      <c r="A13" s="6">
        <f t="shared" si="2"/>
        <v>9</v>
      </c>
      <c r="B13" s="7" t="s">
        <v>175</v>
      </c>
      <c r="C13" s="268">
        <v>42138</v>
      </c>
      <c r="D13" s="268">
        <v>46253</v>
      </c>
      <c r="E13" s="268">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1">
        <f t="shared" si="3"/>
        <v>0</v>
      </c>
      <c r="N13" s="271">
        <f t="shared" si="0"/>
        <v>0</v>
      </c>
      <c r="O13" s="271">
        <f t="shared" si="1"/>
        <v>0</v>
      </c>
      <c r="P13" s="271">
        <f t="shared" si="1"/>
        <v>1500000000</v>
      </c>
    </row>
    <row r="14" spans="1:16" s="10" customFormat="1" ht="18" customHeight="1">
      <c r="A14" s="6">
        <f t="shared" si="2"/>
        <v>10</v>
      </c>
      <c r="B14" s="7" t="s">
        <v>176</v>
      </c>
      <c r="C14" s="268">
        <v>42164</v>
      </c>
      <c r="D14" s="268">
        <v>46253</v>
      </c>
      <c r="E14" s="268">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1">
        <f t="shared" si="3"/>
        <v>0</v>
      </c>
      <c r="N14" s="271">
        <f t="shared" si="0"/>
        <v>0</v>
      </c>
      <c r="O14" s="271">
        <f t="shared" si="1"/>
        <v>0</v>
      </c>
      <c r="P14" s="271">
        <f t="shared" si="1"/>
        <v>1500000000</v>
      </c>
    </row>
    <row r="15" spans="1:16" s="10" customFormat="1" ht="18" customHeight="1">
      <c r="A15" s="6">
        <f t="shared" si="2"/>
        <v>11</v>
      </c>
      <c r="B15" s="7" t="s">
        <v>177</v>
      </c>
      <c r="C15" s="268">
        <v>42187</v>
      </c>
      <c r="D15" s="268">
        <v>46253</v>
      </c>
      <c r="E15" s="268">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1">
        <f t="shared" si="3"/>
        <v>0</v>
      </c>
      <c r="N15" s="271">
        <f t="shared" si="0"/>
        <v>0</v>
      </c>
      <c r="O15" s="271">
        <f t="shared" si="1"/>
        <v>0</v>
      </c>
      <c r="P15" s="271">
        <f t="shared" si="1"/>
        <v>1500000000</v>
      </c>
    </row>
    <row r="16" spans="1:16" s="10" customFormat="1" ht="18" customHeight="1">
      <c r="A16" s="6">
        <f t="shared" si="2"/>
        <v>12</v>
      </c>
      <c r="B16" s="7" t="s">
        <v>180</v>
      </c>
      <c r="C16" s="268">
        <v>42195</v>
      </c>
      <c r="D16" s="268">
        <v>46253</v>
      </c>
      <c r="E16" s="268">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1">
        <f t="shared" si="3"/>
        <v>0</v>
      </c>
      <c r="N16" s="271">
        <f t="shared" si="0"/>
        <v>0</v>
      </c>
      <c r="O16" s="271">
        <f t="shared" si="1"/>
        <v>0</v>
      </c>
      <c r="P16" s="271">
        <f t="shared" si="1"/>
        <v>1500000000</v>
      </c>
    </row>
    <row r="17" spans="1:16" s="10" customFormat="1" ht="18" customHeight="1">
      <c r="A17" s="6">
        <f t="shared" si="2"/>
        <v>13</v>
      </c>
      <c r="B17" s="7" t="s">
        <v>181</v>
      </c>
      <c r="C17" s="268">
        <v>42215</v>
      </c>
      <c r="D17" s="268">
        <v>46253</v>
      </c>
      <c r="E17" s="268">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1">
        <f t="shared" si="3"/>
        <v>0</v>
      </c>
      <c r="N17" s="271">
        <f t="shared" si="0"/>
        <v>0</v>
      </c>
      <c r="O17" s="271">
        <f t="shared" si="1"/>
        <v>0</v>
      </c>
      <c r="P17" s="271">
        <f t="shared" si="1"/>
        <v>1000000000</v>
      </c>
    </row>
    <row r="18" spans="1:16" s="10" customFormat="1" ht="18" customHeight="1">
      <c r="A18" s="6">
        <f t="shared" si="2"/>
        <v>14</v>
      </c>
      <c r="B18" s="7" t="s">
        <v>185</v>
      </c>
      <c r="C18" s="268">
        <v>42229</v>
      </c>
      <c r="D18" s="268">
        <v>46253</v>
      </c>
      <c r="E18" s="268">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1">
        <f t="shared" si="3"/>
        <v>0</v>
      </c>
      <c r="N18" s="271">
        <f t="shared" si="0"/>
        <v>0</v>
      </c>
      <c r="O18" s="271">
        <f t="shared" si="1"/>
        <v>0</v>
      </c>
      <c r="P18" s="271">
        <f t="shared" si="1"/>
        <v>1000000000</v>
      </c>
    </row>
    <row r="19" spans="1:16" s="10" customFormat="1" ht="18" customHeight="1">
      <c r="A19" s="6">
        <f t="shared" si="2"/>
        <v>15</v>
      </c>
      <c r="B19" s="7" t="s">
        <v>333</v>
      </c>
      <c r="C19" s="268">
        <v>42362</v>
      </c>
      <c r="D19" s="268">
        <v>42545</v>
      </c>
      <c r="E19" s="268">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71">
        <f t="shared" si="3"/>
        <v>0</v>
      </c>
      <c r="N19" s="271">
        <f>ROUND(MAX(F19+J19-H19-L19,0),2)</f>
        <v>0</v>
      </c>
      <c r="O19" s="271">
        <f t="shared" si="1"/>
        <v>0</v>
      </c>
      <c r="P19" s="271">
        <f>ROUND(MAX(H19+L19-F19-J19,0),2)</f>
        <v>0</v>
      </c>
    </row>
    <row r="20" spans="1:16" s="10" customFormat="1" ht="18" customHeight="1">
      <c r="A20" s="6">
        <f t="shared" si="2"/>
        <v>16</v>
      </c>
      <c r="B20" s="7" t="s">
        <v>975</v>
      </c>
      <c r="C20" s="268">
        <v>42543</v>
      </c>
      <c r="D20" s="268">
        <v>42726</v>
      </c>
      <c r="E20" s="268"/>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71">
        <f>ROUND(MAX(E20+I20-G20-K20,0),2)</f>
        <v>0</v>
      </c>
      <c r="N20" s="271">
        <f>ROUND(MAX(F20+J20-H20-L20,0),2)</f>
        <v>0</v>
      </c>
      <c r="O20" s="271">
        <f>ROUND(MAX(G20+K20-E20-I20,0),2)</f>
        <v>88000</v>
      </c>
      <c r="P20" s="271">
        <f>ROUND(MAX(H20+L20-F20-J20,0),2)</f>
        <v>1961520000</v>
      </c>
    </row>
    <row r="21" spans="1:16" s="10" customFormat="1" ht="18" customHeight="1">
      <c r="A21" s="6" t="str">
        <f t="shared" si="2"/>
        <v/>
      </c>
      <c r="B21" s="7"/>
      <c r="C21" s="268"/>
      <c r="D21" s="268"/>
      <c r="E21" s="268"/>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1">
        <f>ROUND(MAX(E21+I21-G21-K21,0),2)</f>
        <v>0</v>
      </c>
      <c r="N21" s="271">
        <f>ROUND(MAX(F21+J21-H21-L21,0),2)</f>
        <v>0</v>
      </c>
      <c r="O21" s="271">
        <f>ROUND(MAX(G21+K21-E21-I21,0),2)</f>
        <v>0</v>
      </c>
      <c r="P21" s="271">
        <f>ROUND(MAX(H21+L21-F21-J21,0),2)</f>
        <v>0</v>
      </c>
    </row>
    <row r="22" spans="1:16" s="10" customFormat="1" ht="18" customHeight="1">
      <c r="A22" s="6" t="str">
        <f t="shared" si="2"/>
        <v/>
      </c>
      <c r="B22" s="272"/>
      <c r="C22" s="273"/>
      <c r="D22" s="273"/>
      <c r="E22" s="273"/>
      <c r="F22" s="269"/>
      <c r="G22" s="269"/>
      <c r="H22" s="269"/>
      <c r="I22" s="269"/>
      <c r="J22" s="269"/>
      <c r="K22" s="269"/>
      <c r="L22" s="269"/>
      <c r="M22" s="393"/>
      <c r="N22" s="270"/>
      <c r="O22" s="270"/>
      <c r="P22" s="270"/>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CDPS!H43</f>
        <v>21961520000</v>
      </c>
    </row>
    <row r="25" spans="1:16">
      <c r="P25" s="274">
        <f>P23-P24</f>
        <v>0</v>
      </c>
    </row>
    <row r="27" spans="1:16">
      <c r="B27" s="267">
        <v>1</v>
      </c>
      <c r="C27" s="267">
        <v>2</v>
      </c>
      <c r="D27" s="267">
        <v>3</v>
      </c>
      <c r="E27" s="267">
        <v>4</v>
      </c>
      <c r="F27" s="267">
        <v>5</v>
      </c>
      <c r="G27" s="267">
        <v>6</v>
      </c>
      <c r="H27" s="267">
        <v>7</v>
      </c>
      <c r="I27" s="267">
        <v>8</v>
      </c>
      <c r="J27" s="267">
        <v>9</v>
      </c>
      <c r="K27" s="267">
        <v>10</v>
      </c>
      <c r="L27" s="267">
        <v>11</v>
      </c>
      <c r="M27" s="267">
        <v>12</v>
      </c>
      <c r="N27" s="267">
        <v>13</v>
      </c>
      <c r="O27" s="267">
        <v>14</v>
      </c>
      <c r="P27" s="26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1" customWidth="1"/>
    <col min="2" max="2" width="7" style="281" customWidth="1"/>
    <col min="3" max="3" width="8.140625" style="281" customWidth="1"/>
    <col min="4" max="4" width="35.42578125" style="281" customWidth="1"/>
    <col min="5" max="5" width="6.5703125" style="281" customWidth="1"/>
    <col min="6" max="6" width="9.140625" style="281"/>
    <col min="7" max="7" width="9.7109375" style="281" customWidth="1"/>
    <col min="8" max="8" width="12" style="281" customWidth="1"/>
    <col min="9" max="9" width="9.7109375" style="281" customWidth="1"/>
    <col min="10" max="10" width="12.42578125" style="281" customWidth="1"/>
    <col min="11" max="11" width="9.28515625" style="281" customWidth="1"/>
    <col min="12" max="12" width="11" style="281" customWidth="1"/>
    <col min="13" max="13" width="10.85546875" style="281" customWidth="1"/>
    <col min="14" max="14" width="14" style="281" customWidth="1"/>
    <col min="15" max="16384" width="9.140625" style="281"/>
  </cols>
  <sheetData>
    <row r="1" spans="1:14" s="276" customFormat="1" ht="16.5" customHeight="1">
      <c r="A1" s="282" t="s">
        <v>17</v>
      </c>
      <c r="B1" s="275"/>
      <c r="C1" s="275"/>
      <c r="H1" s="275"/>
      <c r="I1" s="275"/>
      <c r="J1" s="1156" t="s">
        <v>346</v>
      </c>
      <c r="K1" s="1156"/>
      <c r="L1" s="1156"/>
      <c r="M1" s="1156"/>
      <c r="N1" s="1156"/>
    </row>
    <row r="2" spans="1:14" s="276" customFormat="1" ht="16.5" customHeight="1">
      <c r="A2" s="283" t="s">
        <v>271</v>
      </c>
      <c r="B2" s="423"/>
      <c r="C2" s="423"/>
      <c r="H2" s="277"/>
      <c r="I2" s="277"/>
      <c r="J2" s="1157" t="s">
        <v>347</v>
      </c>
      <c r="K2" s="1157"/>
      <c r="L2" s="1157"/>
      <c r="M2" s="1157"/>
      <c r="N2" s="1157"/>
    </row>
    <row r="3" spans="1:14" s="276" customFormat="1" ht="16.5" customHeight="1">
      <c r="A3" s="423"/>
      <c r="B3" s="423"/>
      <c r="C3" s="423"/>
      <c r="H3" s="277"/>
      <c r="I3" s="277"/>
      <c r="J3" s="1157"/>
      <c r="K3" s="1157"/>
      <c r="L3" s="1157"/>
      <c r="M3" s="1157"/>
      <c r="N3" s="1157"/>
    </row>
    <row r="4" spans="1:14" s="276" customFormat="1" ht="16.5" customHeight="1">
      <c r="A4" s="423"/>
      <c r="B4" s="423"/>
      <c r="C4" s="423"/>
      <c r="H4" s="277"/>
      <c r="I4" s="277"/>
      <c r="J4" s="424"/>
      <c r="K4" s="424"/>
      <c r="L4" s="424"/>
      <c r="M4" s="424"/>
      <c r="N4" s="424"/>
    </row>
    <row r="5" spans="1:14" s="18" customFormat="1" ht="23.25" customHeight="1">
      <c r="A5" s="1128" t="s">
        <v>348</v>
      </c>
      <c r="B5" s="1128"/>
      <c r="C5" s="1128"/>
      <c r="D5" s="1128"/>
      <c r="E5" s="1128"/>
      <c r="F5" s="1128"/>
      <c r="G5" s="1128"/>
      <c r="H5" s="1128"/>
      <c r="I5" s="1128"/>
      <c r="J5" s="1128"/>
      <c r="K5" s="1128"/>
      <c r="L5" s="1128"/>
      <c r="M5" s="1128"/>
      <c r="N5" s="1128"/>
    </row>
    <row r="6" spans="1:14" s="18" customFormat="1">
      <c r="A6" s="1094" t="s">
        <v>349</v>
      </c>
      <c r="B6" s="1094"/>
      <c r="C6" s="1094"/>
      <c r="D6" s="1094"/>
      <c r="E6" s="1094"/>
      <c r="F6" s="1094"/>
      <c r="G6" s="1094"/>
      <c r="H6" s="1094"/>
      <c r="I6" s="1094"/>
      <c r="J6" s="1094"/>
      <c r="K6" s="1094"/>
      <c r="L6" s="1094"/>
      <c r="M6" s="1094"/>
      <c r="N6" s="1094"/>
    </row>
    <row r="7" spans="1:14" s="18" customFormat="1">
      <c r="A7" s="1094" t="s">
        <v>350</v>
      </c>
      <c r="B7" s="1094"/>
      <c r="C7" s="1094"/>
      <c r="D7" s="1094"/>
      <c r="E7" s="1094"/>
      <c r="F7" s="1094"/>
      <c r="G7" s="1094"/>
      <c r="H7" s="1094"/>
      <c r="I7" s="1094"/>
      <c r="J7" s="1094"/>
      <c r="K7" s="1094"/>
      <c r="L7" s="1094"/>
      <c r="M7" s="1094"/>
      <c r="N7" s="1094"/>
    </row>
    <row r="8" spans="1:14" s="18" customFormat="1" ht="15" customHeight="1">
      <c r="A8" s="1094" t="str">
        <f>IF(MID($H$9,4,4)="1015","Đối tượng cho vay: NH Eximbank CN Q11","Đối tượng cho vay: NH Eximbank CN Q4")</f>
        <v>Đối tượng cho vay: NH Eximbank CN Q4</v>
      </c>
      <c r="B8" s="1094"/>
      <c r="C8" s="1094"/>
      <c r="D8" s="1094"/>
      <c r="E8" s="1094"/>
      <c r="F8" s="1094"/>
      <c r="G8" s="1094"/>
      <c r="H8" s="1094"/>
      <c r="I8" s="1094"/>
      <c r="J8" s="1094"/>
      <c r="K8" s="1094"/>
      <c r="L8" s="1094"/>
      <c r="M8" s="1094"/>
      <c r="N8" s="1094"/>
    </row>
    <row r="9" spans="1:14" s="18" customFormat="1">
      <c r="A9" s="422"/>
      <c r="B9" s="422"/>
      <c r="C9" s="422"/>
      <c r="D9" s="422"/>
      <c r="E9" s="422"/>
      <c r="F9" s="422"/>
      <c r="G9" s="20" t="s">
        <v>351</v>
      </c>
      <c r="H9" s="1167" t="s">
        <v>333</v>
      </c>
      <c r="I9" s="1167"/>
      <c r="J9" s="425" t="str">
        <f>"ngày "&amp; TEXT(VLOOKUP($H$9,'341'!$B$5:$P$22,2,0),"dd/MM/yy")</f>
        <v>ngày 24/12/15</v>
      </c>
      <c r="K9" s="422"/>
      <c r="L9" s="422"/>
      <c r="M9" s="422"/>
      <c r="N9" s="422"/>
    </row>
    <row r="10" spans="1:14" s="18" customFormat="1">
      <c r="A10" s="1094" t="s">
        <v>352</v>
      </c>
      <c r="B10" s="1094"/>
      <c r="C10" s="1094"/>
      <c r="D10" s="1094"/>
      <c r="E10" s="1094"/>
      <c r="F10" s="1094"/>
      <c r="G10" s="1094"/>
      <c r="H10" s="1094"/>
      <c r="I10" s="1094"/>
      <c r="J10" s="1094"/>
      <c r="K10" s="1094"/>
      <c r="L10" s="1094"/>
      <c r="M10" s="1094"/>
      <c r="N10" s="1094"/>
    </row>
    <row r="11" spans="1:14" s="18" customFormat="1">
      <c r="C11" s="1159"/>
      <c r="D11" s="1159"/>
      <c r="E11" s="1159"/>
      <c r="F11" s="1159"/>
      <c r="G11" s="1159"/>
      <c r="H11" s="1159"/>
      <c r="I11" s="1159"/>
      <c r="J11" s="1159"/>
      <c r="K11" s="1159"/>
      <c r="L11" s="1159"/>
      <c r="M11" s="1159"/>
      <c r="N11" s="1159"/>
    </row>
    <row r="12" spans="1:14" s="18" customFormat="1" ht="15.75" customHeight="1">
      <c r="A12" s="1168" t="s">
        <v>27</v>
      </c>
      <c r="B12" s="1161" t="s">
        <v>1</v>
      </c>
      <c r="C12" s="1162"/>
      <c r="D12" s="1168" t="s">
        <v>0</v>
      </c>
      <c r="E12" s="1168" t="s">
        <v>19</v>
      </c>
      <c r="F12" s="1168" t="s">
        <v>353</v>
      </c>
      <c r="G12" s="1161" t="s">
        <v>28</v>
      </c>
      <c r="H12" s="1173"/>
      <c r="I12" s="1173"/>
      <c r="J12" s="1166"/>
      <c r="K12" s="1161" t="s">
        <v>38</v>
      </c>
      <c r="L12" s="1173"/>
      <c r="M12" s="1173"/>
      <c r="N12" s="1166"/>
    </row>
    <row r="13" spans="1:14" s="18" customFormat="1" ht="15.75" customHeight="1">
      <c r="A13" s="1169"/>
      <c r="B13" s="1174" t="s">
        <v>20</v>
      </c>
      <c r="C13" s="1174" t="s">
        <v>39</v>
      </c>
      <c r="D13" s="1169"/>
      <c r="E13" s="1169"/>
      <c r="F13" s="1171"/>
      <c r="G13" s="1165" t="s">
        <v>29</v>
      </c>
      <c r="H13" s="1166"/>
      <c r="I13" s="1165" t="s">
        <v>30</v>
      </c>
      <c r="J13" s="1166"/>
      <c r="K13" s="1165" t="s">
        <v>29</v>
      </c>
      <c r="L13" s="1166"/>
      <c r="M13" s="1165" t="s">
        <v>30</v>
      </c>
      <c r="N13" s="1166"/>
    </row>
    <row r="14" spans="1:14" s="18" customFormat="1" ht="32.25" customHeight="1">
      <c r="A14" s="1170"/>
      <c r="B14" s="1175"/>
      <c r="C14" s="1175"/>
      <c r="D14" s="1170"/>
      <c r="E14" s="1170"/>
      <c r="F14" s="1172"/>
      <c r="G14" s="30" t="s">
        <v>354</v>
      </c>
      <c r="H14" s="30" t="s">
        <v>355</v>
      </c>
      <c r="I14" s="30" t="s">
        <v>354</v>
      </c>
      <c r="J14" s="30" t="s">
        <v>355</v>
      </c>
      <c r="K14" s="30" t="s">
        <v>354</v>
      </c>
      <c r="L14" s="30" t="s">
        <v>355</v>
      </c>
      <c r="M14" s="30" t="s">
        <v>354</v>
      </c>
      <c r="N14" s="30" t="s">
        <v>355</v>
      </c>
    </row>
    <row r="15" spans="1:14" s="422" customFormat="1">
      <c r="A15" s="426" t="s">
        <v>2</v>
      </c>
      <c r="B15" s="427" t="s">
        <v>3</v>
      </c>
      <c r="C15" s="426" t="s">
        <v>4</v>
      </c>
      <c r="D15" s="426" t="s">
        <v>5</v>
      </c>
      <c r="E15" s="426" t="s">
        <v>6</v>
      </c>
      <c r="F15" s="426">
        <v>1</v>
      </c>
      <c r="G15" s="426">
        <v>2</v>
      </c>
      <c r="H15" s="426">
        <v>3</v>
      </c>
      <c r="I15" s="426">
        <v>4</v>
      </c>
      <c r="J15" s="426">
        <v>5</v>
      </c>
      <c r="K15" s="426">
        <v>6</v>
      </c>
      <c r="L15" s="426">
        <v>7</v>
      </c>
      <c r="M15" s="426">
        <v>8</v>
      </c>
      <c r="N15" s="426">
        <v>9</v>
      </c>
    </row>
    <row r="16" spans="1:14" s="18" customFormat="1" ht="19.5" customHeight="1">
      <c r="A16" s="452"/>
      <c r="B16" s="452"/>
      <c r="C16" s="452"/>
      <c r="D16" s="453" t="s">
        <v>7</v>
      </c>
      <c r="E16" s="454"/>
      <c r="F16" s="454"/>
      <c r="G16" s="452"/>
      <c r="H16" s="452"/>
      <c r="I16" s="452"/>
      <c r="J16" s="452"/>
      <c r="K16" s="455">
        <f>VLOOKUP($H$9,'341'!$B$5:$P$22,4,0)</f>
        <v>0</v>
      </c>
      <c r="L16" s="456">
        <f>VLOOKUP($H$9,'341'!$B$5:$P$22,5,0)</f>
        <v>0</v>
      </c>
      <c r="M16" s="455">
        <f>VLOOKUP($H$9,'341'!$B$5:$P$22,6,0)</f>
        <v>88000</v>
      </c>
      <c r="N16" s="456">
        <f>VLOOKUP($H$9,'341'!$B$5:$P$22,7,0)</f>
        <v>1982640000</v>
      </c>
    </row>
    <row r="17" spans="1:14" s="18" customFormat="1" ht="19.5" customHeight="1">
      <c r="A17" s="387">
        <f ca="1">IF(ROWS($1:1)&gt;COUNT(Dong4),"",OFFSET(TH!C$1,SMALL(Dong4,ROWS($1:1)),))</f>
        <v>42538</v>
      </c>
      <c r="B17" s="278" t="str">
        <f ca="1">IF(ROWS($1:1)&gt;COUNT(Dong4),"",OFFSET(TH!D$1,SMALL(Dong4,ROWS($1:1)),))</f>
        <v>GBN</v>
      </c>
      <c r="C17" s="278">
        <f ca="1">IF(ROWS($1:1)&gt;COUNT(Dong4),"",OFFSET(TH!E$1,SMALL(Dong4,ROWS($1:1)),))</f>
        <v>42538</v>
      </c>
      <c r="D17" s="457" t="str">
        <f ca="1">IF(ROWS($1:1)&gt;COUNT(Dong4),"",OFFSET(TH!F$1,SMALL(Dong4,ROWS($1:1)),))</f>
        <v>Thu vốn vay</v>
      </c>
      <c r="E17" s="278" t="str">
        <f ca="1">IF(ROWS($1:1)&gt;COUNT(Dong4),"",IF(LEFT(OFFSET(TH!O$1,SMALL(Dong4,ROWS($1:1)),),3)="341",OFFSET(TH!N$1,SMALL(Dong4,ROWS($1:1)),),OFFSET(TH!O$1,SMALL(Dong4,ROWS($1:1)),)))</f>
        <v>1122</v>
      </c>
      <c r="F17" s="458"/>
      <c r="G17" s="459">
        <f ca="1">IF(ROWS($1:1)&gt;COUNT(Dong4),"",IF(LEFT(OFFSET(TH!N$1,SMALL(Dong4,ROWS($1:1)),),3)="341",OFFSET(TH!K$1,SMALL(Dong4,ROWS($1:1)),),0))</f>
        <v>88000</v>
      </c>
      <c r="H17" s="458">
        <f ca="1">IF(ROWS($1:1)&gt;COUNT(Dong4),"",IF(LEFT(OFFSET(TH!N$1,SMALL(Dong4,ROWS($1:1)),),3)="341",OFFSET(TH!M$1,SMALL(Dong4,ROWS($1:1)),),0))</f>
        <v>1962840000</v>
      </c>
      <c r="I17" s="459">
        <f ca="1">IF(ROWS($1:1)&gt;COUNT(Dong4),"",IF(LEFT(OFFSET(TH!O$1,SMALL(Dong4,ROWS($1:1)),),3)="341",OFFSET(TH!K$1,SMALL(Dong4,ROWS($1:1)),),0))</f>
        <v>0</v>
      </c>
      <c r="J17" s="458">
        <f ca="1">IF(ROWS($1:1)&gt;COUNT(Dong4),"",IF(LEFT(OFFSET(TH!O$1,SMALL(Dong4,ROWS($1:1)),),3)="341",OFFSET(TH!M$1,SMALL(Dong4,ROWS($1:1)),),0))</f>
        <v>0</v>
      </c>
      <c r="K17" s="269">
        <f ca="1">IF(C17&lt;&gt;"",ROUND(MAX(K16+G17-I17-M16,0),2),0)</f>
        <v>0</v>
      </c>
      <c r="L17" s="8">
        <f ca="1">IF(C17&lt;&gt;"",MAX(L16-N16+H17-J17,0),0)</f>
        <v>0</v>
      </c>
      <c r="M17" s="269">
        <f ca="1">IF(C17&lt;&gt;"",ROUND(MAX(M16+I17-G17-K16,0),2),0)</f>
        <v>0</v>
      </c>
      <c r="N17" s="8">
        <f ca="1">IF(C17&lt;&gt;"",MAX(N16-L16+J17-H17,0),0)</f>
        <v>19800000</v>
      </c>
    </row>
    <row r="18" spans="1:14" s="460" customFormat="1" ht="19.5" customHeight="1">
      <c r="A18" s="387">
        <f ca="1">IF(ROWS($1:2)&gt;COUNT(Dong4),"",OFFSET(TH!C$1,SMALL(Dong4,ROWS($1:2)),))</f>
        <v>42538</v>
      </c>
      <c r="B18" s="278" t="str">
        <f ca="1">IF(ROWS($1:2)&gt;COUNT(Dong4),"",OFFSET(TH!D$1,SMALL(Dong4,ROWS($1:2)),))</f>
        <v>CTGS</v>
      </c>
      <c r="C18" s="278">
        <f ca="1">IF(ROWS($1:2)&gt;COUNT(Dong4),"",OFFSET(TH!E$1,SMALL(Dong4,ROWS($1:2)),))</f>
        <v>42538</v>
      </c>
      <c r="D18" s="457" t="str">
        <f ca="1">IF(ROWS($1:2)&gt;COUNT(Dong4),"",OFFSET(TH!F$1,SMALL(Dong4,ROWS($1:2)),))</f>
        <v>Chênh lệch tỷ giá vay</v>
      </c>
      <c r="E18" s="278" t="str">
        <f ca="1">IF(ROWS($1:2)&gt;COUNT(Dong4),"",IF(LEFT(OFFSET(TH!O$1,SMALL(Dong4,ROWS($1:2)),),3)="341",OFFSET(TH!N$1,SMALL(Dong4,ROWS($1:2)),),OFFSET(TH!O$1,SMALL(Dong4,ROWS($1:2)),)))</f>
        <v>515</v>
      </c>
      <c r="F18" s="458"/>
      <c r="G18" s="459">
        <f ca="1">IF(ROWS($1:2)&gt;COUNT(Dong4),"",IF(LEFT(OFFSET(TH!N$1,SMALL(Dong4,ROWS($1:2)),),3)="341",OFFSET(TH!K$1,SMALL(Dong4,ROWS($1:2)),),0))</f>
        <v>0</v>
      </c>
      <c r="H18" s="458">
        <f ca="1">IF(ROWS($1:2)&gt;COUNT(Dong4),"",IF(LEFT(OFFSET(TH!N$1,SMALL(Dong4,ROWS($1:2)),),3)="341",OFFSET(TH!M$1,SMALL(Dong4,ROWS($1:2)),),0))</f>
        <v>19800000</v>
      </c>
      <c r="I18" s="459">
        <f ca="1">IF(ROWS($1:2)&gt;COUNT(Dong4),"",IF(LEFT(OFFSET(TH!O$1,SMALL(Dong4,ROWS($1:2)),),3)="341",OFFSET(TH!K$1,SMALL(Dong4,ROWS($1:2)),),0))</f>
        <v>0</v>
      </c>
      <c r="J18" s="458">
        <f ca="1">IF(ROWS($1:2)&gt;COUNT(Dong4),"",IF(LEFT(OFFSET(TH!O$1,SMALL(Dong4,ROWS($1:2)),),3)="341",OFFSET(TH!M$1,SMALL(Dong4,ROWS($1:2)),),0))</f>
        <v>0</v>
      </c>
      <c r="K18" s="269">
        <f ca="1">IF(C18&lt;&gt;"",ROUND(MAX(K17+G18-I18-M17,0),2),0)</f>
        <v>0</v>
      </c>
      <c r="L18" s="8">
        <f ca="1">IF(C18&lt;&gt;"",MAX(L17-N17+H18-J18,0),0)</f>
        <v>0</v>
      </c>
      <c r="M18" s="269">
        <f ca="1">IF(C18&lt;&gt;"",ROUND(MAX(M17+I18-G18-K17,0),2),0)</f>
        <v>0</v>
      </c>
      <c r="N18" s="8">
        <f ca="1">IF(C18&lt;&gt;"",MAX(N17-L17+J18-H18,0),0)</f>
        <v>0</v>
      </c>
    </row>
    <row r="19" spans="1:14" s="460" customFormat="1" ht="19.5" customHeight="1">
      <c r="A19" s="387" t="str">
        <f ca="1">IF(ROWS($1:3)&gt;COUNT(Dong4),"",OFFSET(TH!C$1,SMALL(Dong4,ROWS($1:3)),))</f>
        <v/>
      </c>
      <c r="B19" s="278" t="str">
        <f ca="1">IF(ROWS($1:3)&gt;COUNT(Dong4),"",OFFSET(TH!D$1,SMALL(Dong4,ROWS($1:3)),))</f>
        <v/>
      </c>
      <c r="C19" s="278" t="str">
        <f ca="1">IF(ROWS($1:3)&gt;COUNT(Dong4),"",OFFSET(TH!E$1,SMALL(Dong4,ROWS($1:3)),))</f>
        <v/>
      </c>
      <c r="D19" s="457" t="str">
        <f ca="1">IF(ROWS($1:3)&gt;COUNT(Dong4),"",OFFSET(TH!F$1,SMALL(Dong4,ROWS($1:3)),))</f>
        <v/>
      </c>
      <c r="E19" s="278" t="str">
        <f ca="1">IF(ROWS($1:3)&gt;COUNT(Dong4),"",IF(LEFT(OFFSET(TH!O$1,SMALL(Dong4,ROWS($1:3)),),3)="341",OFFSET(TH!N$1,SMALL(Dong4,ROWS($1:3)),),OFFSET(TH!O$1,SMALL(Dong4,ROWS($1:3)),)))</f>
        <v/>
      </c>
      <c r="F19" s="458"/>
      <c r="G19" s="459" t="str">
        <f ca="1">IF(ROWS($1:3)&gt;COUNT(Dong4),"",IF(LEFT(OFFSET(TH!N$1,SMALL(Dong4,ROWS($1:3)),),3)="341",OFFSET(TH!K$1,SMALL(Dong4,ROWS($1:3)),),0))</f>
        <v/>
      </c>
      <c r="H19" s="458" t="str">
        <f ca="1">IF(ROWS($1:3)&gt;COUNT(Dong4),"",IF(LEFT(OFFSET(TH!N$1,SMALL(Dong4,ROWS($1:3)),),3)="341",OFFSET(TH!M$1,SMALL(Dong4,ROWS($1:3)),),0))</f>
        <v/>
      </c>
      <c r="I19" s="459" t="str">
        <f ca="1">IF(ROWS($1:3)&gt;COUNT(Dong4),"",IF(LEFT(OFFSET(TH!O$1,SMALL(Dong4,ROWS($1:3)),),3)="341",OFFSET(TH!K$1,SMALL(Dong4,ROWS($1:3)),),0))</f>
        <v/>
      </c>
      <c r="J19" s="458" t="str">
        <f ca="1">IF(ROWS($1:3)&gt;COUNT(Dong4),"",IF(LEFT(OFFSET(TH!O$1,SMALL(Dong4,ROWS($1:3)),),3)="341",OFFSET(TH!M$1,SMALL(Dong4,ROWS($1:3)),),0))</f>
        <v/>
      </c>
      <c r="K19" s="269">
        <f ca="1">IF(C19&lt;&gt;"",ROUND(MAX(K18+G19-I19-M18,0),2),0)</f>
        <v>0</v>
      </c>
      <c r="L19" s="8">
        <f ca="1">IF(C19&lt;&gt;"",MAX(L18-N18+H19-J19,0),0)</f>
        <v>0</v>
      </c>
      <c r="M19" s="269">
        <f ca="1">IF(C19&lt;&gt;"",ROUND(MAX(M18+I19-G19-K18,0),2),0)</f>
        <v>0</v>
      </c>
      <c r="N19" s="8">
        <f ca="1">IF(C19&lt;&gt;"",MAX(N18-L18+J19-H19,0),0)</f>
        <v>0</v>
      </c>
    </row>
    <row r="20" spans="1:14" s="460" customFormat="1" ht="19.5" customHeight="1">
      <c r="A20" s="461"/>
      <c r="B20" s="461"/>
      <c r="C20" s="461"/>
      <c r="D20" s="462"/>
      <c r="E20" s="463"/>
      <c r="F20" s="464"/>
      <c r="G20" s="465"/>
      <c r="H20" s="465"/>
      <c r="I20" s="465"/>
      <c r="J20" s="466"/>
      <c r="K20" s="269"/>
      <c r="L20" s="8"/>
      <c r="M20" s="269"/>
      <c r="N20" s="8"/>
    </row>
    <row r="21" spans="1:14" s="18" customFormat="1" ht="19.5" customHeight="1">
      <c r="A21" s="278"/>
      <c r="B21" s="278"/>
      <c r="C21" s="278"/>
      <c r="D21" s="467" t="s">
        <v>43</v>
      </c>
      <c r="E21" s="388" t="s">
        <v>26</v>
      </c>
      <c r="F21" s="388" t="s">
        <v>26</v>
      </c>
      <c r="G21" s="468">
        <f ca="1">SUM(G17:G18)</f>
        <v>88000</v>
      </c>
      <c r="H21" s="469">
        <f ca="1">SUM(H17:H18)</f>
        <v>1982640000</v>
      </c>
      <c r="I21" s="468">
        <f ca="1">SUM(I17:I18)</f>
        <v>0</v>
      </c>
      <c r="J21" s="469">
        <f ca="1">SUM(J17:J18)</f>
        <v>0</v>
      </c>
      <c r="K21" s="469" t="s">
        <v>26</v>
      </c>
      <c r="L21" s="469" t="s">
        <v>26</v>
      </c>
      <c r="M21" s="469" t="s">
        <v>26</v>
      </c>
      <c r="N21" s="469" t="s">
        <v>26</v>
      </c>
    </row>
    <row r="22" spans="1:14" s="18" customFormat="1" ht="19.5" customHeight="1">
      <c r="A22" s="470"/>
      <c r="B22" s="470"/>
      <c r="C22" s="470"/>
      <c r="D22" s="471" t="s">
        <v>13</v>
      </c>
      <c r="E22" s="472" t="s">
        <v>26</v>
      </c>
      <c r="F22" s="472" t="s">
        <v>26</v>
      </c>
      <c r="G22" s="472" t="s">
        <v>26</v>
      </c>
      <c r="H22" s="472" t="s">
        <v>26</v>
      </c>
      <c r="I22" s="472" t="s">
        <v>26</v>
      </c>
      <c r="J22" s="472" t="s">
        <v>26</v>
      </c>
      <c r="K22" s="473">
        <f ca="1">MAX(K16+G21-M16-I21,0)</f>
        <v>0</v>
      </c>
      <c r="L22" s="474">
        <f ca="1">MAX(L16+H21-N16-J21,0)</f>
        <v>0</v>
      </c>
      <c r="M22" s="473">
        <f ca="1">MAX(M16+I21-K16-G21,0)</f>
        <v>0</v>
      </c>
      <c r="N22" s="474">
        <f ca="1">MAX(N16+J21-L16-H21,0)</f>
        <v>0</v>
      </c>
    </row>
    <row r="23" spans="1:14" s="18" customFormat="1">
      <c r="E23" s="422"/>
      <c r="F23" s="422"/>
    </row>
    <row r="24" spans="1:14" s="18" customFormat="1">
      <c r="A24" s="279" t="s">
        <v>356</v>
      </c>
      <c r="E24" s="422"/>
      <c r="F24" s="422"/>
    </row>
    <row r="25" spans="1:14" s="18" customFormat="1">
      <c r="A25" s="279" t="str">
        <f>"- Ngày mở sổ: "&amp; TEXT(VLOOKUP($H$9,'341'!$B$5:$P$22,2,0),"dd/MM/yy")</f>
        <v>- Ngày mở sổ: 24/12/15</v>
      </c>
      <c r="E25" s="422"/>
      <c r="F25" s="422"/>
    </row>
    <row r="26" spans="1:14" s="18" customFormat="1">
      <c r="E26" s="422"/>
      <c r="F26" s="422"/>
      <c r="L26" s="422" t="s">
        <v>357</v>
      </c>
    </row>
    <row r="27" spans="1:14" s="18" customFormat="1">
      <c r="C27" s="422" t="s">
        <v>14</v>
      </c>
      <c r="E27" s="422"/>
      <c r="F27" s="422"/>
      <c r="L27" s="422" t="s">
        <v>15</v>
      </c>
    </row>
    <row r="28" spans="1:14" s="18" customFormat="1">
      <c r="C28" s="422" t="s">
        <v>16</v>
      </c>
      <c r="E28" s="422"/>
      <c r="F28" s="422"/>
      <c r="L28" s="422" t="s">
        <v>16</v>
      </c>
    </row>
    <row r="29" spans="1:14" s="18" customFormat="1">
      <c r="E29" s="422"/>
      <c r="F29" s="422"/>
    </row>
    <row r="30" spans="1:14" s="18" customFormat="1">
      <c r="E30" s="422"/>
      <c r="F30" s="422"/>
    </row>
    <row r="31" spans="1:14" s="280" customFormat="1"/>
    <row r="32" spans="1:14" s="280" customFormat="1"/>
    <row r="33" spans="2:4" s="280" customFormat="1"/>
    <row r="34" spans="2:4" s="280" customFormat="1"/>
    <row r="35" spans="2:4" s="280" customFormat="1" ht="15">
      <c r="B35" s="475"/>
      <c r="C35" s="476" t="s">
        <v>358</v>
      </c>
      <c r="D35" s="475"/>
    </row>
    <row r="36" spans="2:4" s="280" customFormat="1"/>
    <row r="37" spans="2:4" s="280" customFormat="1"/>
    <row r="38" spans="2:4" s="280" customFormat="1"/>
    <row r="39" spans="2:4" s="280" customFormat="1"/>
    <row r="40" spans="2:4" s="280" customFormat="1"/>
    <row r="41" spans="2:4" s="280" customFormat="1"/>
    <row r="42" spans="2:4" s="280" customFormat="1"/>
    <row r="43" spans="2:4" s="280"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37" customWidth="1"/>
    <col min="2" max="2" width="7" style="537" customWidth="1"/>
    <col min="3" max="3" width="9.140625" style="537"/>
    <col min="4" max="4" width="25" style="537" customWidth="1"/>
    <col min="5" max="5" width="6.5703125" style="537" customWidth="1"/>
    <col min="6" max="10" width="10" style="537" customWidth="1"/>
    <col min="11" max="11" width="8.7109375" style="537" customWidth="1"/>
    <col min="12" max="12" width="15" style="537" customWidth="1"/>
    <col min="13" max="13" width="10" style="537" customWidth="1"/>
    <col min="14" max="14" width="9.42578125" style="537" customWidth="1"/>
    <col min="15" max="16384" width="9.140625" style="537"/>
  </cols>
  <sheetData>
    <row r="2" spans="1:14">
      <c r="A2" s="536" t="s">
        <v>273</v>
      </c>
      <c r="C2" s="538"/>
      <c r="F2" s="539"/>
      <c r="G2" s="539"/>
      <c r="H2" s="539"/>
      <c r="I2" s="539"/>
      <c r="J2" s="539"/>
      <c r="K2" s="539" t="s">
        <v>500</v>
      </c>
      <c r="L2" s="539"/>
      <c r="M2" s="539"/>
      <c r="N2" s="539"/>
    </row>
    <row r="3" spans="1:14">
      <c r="A3" s="536" t="s">
        <v>275</v>
      </c>
      <c r="C3" s="538"/>
      <c r="F3" s="540"/>
      <c r="G3" s="540"/>
      <c r="H3" s="540"/>
      <c r="I3" s="540"/>
      <c r="J3" s="540"/>
      <c r="K3" s="540" t="s">
        <v>344</v>
      </c>
      <c r="L3" s="540"/>
      <c r="M3" s="540"/>
      <c r="N3" s="540"/>
    </row>
    <row r="4" spans="1:14">
      <c r="F4" s="540"/>
      <c r="G4" s="540"/>
      <c r="H4" s="540"/>
      <c r="I4" s="540"/>
      <c r="J4" s="540"/>
      <c r="K4" s="540" t="s">
        <v>345</v>
      </c>
      <c r="L4" s="540"/>
      <c r="M4" s="540"/>
      <c r="N4" s="540"/>
    </row>
    <row r="5" spans="1:14" s="541" customFormat="1" ht="23.25" customHeight="1">
      <c r="A5" s="1184" t="s">
        <v>501</v>
      </c>
      <c r="B5" s="1184"/>
      <c r="C5" s="1184"/>
      <c r="D5" s="1184"/>
      <c r="E5" s="1184"/>
      <c r="F5" s="1184"/>
      <c r="G5" s="1184"/>
      <c r="H5" s="1184"/>
      <c r="I5" s="1184"/>
      <c r="J5" s="1184"/>
      <c r="K5" s="1184"/>
      <c r="L5" s="1184"/>
      <c r="M5" s="1184"/>
      <c r="N5" s="1184"/>
    </row>
    <row r="6" spans="1:14">
      <c r="A6" s="1185" t="s">
        <v>365</v>
      </c>
      <c r="B6" s="1185" t="s">
        <v>502</v>
      </c>
      <c r="C6" s="1185"/>
      <c r="D6" s="1185"/>
      <c r="E6" s="1185"/>
      <c r="F6" s="1185"/>
      <c r="G6" s="1185"/>
      <c r="H6" s="1185"/>
      <c r="I6" s="1185"/>
      <c r="J6" s="1185"/>
      <c r="K6" s="1185"/>
      <c r="L6" s="1185"/>
      <c r="M6" s="1185"/>
      <c r="N6" s="1185"/>
    </row>
    <row r="7" spans="1:14">
      <c r="C7" s="1186"/>
      <c r="D7" s="1186"/>
      <c r="E7" s="1186"/>
      <c r="F7" s="1186"/>
      <c r="G7" s="1186"/>
      <c r="H7" s="1186"/>
      <c r="I7" s="1186"/>
      <c r="J7" s="1186"/>
      <c r="K7" s="1186"/>
      <c r="L7" s="1186"/>
      <c r="M7" s="1186"/>
      <c r="N7" s="1186"/>
    </row>
    <row r="8" spans="1:14" ht="15.75" customHeight="1">
      <c r="A8" s="1178" t="s">
        <v>27</v>
      </c>
      <c r="B8" s="1187" t="s">
        <v>1</v>
      </c>
      <c r="C8" s="1188"/>
      <c r="D8" s="1178" t="s">
        <v>0</v>
      </c>
      <c r="E8" s="1178" t="s">
        <v>19</v>
      </c>
      <c r="F8" s="1177" t="s">
        <v>28</v>
      </c>
      <c r="G8" s="1177"/>
      <c r="H8" s="1177"/>
      <c r="I8" s="1177"/>
      <c r="J8" s="1177"/>
      <c r="K8" s="1177"/>
      <c r="L8" s="1177" t="s">
        <v>38</v>
      </c>
      <c r="M8" s="1177"/>
      <c r="N8" s="1177"/>
    </row>
    <row r="9" spans="1:14" ht="15.75" customHeight="1">
      <c r="A9" s="1178"/>
      <c r="B9" s="1189"/>
      <c r="C9" s="1190"/>
      <c r="D9" s="1178"/>
      <c r="E9" s="1178"/>
      <c r="F9" s="1177" t="s">
        <v>503</v>
      </c>
      <c r="G9" s="1177"/>
      <c r="H9" s="1177"/>
      <c r="I9" s="1177" t="s">
        <v>504</v>
      </c>
      <c r="J9" s="1177"/>
      <c r="K9" s="1177"/>
      <c r="L9" s="1178" t="s">
        <v>505</v>
      </c>
      <c r="M9" s="1178" t="s">
        <v>506</v>
      </c>
      <c r="N9" s="1178" t="s">
        <v>507</v>
      </c>
    </row>
    <row r="10" spans="1:14" ht="15.75" customHeight="1">
      <c r="A10" s="1178"/>
      <c r="B10" s="1180" t="s">
        <v>20</v>
      </c>
      <c r="C10" s="1180" t="s">
        <v>39</v>
      </c>
      <c r="D10" s="1178"/>
      <c r="E10" s="1178"/>
      <c r="F10" s="1182" t="s">
        <v>505</v>
      </c>
      <c r="G10" s="1182" t="s">
        <v>506</v>
      </c>
      <c r="H10" s="1182" t="s">
        <v>507</v>
      </c>
      <c r="I10" s="1182" t="s">
        <v>505</v>
      </c>
      <c r="J10" s="1182" t="s">
        <v>506</v>
      </c>
      <c r="K10" s="1182" t="s">
        <v>507</v>
      </c>
      <c r="L10" s="1179"/>
      <c r="M10" s="1179"/>
      <c r="N10" s="1179"/>
    </row>
    <row r="11" spans="1:14">
      <c r="A11" s="1178"/>
      <c r="B11" s="1181"/>
      <c r="C11" s="1181"/>
      <c r="D11" s="1178"/>
      <c r="E11" s="1178"/>
      <c r="F11" s="1183"/>
      <c r="G11" s="1183"/>
      <c r="H11" s="1183"/>
      <c r="I11" s="1183"/>
      <c r="J11" s="1183"/>
      <c r="K11" s="1183"/>
      <c r="L11" s="1179"/>
      <c r="M11" s="1179"/>
      <c r="N11" s="1179"/>
    </row>
    <row r="12" spans="1:14" s="540" customFormat="1">
      <c r="A12" s="542" t="s">
        <v>2</v>
      </c>
      <c r="B12" s="543" t="s">
        <v>3</v>
      </c>
      <c r="C12" s="542" t="s">
        <v>4</v>
      </c>
      <c r="D12" s="542" t="s">
        <v>5</v>
      </c>
      <c r="E12" s="542" t="s">
        <v>6</v>
      </c>
      <c r="F12" s="542">
        <v>1</v>
      </c>
      <c r="G12" s="542"/>
      <c r="H12" s="542"/>
      <c r="I12" s="542"/>
      <c r="J12" s="542"/>
      <c r="K12" s="542"/>
      <c r="L12" s="542"/>
      <c r="M12" s="542"/>
      <c r="N12" s="542"/>
    </row>
    <row r="13" spans="1:14">
      <c r="A13" s="544"/>
      <c r="B13" s="544"/>
      <c r="C13" s="544"/>
      <c r="D13" s="545" t="s">
        <v>7</v>
      </c>
      <c r="E13" s="544"/>
      <c r="F13" s="544"/>
      <c r="G13" s="544"/>
      <c r="H13" s="544"/>
      <c r="I13" s="544"/>
      <c r="J13" s="544"/>
      <c r="K13" s="544"/>
      <c r="L13" s="546">
        <f>CDPS!$D$45</f>
        <v>4000000000</v>
      </c>
      <c r="M13" s="544"/>
      <c r="N13" s="544"/>
    </row>
    <row r="14" spans="1:14">
      <c r="A14" s="547"/>
      <c r="B14" s="547"/>
      <c r="C14" s="547"/>
      <c r="D14" s="548" t="s">
        <v>508</v>
      </c>
      <c r="E14" s="547"/>
      <c r="F14" s="547"/>
      <c r="G14" s="547"/>
      <c r="H14" s="547"/>
      <c r="I14" s="547"/>
      <c r="J14" s="547"/>
      <c r="K14" s="547"/>
      <c r="L14" s="547"/>
      <c r="M14" s="547"/>
      <c r="N14" s="547"/>
    </row>
    <row r="15" spans="1:14">
      <c r="A15" s="547"/>
      <c r="B15" s="547"/>
      <c r="C15" s="547"/>
      <c r="D15" s="547"/>
      <c r="E15" s="547"/>
      <c r="F15" s="547"/>
      <c r="G15" s="547"/>
      <c r="H15" s="547"/>
      <c r="I15" s="547"/>
      <c r="J15" s="547"/>
      <c r="K15" s="547"/>
      <c r="L15" s="547"/>
      <c r="M15" s="547"/>
      <c r="N15" s="547"/>
    </row>
    <row r="16" spans="1:14">
      <c r="A16" s="547"/>
      <c r="B16" s="547"/>
      <c r="C16" s="547"/>
      <c r="D16" s="547"/>
      <c r="E16" s="547"/>
      <c r="F16" s="547"/>
      <c r="G16" s="547"/>
      <c r="H16" s="547"/>
      <c r="I16" s="547"/>
      <c r="J16" s="547"/>
      <c r="K16" s="547"/>
      <c r="L16" s="547"/>
      <c r="M16" s="547"/>
      <c r="N16" s="547"/>
    </row>
    <row r="17" spans="1:14">
      <c r="A17" s="547"/>
      <c r="B17" s="547"/>
      <c r="C17" s="547"/>
      <c r="D17" s="547"/>
      <c r="E17" s="547"/>
      <c r="F17" s="547"/>
      <c r="G17" s="547"/>
      <c r="H17" s="547"/>
      <c r="I17" s="547"/>
      <c r="J17" s="547"/>
      <c r="K17" s="547"/>
      <c r="L17" s="547"/>
      <c r="M17" s="547"/>
      <c r="N17" s="547"/>
    </row>
    <row r="18" spans="1:14">
      <c r="A18" s="547"/>
      <c r="B18" s="547"/>
      <c r="C18" s="547"/>
      <c r="D18" s="547"/>
      <c r="E18" s="547"/>
      <c r="F18" s="547"/>
      <c r="G18" s="547"/>
      <c r="H18" s="547"/>
      <c r="I18" s="547"/>
      <c r="J18" s="547"/>
      <c r="K18" s="547"/>
      <c r="L18" s="547"/>
      <c r="M18" s="547"/>
      <c r="N18" s="547"/>
    </row>
    <row r="19" spans="1:14">
      <c r="A19" s="547"/>
      <c r="B19" s="547"/>
      <c r="C19" s="547"/>
      <c r="D19" s="547"/>
      <c r="E19" s="547"/>
      <c r="F19" s="547"/>
      <c r="G19" s="547"/>
      <c r="H19" s="547"/>
      <c r="I19" s="547"/>
      <c r="J19" s="547"/>
      <c r="K19" s="547"/>
      <c r="L19" s="547"/>
      <c r="M19" s="547"/>
      <c r="N19" s="547"/>
    </row>
    <row r="20" spans="1:14">
      <c r="A20" s="547"/>
      <c r="B20" s="547"/>
      <c r="C20" s="547"/>
      <c r="D20" s="547"/>
      <c r="E20" s="547"/>
      <c r="F20" s="547"/>
      <c r="G20" s="547"/>
      <c r="H20" s="547"/>
      <c r="I20" s="547"/>
      <c r="J20" s="547"/>
      <c r="K20" s="547"/>
      <c r="L20" s="547"/>
      <c r="M20" s="547"/>
      <c r="N20" s="547"/>
    </row>
    <row r="21" spans="1:14">
      <c r="A21" s="547"/>
      <c r="B21" s="547"/>
      <c r="C21" s="547"/>
      <c r="D21" s="549"/>
      <c r="E21" s="549"/>
      <c r="F21" s="549"/>
      <c r="G21" s="549"/>
      <c r="H21" s="549"/>
      <c r="I21" s="549"/>
      <c r="J21" s="549"/>
      <c r="K21" s="549"/>
      <c r="L21" s="549"/>
      <c r="M21" s="549"/>
      <c r="N21" s="549"/>
    </row>
    <row r="22" spans="1:14">
      <c r="A22" s="547"/>
      <c r="B22" s="547"/>
      <c r="C22" s="547"/>
      <c r="D22" s="550" t="s">
        <v>238</v>
      </c>
      <c r="E22" s="551" t="s">
        <v>26</v>
      </c>
      <c r="F22" s="551"/>
      <c r="G22" s="551"/>
      <c r="H22" s="551"/>
      <c r="I22" s="551"/>
      <c r="J22" s="551"/>
      <c r="K22" s="551"/>
      <c r="L22" s="551"/>
      <c r="M22" s="551"/>
      <c r="N22" s="551"/>
    </row>
    <row r="23" spans="1:14">
      <c r="A23" s="552"/>
      <c r="B23" s="552"/>
      <c r="C23" s="552"/>
      <c r="D23" s="553" t="s">
        <v>13</v>
      </c>
      <c r="E23" s="552" t="s">
        <v>26</v>
      </c>
      <c r="F23" s="552"/>
      <c r="G23" s="552"/>
      <c r="H23" s="552"/>
      <c r="I23" s="552"/>
      <c r="J23" s="552"/>
      <c r="K23" s="552"/>
      <c r="L23" s="554">
        <f>L13+L22</f>
        <v>4000000000</v>
      </c>
      <c r="M23" s="552"/>
      <c r="N23" s="552"/>
    </row>
    <row r="25" spans="1:14">
      <c r="C25" s="555" t="s">
        <v>509</v>
      </c>
    </row>
    <row r="26" spans="1:14">
      <c r="C26" s="555" t="s">
        <v>510</v>
      </c>
    </row>
    <row r="27" spans="1:14">
      <c r="B27" s="556"/>
      <c r="C27" s="556"/>
      <c r="D27" s="556"/>
      <c r="E27" s="1176" t="s">
        <v>511</v>
      </c>
      <c r="F27" s="1176"/>
      <c r="G27" s="1176"/>
      <c r="H27" s="1176"/>
      <c r="I27" s="1176"/>
      <c r="J27" s="1176"/>
      <c r="K27" s="1176"/>
      <c r="L27" s="1176"/>
      <c r="M27" s="1176"/>
      <c r="N27" s="1176"/>
    </row>
    <row r="28" spans="1:14">
      <c r="A28" s="1176" t="s">
        <v>14</v>
      </c>
      <c r="B28" s="1176"/>
      <c r="C28" s="1176"/>
      <c r="D28" s="1176"/>
      <c r="E28" s="1176" t="s">
        <v>15</v>
      </c>
      <c r="F28" s="1176"/>
      <c r="G28" s="1176"/>
      <c r="H28" s="1176"/>
      <c r="I28" s="1176"/>
      <c r="J28" s="1176"/>
      <c r="K28" s="1176"/>
      <c r="L28" s="1176"/>
      <c r="M28" s="1176"/>
      <c r="N28" s="1176"/>
    </row>
    <row r="29" spans="1:14">
      <c r="A29" s="1176" t="s">
        <v>16</v>
      </c>
      <c r="B29" s="1176"/>
      <c r="C29" s="1176"/>
      <c r="D29" s="1176"/>
      <c r="E29" s="1176" t="s">
        <v>16</v>
      </c>
      <c r="F29" s="1176"/>
      <c r="G29" s="1176"/>
      <c r="H29" s="1176"/>
      <c r="I29" s="1176"/>
      <c r="J29" s="1176"/>
      <c r="K29" s="1176"/>
      <c r="L29" s="1176"/>
      <c r="M29" s="1176"/>
      <c r="N29" s="1176"/>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70" hidden="1" customWidth="1"/>
    <col min="2" max="2" width="3.42578125" style="570" customWidth="1"/>
    <col min="3" max="3" width="28.28515625" style="570" customWidth="1"/>
    <col min="4" max="4" width="7.7109375" style="575" customWidth="1"/>
    <col min="5" max="5" width="9.42578125" style="626" customWidth="1"/>
    <col min="6" max="6" width="12.5703125" style="626" customWidth="1"/>
    <col min="7" max="7" width="9.85546875" style="579" customWidth="1"/>
    <col min="8" max="8" width="15.42578125" style="579" customWidth="1"/>
    <col min="9" max="9" width="11.7109375" style="579" customWidth="1"/>
    <col min="10" max="10" width="13.85546875" style="579" customWidth="1"/>
    <col min="11" max="11" width="12" style="579" customWidth="1"/>
    <col min="12" max="12" width="12.85546875" style="579" customWidth="1"/>
    <col min="13" max="13" width="3.28515625" style="571" customWidth="1"/>
    <col min="14" max="14" width="24.140625" style="570" customWidth="1"/>
    <col min="15" max="15" width="10.5703125" style="570" customWidth="1"/>
    <col min="16" max="16" width="10.42578125" style="570" customWidth="1"/>
    <col min="17" max="17" width="22.28515625" style="570" customWidth="1"/>
    <col min="18" max="18" width="12" style="570" customWidth="1"/>
    <col min="19" max="19" width="4.85546875" style="570" customWidth="1"/>
    <col min="20" max="16384" width="9.140625" style="570"/>
  </cols>
  <sheetData>
    <row r="1" spans="1:19" s="525" customFormat="1" ht="14.25" customHeight="1">
      <c r="B1" s="557" t="s">
        <v>512</v>
      </c>
      <c r="C1" s="558"/>
      <c r="D1" s="558"/>
      <c r="E1" s="558"/>
      <c r="F1" s="559"/>
      <c r="G1" s="559"/>
      <c r="H1" s="1156" t="s">
        <v>513</v>
      </c>
      <c r="I1" s="1156"/>
      <c r="J1" s="1156"/>
      <c r="K1" s="1156"/>
      <c r="L1" s="1156"/>
      <c r="M1" s="560"/>
      <c r="N1" s="276"/>
      <c r="O1" s="523"/>
    </row>
    <row r="2" spans="1:19" s="525" customFormat="1" ht="14.25" customHeight="1">
      <c r="B2" s="561" t="s">
        <v>514</v>
      </c>
      <c r="C2" s="562"/>
      <c r="D2" s="562"/>
      <c r="E2" s="562"/>
      <c r="F2" s="562"/>
      <c r="G2" s="562"/>
      <c r="H2" s="1157" t="s">
        <v>515</v>
      </c>
      <c r="I2" s="1157"/>
      <c r="J2" s="1157"/>
      <c r="K2" s="1157"/>
      <c r="L2" s="1157"/>
      <c r="M2" s="563"/>
      <c r="N2" s="277"/>
      <c r="O2" s="524"/>
    </row>
    <row r="3" spans="1:19" s="525" customFormat="1" ht="14.25" customHeight="1">
      <c r="B3" s="562"/>
      <c r="C3" s="562"/>
      <c r="D3" s="562"/>
      <c r="E3" s="562"/>
      <c r="F3" s="562"/>
      <c r="G3" s="562"/>
      <c r="H3" s="1192" t="s">
        <v>516</v>
      </c>
      <c r="I3" s="1192"/>
      <c r="J3" s="1192"/>
      <c r="K3" s="1192"/>
      <c r="L3" s="1192"/>
      <c r="M3" s="564"/>
      <c r="N3" s="565"/>
      <c r="O3" s="524"/>
    </row>
    <row r="4" spans="1:19" s="566" customFormat="1" ht="27.75" customHeight="1">
      <c r="B4" s="1193" t="s">
        <v>517</v>
      </c>
      <c r="C4" s="1193"/>
      <c r="D4" s="1193"/>
      <c r="E4" s="1193"/>
      <c r="F4" s="1193"/>
      <c r="G4" s="1193"/>
      <c r="H4" s="1193"/>
      <c r="I4" s="1193"/>
      <c r="J4" s="1193"/>
      <c r="K4" s="1193"/>
      <c r="L4" s="1193"/>
      <c r="M4" s="567"/>
    </row>
    <row r="5" spans="1:19" s="566" customFormat="1" ht="15" customHeight="1">
      <c r="B5" s="1191" t="s">
        <v>518</v>
      </c>
      <c r="C5" s="1191"/>
      <c r="D5" s="1191"/>
      <c r="E5" s="1191"/>
      <c r="F5" s="1191"/>
      <c r="G5" s="1191"/>
      <c r="H5" s="1191"/>
      <c r="I5" s="1191"/>
      <c r="J5" s="1191"/>
      <c r="K5" s="1191"/>
      <c r="L5" s="1191"/>
      <c r="M5" s="567"/>
    </row>
    <row r="6" spans="1:19" s="566" customFormat="1" ht="12.75" hidden="1" customHeight="1">
      <c r="B6" s="1191" t="s">
        <v>519</v>
      </c>
      <c r="C6" s="1191"/>
      <c r="D6" s="1191"/>
      <c r="E6" s="1191"/>
      <c r="F6" s="1191"/>
      <c r="G6" s="1191"/>
      <c r="H6" s="1191"/>
      <c r="I6" s="1191"/>
      <c r="J6" s="1191"/>
      <c r="K6" s="1191"/>
      <c r="L6" s="1191"/>
      <c r="M6" s="567"/>
    </row>
    <row r="7" spans="1:19" s="568" customFormat="1" ht="24" hidden="1" customHeight="1">
      <c r="C7" s="1203" t="s">
        <v>520</v>
      </c>
      <c r="D7" s="1203"/>
      <c r="E7" s="1203"/>
      <c r="F7" s="1203"/>
      <c r="G7" s="1203"/>
      <c r="H7" s="1203"/>
      <c r="I7" s="1203"/>
      <c r="J7" s="1203"/>
      <c r="K7" s="1203"/>
      <c r="L7" s="1203"/>
      <c r="M7" s="569"/>
    </row>
    <row r="8" spans="1:19" ht="20.25" customHeight="1">
      <c r="B8" s="1194" t="s">
        <v>46</v>
      </c>
      <c r="C8" s="1195" t="s">
        <v>521</v>
      </c>
      <c r="D8" s="1196" t="s">
        <v>522</v>
      </c>
      <c r="E8" s="1198" t="s">
        <v>249</v>
      </c>
      <c r="F8" s="1198"/>
      <c r="G8" s="1198"/>
      <c r="H8" s="1198"/>
      <c r="I8" s="1198"/>
      <c r="J8" s="1198"/>
      <c r="K8" s="1198"/>
      <c r="L8" s="1198"/>
      <c r="N8" s="1199" t="s">
        <v>523</v>
      </c>
      <c r="O8" s="1199" t="s">
        <v>524</v>
      </c>
      <c r="P8" s="1199" t="s">
        <v>525</v>
      </c>
      <c r="Q8" s="1199" t="s">
        <v>526</v>
      </c>
      <c r="R8" s="1199" t="s">
        <v>527</v>
      </c>
      <c r="S8" s="1199" t="s">
        <v>528</v>
      </c>
    </row>
    <row r="9" spans="1:19" ht="20.25" customHeight="1">
      <c r="B9" s="1194"/>
      <c r="C9" s="1195"/>
      <c r="D9" s="1197"/>
      <c r="E9" s="1198" t="s">
        <v>529</v>
      </c>
      <c r="F9" s="1198"/>
      <c r="G9" s="1202" t="s">
        <v>530</v>
      </c>
      <c r="H9" s="1202"/>
      <c r="I9" s="1202" t="s">
        <v>531</v>
      </c>
      <c r="J9" s="1202"/>
      <c r="K9" s="1202" t="s">
        <v>532</v>
      </c>
      <c r="L9" s="1202"/>
      <c r="N9" s="1200"/>
      <c r="O9" s="1200"/>
      <c r="P9" s="1200"/>
      <c r="Q9" s="1200"/>
      <c r="R9" s="1200"/>
      <c r="S9" s="1200"/>
    </row>
    <row r="10" spans="1:19" ht="20.25" hidden="1" customHeight="1">
      <c r="B10" s="1194"/>
      <c r="C10" s="1195"/>
      <c r="D10" s="572"/>
      <c r="E10" s="573" t="s">
        <v>533</v>
      </c>
      <c r="F10" s="573" t="s">
        <v>534</v>
      </c>
      <c r="G10" s="573" t="s">
        <v>533</v>
      </c>
      <c r="H10" s="573" t="s">
        <v>534</v>
      </c>
      <c r="I10" s="573" t="s">
        <v>533</v>
      </c>
      <c r="J10" s="573" t="s">
        <v>534</v>
      </c>
      <c r="K10" s="573" t="s">
        <v>533</v>
      </c>
      <c r="L10" s="573" t="s">
        <v>534</v>
      </c>
      <c r="N10" s="1201"/>
      <c r="O10" s="1201"/>
      <c r="P10" s="1201"/>
      <c r="Q10" s="1201"/>
      <c r="R10" s="574"/>
      <c r="S10" s="1201"/>
    </row>
    <row r="11" spans="1:19" s="575" customFormat="1">
      <c r="B11" s="576" t="s">
        <v>2</v>
      </c>
      <c r="C11" s="572" t="s">
        <v>3</v>
      </c>
      <c r="D11" s="572"/>
      <c r="E11" s="573">
        <v>1</v>
      </c>
      <c r="F11" s="573">
        <v>1</v>
      </c>
      <c r="G11" s="573">
        <v>2</v>
      </c>
      <c r="H11" s="573">
        <v>2</v>
      </c>
      <c r="I11" s="573">
        <v>3</v>
      </c>
      <c r="J11" s="573">
        <v>3</v>
      </c>
      <c r="K11" s="573">
        <v>4</v>
      </c>
      <c r="L11" s="573">
        <v>4</v>
      </c>
      <c r="M11" s="577"/>
      <c r="N11" s="578"/>
      <c r="O11" s="578"/>
      <c r="P11" s="578"/>
      <c r="Q11" s="578"/>
      <c r="R11" s="578"/>
      <c r="S11" s="578"/>
    </row>
    <row r="12" spans="1:19" ht="18" customHeight="1">
      <c r="A12" s="579" t="str">
        <f>IF(B12&lt;&gt;"","VL","")</f>
        <v>VL</v>
      </c>
      <c r="B12" s="580">
        <f>IF(C12&lt;&gt;"",ROW()-(ROW()-1),"")</f>
        <v>1</v>
      </c>
      <c r="C12" s="581" t="s">
        <v>770</v>
      </c>
      <c r="D12" s="582" t="s">
        <v>535</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83"/>
      <c r="N12" s="584" t="s">
        <v>536</v>
      </c>
      <c r="O12" s="581" t="s">
        <v>537</v>
      </c>
      <c r="P12" s="585">
        <v>330593933</v>
      </c>
      <c r="Q12" s="585" t="s">
        <v>538</v>
      </c>
      <c r="R12" s="585"/>
      <c r="S12" s="585" t="s">
        <v>539</v>
      </c>
    </row>
    <row r="13" spans="1:19" ht="18" customHeight="1">
      <c r="A13" s="579" t="str">
        <f t="shared" ref="A13:A34" si="1">IF(B13&lt;&gt;"","VL","")</f>
        <v>VL</v>
      </c>
      <c r="B13" s="580">
        <f>IF(C13&lt;&gt;"",B12+1,"")</f>
        <v>2</v>
      </c>
      <c r="C13" s="586" t="s">
        <v>771</v>
      </c>
      <c r="D13" s="587" t="s">
        <v>535</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83"/>
      <c r="N13" s="586" t="s">
        <v>540</v>
      </c>
      <c r="O13" s="585" t="s">
        <v>537</v>
      </c>
      <c r="P13" s="585">
        <v>320775664</v>
      </c>
      <c r="Q13" s="585" t="s">
        <v>541</v>
      </c>
      <c r="R13" s="585"/>
      <c r="S13" s="585" t="s">
        <v>539</v>
      </c>
    </row>
    <row r="14" spans="1:19" ht="18" customHeight="1">
      <c r="A14" s="579" t="str">
        <f t="shared" si="1"/>
        <v>VL</v>
      </c>
      <c r="B14" s="580">
        <f t="shared" ref="B14:B33" si="2">IF(C14&lt;&gt;"",B13+1,"")</f>
        <v>3</v>
      </c>
      <c r="C14" s="586" t="s">
        <v>896</v>
      </c>
      <c r="D14" s="587"/>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83"/>
      <c r="N14" s="586" t="s">
        <v>542</v>
      </c>
      <c r="O14" s="588" t="s">
        <v>537</v>
      </c>
      <c r="P14" s="585">
        <v>320892558</v>
      </c>
      <c r="Q14" s="585" t="s">
        <v>543</v>
      </c>
      <c r="R14" s="585"/>
      <c r="S14" s="585" t="s">
        <v>539</v>
      </c>
    </row>
    <row r="15" spans="1:19" ht="18" customHeight="1">
      <c r="A15" s="579" t="str">
        <f t="shared" si="1"/>
        <v>VL</v>
      </c>
      <c r="B15" s="580">
        <f t="shared" si="2"/>
        <v>4</v>
      </c>
      <c r="C15" s="586" t="s">
        <v>897</v>
      </c>
      <c r="D15" s="587"/>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83"/>
      <c r="N15" s="586" t="s">
        <v>544</v>
      </c>
      <c r="O15" s="588" t="s">
        <v>537</v>
      </c>
      <c r="P15" s="585">
        <v>320892578</v>
      </c>
      <c r="Q15" s="585" t="s">
        <v>545</v>
      </c>
      <c r="R15" s="585"/>
      <c r="S15" s="585" t="s">
        <v>539</v>
      </c>
    </row>
    <row r="16" spans="1:19" ht="18" customHeight="1">
      <c r="A16" s="579" t="str">
        <f t="shared" si="1"/>
        <v/>
      </c>
      <c r="B16" s="580" t="str">
        <f t="shared" si="2"/>
        <v/>
      </c>
      <c r="C16" s="586"/>
      <c r="D16" s="587"/>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83"/>
      <c r="N16" s="586" t="s">
        <v>546</v>
      </c>
      <c r="O16" s="588" t="s">
        <v>537</v>
      </c>
      <c r="P16" s="585">
        <v>321179471</v>
      </c>
      <c r="Q16" s="585" t="s">
        <v>547</v>
      </c>
      <c r="R16" s="585"/>
      <c r="S16" s="585" t="s">
        <v>539</v>
      </c>
    </row>
    <row r="17" spans="1:20" ht="18" customHeight="1">
      <c r="A17" s="579" t="str">
        <f t="shared" si="1"/>
        <v/>
      </c>
      <c r="B17" s="580" t="str">
        <f t="shared" si="2"/>
        <v/>
      </c>
      <c r="C17" s="589"/>
      <c r="D17" s="590"/>
      <c r="E17" s="515"/>
      <c r="F17" s="515"/>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83"/>
      <c r="N17" s="586" t="s">
        <v>548</v>
      </c>
      <c r="O17" s="588" t="s">
        <v>537</v>
      </c>
      <c r="P17" s="585">
        <v>324478047</v>
      </c>
      <c r="Q17" s="585" t="s">
        <v>549</v>
      </c>
      <c r="R17" s="585"/>
      <c r="S17" s="585" t="s">
        <v>539</v>
      </c>
    </row>
    <row r="18" spans="1:20" ht="18" customHeight="1">
      <c r="A18" s="579" t="str">
        <f t="shared" si="1"/>
        <v/>
      </c>
      <c r="B18" s="580" t="str">
        <f t="shared" si="2"/>
        <v/>
      </c>
      <c r="C18" s="589"/>
      <c r="D18" s="591"/>
      <c r="E18" s="515"/>
      <c r="F18" s="515"/>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83"/>
      <c r="N18" s="586" t="s">
        <v>550</v>
      </c>
      <c r="O18" s="588" t="s">
        <v>537</v>
      </c>
      <c r="P18" s="585">
        <v>321413712</v>
      </c>
      <c r="Q18" s="585" t="s">
        <v>551</v>
      </c>
      <c r="R18" s="585"/>
      <c r="S18" s="585" t="s">
        <v>539</v>
      </c>
    </row>
    <row r="19" spans="1:20" ht="18" customHeight="1">
      <c r="A19" s="579" t="str">
        <f t="shared" si="1"/>
        <v/>
      </c>
      <c r="B19" s="580" t="str">
        <f t="shared" si="2"/>
        <v/>
      </c>
      <c r="C19" s="589"/>
      <c r="D19" s="591"/>
      <c r="E19" s="515"/>
      <c r="F19" s="515"/>
      <c r="G19" s="25">
        <f t="array" ref="G19">SUM(IF("1522"&amp;C19=KHN&amp;MH,SL))</f>
        <v>0</v>
      </c>
      <c r="H19" s="25">
        <f t="array" ref="H19">SUM(IF("1522"&amp;C19=KHN&amp;MH,TH))</f>
        <v>0</v>
      </c>
      <c r="I19" s="25">
        <f t="array" ref="I19">SUM(IF("1522"&amp;C19=KHC&amp;MH,SL))</f>
        <v>0</v>
      </c>
      <c r="J19" s="25">
        <f t="array" ref="J19">SUM(IF("1522"&amp;C19=KHC&amp;MH,TH))</f>
        <v>0</v>
      </c>
      <c r="K19" s="515">
        <f t="shared" si="0"/>
        <v>0</v>
      </c>
      <c r="L19" s="515">
        <f t="shared" si="0"/>
        <v>0</v>
      </c>
      <c r="M19" s="583"/>
      <c r="N19" s="586" t="s">
        <v>552</v>
      </c>
      <c r="O19" s="581" t="s">
        <v>537</v>
      </c>
      <c r="P19" s="585">
        <v>320744085</v>
      </c>
      <c r="Q19" s="585" t="s">
        <v>541</v>
      </c>
      <c r="R19" s="585"/>
      <c r="S19" s="585" t="s">
        <v>539</v>
      </c>
    </row>
    <row r="20" spans="1:20" ht="18" customHeight="1">
      <c r="A20" s="579" t="str">
        <f t="shared" si="1"/>
        <v/>
      </c>
      <c r="B20" s="580" t="str">
        <f t="shared" si="2"/>
        <v/>
      </c>
      <c r="C20" s="592"/>
      <c r="D20" s="593"/>
      <c r="E20" s="594"/>
      <c r="F20" s="594"/>
      <c r="G20" s="25">
        <f t="array" ref="G20">SUM(IF("1522"&amp;C20=KHN&amp;MH,SL))</f>
        <v>0</v>
      </c>
      <c r="H20" s="25">
        <f t="array" ref="H20">SUM(IF("1522"&amp;C20=KHN&amp;MH,TH))</f>
        <v>0</v>
      </c>
      <c r="I20" s="25">
        <f t="array" ref="I20">SUM(IF("1522"&amp;C20=KHC&amp;MH,SL))</f>
        <v>0</v>
      </c>
      <c r="J20" s="25">
        <f t="array" ref="J20">SUM(IF("1522"&amp;C20=KHC&amp;MH,TH))</f>
        <v>0</v>
      </c>
      <c r="K20" s="595">
        <f t="shared" si="0"/>
        <v>0</v>
      </c>
      <c r="L20" s="595">
        <f t="shared" si="0"/>
        <v>0</v>
      </c>
      <c r="M20" s="583"/>
      <c r="N20" s="586" t="s">
        <v>553</v>
      </c>
      <c r="O20" s="581" t="s">
        <v>537</v>
      </c>
      <c r="P20" s="585">
        <v>320807672</v>
      </c>
      <c r="Q20" s="585" t="s">
        <v>554</v>
      </c>
      <c r="R20" s="585"/>
      <c r="S20" s="585" t="s">
        <v>539</v>
      </c>
    </row>
    <row r="21" spans="1:20" ht="18" customHeight="1">
      <c r="A21" s="579" t="str">
        <f t="shared" si="1"/>
        <v/>
      </c>
      <c r="B21" s="580" t="str">
        <f t="shared" si="2"/>
        <v/>
      </c>
      <c r="C21" s="596"/>
      <c r="D21" s="593"/>
      <c r="E21" s="594"/>
      <c r="F21" s="594"/>
      <c r="G21" s="25">
        <f t="array" ref="G21">SUM(IF("1522"&amp;C21=KHN&amp;MH,SL))</f>
        <v>0</v>
      </c>
      <c r="H21" s="25">
        <f t="array" ref="H21">SUM(IF("1522"&amp;C21=KHN&amp;MH,TH))</f>
        <v>0</v>
      </c>
      <c r="I21" s="25">
        <f t="array" ref="I21">SUM(IF("1522"&amp;C21=KHC&amp;MH,SL))</f>
        <v>0</v>
      </c>
      <c r="J21" s="25">
        <f t="array" ref="J21">SUM(IF("1522"&amp;C21=KHC&amp;MH,TH))</f>
        <v>0</v>
      </c>
      <c r="K21" s="595">
        <f t="shared" si="0"/>
        <v>0</v>
      </c>
      <c r="L21" s="595">
        <f t="shared" si="0"/>
        <v>0</v>
      </c>
      <c r="M21" s="583"/>
      <c r="N21" s="586" t="s">
        <v>555</v>
      </c>
      <c r="O21" s="581" t="s">
        <v>537</v>
      </c>
      <c r="P21" s="585">
        <v>320044169</v>
      </c>
      <c r="Q21" s="585" t="s">
        <v>556</v>
      </c>
      <c r="R21" s="585"/>
      <c r="S21" s="585" t="s">
        <v>539</v>
      </c>
    </row>
    <row r="22" spans="1:20" ht="18" customHeight="1">
      <c r="A22" s="579" t="str">
        <f t="shared" si="1"/>
        <v/>
      </c>
      <c r="B22" s="580" t="str">
        <f t="shared" si="2"/>
        <v/>
      </c>
      <c r="C22" s="596"/>
      <c r="D22" s="593"/>
      <c r="E22" s="594"/>
      <c r="F22" s="594"/>
      <c r="G22" s="25">
        <f t="array" ref="G22">SUM(IF("1522"&amp;C22=KHN&amp;MH,SL))</f>
        <v>0</v>
      </c>
      <c r="H22" s="25">
        <f t="array" ref="H22">SUM(IF("1522"&amp;C22=KHN&amp;MH,TH))</f>
        <v>0</v>
      </c>
      <c r="I22" s="25">
        <f t="array" ref="I22">SUM(IF("1522"&amp;C22=KHC&amp;MH,SL))</f>
        <v>0</v>
      </c>
      <c r="J22" s="25">
        <f t="array" ref="J22">SUM(IF("1522"&amp;C22=KHC&amp;MH,TH))</f>
        <v>0</v>
      </c>
      <c r="K22" s="595">
        <f t="shared" si="0"/>
        <v>0</v>
      </c>
      <c r="L22" s="595">
        <f t="shared" si="0"/>
        <v>0</v>
      </c>
      <c r="M22" s="583"/>
      <c r="N22" s="597" t="s">
        <v>557</v>
      </c>
      <c r="O22" s="581" t="s">
        <v>537</v>
      </c>
      <c r="P22" s="585">
        <v>320881573</v>
      </c>
      <c r="Q22" s="585" t="s">
        <v>554</v>
      </c>
      <c r="R22" s="585"/>
      <c r="S22" s="585" t="s">
        <v>539</v>
      </c>
    </row>
    <row r="23" spans="1:20" ht="18" customHeight="1">
      <c r="A23" s="579" t="str">
        <f t="shared" si="1"/>
        <v/>
      </c>
      <c r="B23" s="580" t="str">
        <f t="shared" si="2"/>
        <v/>
      </c>
      <c r="C23" s="596"/>
      <c r="D23" s="593"/>
      <c r="E23" s="594"/>
      <c r="F23" s="594"/>
      <c r="G23" s="25">
        <f t="array" ref="G23">SUM(IF("1522"&amp;C23=KHN&amp;MH,SL))</f>
        <v>0</v>
      </c>
      <c r="H23" s="25">
        <f t="array" ref="H23">SUM(IF("1522"&amp;C23=KHN&amp;MH,TH))</f>
        <v>0</v>
      </c>
      <c r="I23" s="25">
        <f t="array" ref="I23">SUM(IF("1522"&amp;C23=KHC&amp;MH,SL))</f>
        <v>0</v>
      </c>
      <c r="J23" s="25">
        <f t="array" ref="J23">SUM(IF("1522"&amp;C23=KHC&amp;MH,TH))</f>
        <v>0</v>
      </c>
      <c r="K23" s="595">
        <f t="shared" si="0"/>
        <v>0</v>
      </c>
      <c r="L23" s="595">
        <f t="shared" si="0"/>
        <v>0</v>
      </c>
      <c r="M23" s="583"/>
      <c r="N23" s="586" t="s">
        <v>558</v>
      </c>
      <c r="O23" s="581" t="s">
        <v>537</v>
      </c>
      <c r="P23" s="585">
        <v>320876558</v>
      </c>
      <c r="Q23" s="585" t="s">
        <v>559</v>
      </c>
      <c r="R23" s="585"/>
      <c r="S23" s="585" t="s">
        <v>539</v>
      </c>
    </row>
    <row r="24" spans="1:20" ht="18" customHeight="1">
      <c r="A24" s="579" t="str">
        <f t="shared" si="1"/>
        <v/>
      </c>
      <c r="B24" s="580" t="str">
        <f t="shared" si="2"/>
        <v/>
      </c>
      <c r="C24" s="596"/>
      <c r="D24" s="593"/>
      <c r="E24" s="594"/>
      <c r="F24" s="594"/>
      <c r="G24" s="25">
        <f t="array" ref="G24">SUM(IF("1522"&amp;C24=KHN&amp;MH,SL))</f>
        <v>0</v>
      </c>
      <c r="H24" s="25">
        <f t="array" ref="H24">SUM(IF("1522"&amp;C24=KHN&amp;MH,TH))</f>
        <v>0</v>
      </c>
      <c r="I24" s="25">
        <f t="array" ref="I24">SUM(IF("1522"&amp;C24=KHC&amp;MH,SL))</f>
        <v>0</v>
      </c>
      <c r="J24" s="25">
        <f t="array" ref="J24">SUM(IF("1522"&amp;C24=KHC&amp;MH,TH))</f>
        <v>0</v>
      </c>
      <c r="K24" s="594">
        <f t="shared" si="0"/>
        <v>0</v>
      </c>
      <c r="L24" s="594">
        <f t="shared" si="0"/>
        <v>0</v>
      </c>
      <c r="M24" s="583"/>
      <c r="N24" s="586" t="s">
        <v>560</v>
      </c>
      <c r="O24" s="588" t="s">
        <v>561</v>
      </c>
      <c r="P24" s="585">
        <v>250746332</v>
      </c>
      <c r="Q24" s="585" t="s">
        <v>562</v>
      </c>
      <c r="R24" s="585"/>
      <c r="S24" s="585" t="s">
        <v>539</v>
      </c>
    </row>
    <row r="25" spans="1:20" ht="18" customHeight="1">
      <c r="A25" s="579" t="str">
        <f t="shared" si="1"/>
        <v/>
      </c>
      <c r="B25" s="580" t="str">
        <f t="shared" si="2"/>
        <v/>
      </c>
      <c r="C25" s="598"/>
      <c r="D25" s="599"/>
      <c r="E25" s="600"/>
      <c r="F25" s="600"/>
      <c r="G25" s="25">
        <f t="array" ref="G25">SUM(IF("1522"&amp;C25=KHN&amp;MH,SL))</f>
        <v>0</v>
      </c>
      <c r="H25" s="25">
        <f t="array" ref="H25">SUM(IF("1522"&amp;C25=KHN&amp;MH,TH))</f>
        <v>0</v>
      </c>
      <c r="I25" s="25">
        <f t="array" ref="I25">SUM(IF("1522"&amp;C25=KHC&amp;MH,SL))</f>
        <v>0</v>
      </c>
      <c r="J25" s="25">
        <f t="array" ref="J25">SUM(IF("1522"&amp;C25=KHC&amp;MH,TH))</f>
        <v>0</v>
      </c>
      <c r="K25" s="601">
        <f t="shared" si="0"/>
        <v>0</v>
      </c>
      <c r="L25" s="601">
        <f t="shared" si="0"/>
        <v>0</v>
      </c>
      <c r="M25" s="583"/>
      <c r="N25" s="586" t="s">
        <v>563</v>
      </c>
      <c r="O25" s="588" t="s">
        <v>561</v>
      </c>
      <c r="P25" s="585">
        <v>260682094</v>
      </c>
      <c r="Q25" s="585" t="s">
        <v>562</v>
      </c>
      <c r="R25" s="585"/>
      <c r="S25" s="585" t="s">
        <v>539</v>
      </c>
    </row>
    <row r="26" spans="1:20" ht="18" customHeight="1">
      <c r="A26" s="579" t="str">
        <f t="shared" si="1"/>
        <v/>
      </c>
      <c r="B26" s="580" t="str">
        <f t="shared" si="2"/>
        <v/>
      </c>
      <c r="C26" s="598"/>
      <c r="D26" s="599"/>
      <c r="E26" s="600"/>
      <c r="F26" s="600"/>
      <c r="G26" s="25">
        <f t="array" ref="G26">SUM(IF("1522"&amp;C26=KHN&amp;MH,SL))</f>
        <v>0</v>
      </c>
      <c r="H26" s="25">
        <f t="array" ref="H26">SUM(IF("1522"&amp;C26=KHN&amp;MH,TH))</f>
        <v>0</v>
      </c>
      <c r="I26" s="25">
        <f t="array" ref="I26">SUM(IF("1522"&amp;C26=KHC&amp;MH,SL))</f>
        <v>0</v>
      </c>
      <c r="J26" s="25">
        <f t="array" ref="J26">SUM(IF("1522"&amp;C26=KHC&amp;MH,TH))</f>
        <v>0</v>
      </c>
      <c r="K26" s="601">
        <f t="shared" si="0"/>
        <v>0</v>
      </c>
      <c r="L26" s="601">
        <f t="shared" si="0"/>
        <v>0</v>
      </c>
      <c r="M26" s="583"/>
      <c r="N26" s="586" t="s">
        <v>564</v>
      </c>
      <c r="O26" s="588" t="s">
        <v>561</v>
      </c>
      <c r="P26" s="585">
        <v>260690910</v>
      </c>
      <c r="Q26" s="585" t="s">
        <v>565</v>
      </c>
      <c r="R26" s="585"/>
      <c r="S26" s="585" t="s">
        <v>539</v>
      </c>
    </row>
    <row r="27" spans="1:20" ht="18" customHeight="1">
      <c r="A27" s="579" t="str">
        <f t="shared" si="1"/>
        <v/>
      </c>
      <c r="B27" s="580" t="str">
        <f t="shared" si="2"/>
        <v/>
      </c>
      <c r="C27" s="598"/>
      <c r="D27" s="599"/>
      <c r="E27" s="600"/>
      <c r="F27" s="600"/>
      <c r="G27" s="25">
        <f t="array" ref="G27">SUM(IF("1522"&amp;C27=KHN&amp;MH,SL))</f>
        <v>0</v>
      </c>
      <c r="H27" s="25">
        <f t="array" ref="H27">SUM(IF("1522"&amp;C27=KHN&amp;MH,TH))</f>
        <v>0</v>
      </c>
      <c r="I27" s="25">
        <f t="array" ref="I27">SUM(IF("1522"&amp;C27=KHC&amp;MH,SL))</f>
        <v>0</v>
      </c>
      <c r="J27" s="25">
        <f t="array" ref="J27">SUM(IF("1522"&amp;C27=KHC&amp;MH,TH))</f>
        <v>0</v>
      </c>
      <c r="K27" s="601">
        <f t="shared" si="0"/>
        <v>0</v>
      </c>
      <c r="L27" s="601">
        <f t="shared" si="0"/>
        <v>0</v>
      </c>
      <c r="M27" s="583"/>
      <c r="N27" s="586" t="s">
        <v>566</v>
      </c>
      <c r="O27" s="588" t="s">
        <v>561</v>
      </c>
      <c r="P27" s="585">
        <v>260178873</v>
      </c>
      <c r="Q27" s="585" t="s">
        <v>567</v>
      </c>
      <c r="R27" s="585"/>
      <c r="S27" s="585" t="s">
        <v>539</v>
      </c>
    </row>
    <row r="28" spans="1:20" ht="18" customHeight="1">
      <c r="A28" s="579" t="str">
        <f t="shared" si="1"/>
        <v/>
      </c>
      <c r="B28" s="580" t="str">
        <f t="shared" si="2"/>
        <v/>
      </c>
      <c r="C28" s="598"/>
      <c r="D28" s="599"/>
      <c r="E28" s="600"/>
      <c r="F28" s="600"/>
      <c r="G28" s="25">
        <f t="array" ref="G28">SUM(IF("1522"&amp;C28=KHN&amp;MH,SL))</f>
        <v>0</v>
      </c>
      <c r="H28" s="25">
        <f t="array" ref="H28">SUM(IF("1522"&amp;C28=KHN&amp;MH,TH))</f>
        <v>0</v>
      </c>
      <c r="I28" s="25">
        <f t="array" ref="I28">SUM(IF("1522"&amp;C28=KHC&amp;MH,SL))</f>
        <v>0</v>
      </c>
      <c r="J28" s="25">
        <f t="array" ref="J28">SUM(IF("1522"&amp;C28=KHC&amp;MH,TH))</f>
        <v>0</v>
      </c>
      <c r="K28" s="601">
        <f t="shared" ref="K28:L33" si="3">E28+G28-I28</f>
        <v>0</v>
      </c>
      <c r="L28" s="601">
        <f t="shared" si="3"/>
        <v>0</v>
      </c>
      <c r="M28" s="583"/>
      <c r="N28" s="586" t="s">
        <v>568</v>
      </c>
      <c r="O28" s="588" t="s">
        <v>561</v>
      </c>
      <c r="P28" s="585">
        <v>260850613</v>
      </c>
      <c r="Q28" s="585" t="s">
        <v>567</v>
      </c>
      <c r="R28" s="585"/>
      <c r="S28" s="585" t="s">
        <v>539</v>
      </c>
      <c r="T28" s="602"/>
    </row>
    <row r="29" spans="1:20" s="602" customFormat="1" ht="18" customHeight="1">
      <c r="A29" s="579" t="str">
        <f t="shared" si="1"/>
        <v/>
      </c>
      <c r="B29" s="580" t="str">
        <f t="shared" si="2"/>
        <v/>
      </c>
      <c r="C29" s="598"/>
      <c r="D29" s="599"/>
      <c r="E29" s="600"/>
      <c r="F29" s="600"/>
      <c r="G29" s="25">
        <f t="array" ref="G29">SUM(IF("1522"&amp;C29=KHN&amp;MH,SL))</f>
        <v>0</v>
      </c>
      <c r="H29" s="25">
        <f t="array" ref="H29">SUM(IF("1522"&amp;C29=KHN&amp;MH,TH))</f>
        <v>0</v>
      </c>
      <c r="I29" s="25">
        <f t="array" ref="I29">SUM(IF("1522"&amp;C29=KHC&amp;MH,SL))</f>
        <v>0</v>
      </c>
      <c r="J29" s="25">
        <f t="array" ref="J29">SUM(IF("1522"&amp;C29=KHC&amp;MH,TH))</f>
        <v>0</v>
      </c>
      <c r="K29" s="600">
        <f t="shared" si="3"/>
        <v>0</v>
      </c>
      <c r="L29" s="600">
        <f t="shared" si="3"/>
        <v>0</v>
      </c>
      <c r="M29" s="583"/>
      <c r="N29" s="586" t="s">
        <v>569</v>
      </c>
      <c r="O29" s="588" t="s">
        <v>561</v>
      </c>
      <c r="P29" s="585">
        <v>280853616</v>
      </c>
      <c r="Q29" s="585" t="s">
        <v>567</v>
      </c>
      <c r="R29" s="585"/>
      <c r="S29" s="585" t="s">
        <v>539</v>
      </c>
    </row>
    <row r="30" spans="1:20" s="602" customFormat="1" ht="18" customHeight="1">
      <c r="A30" s="579" t="str">
        <f t="shared" si="1"/>
        <v/>
      </c>
      <c r="B30" s="580" t="str">
        <f t="shared" si="2"/>
        <v/>
      </c>
      <c r="C30" s="598"/>
      <c r="D30" s="599"/>
      <c r="E30" s="600"/>
      <c r="F30" s="600"/>
      <c r="G30" s="25">
        <f t="array" ref="G30">SUM(IF("1522"&amp;C30=KHN&amp;MH,SL))</f>
        <v>0</v>
      </c>
      <c r="H30" s="25">
        <f t="array" ref="H30">SUM(IF("1522"&amp;C30=KHN&amp;MH,TH))</f>
        <v>0</v>
      </c>
      <c r="I30" s="25">
        <f t="array" ref="I30">SUM(IF("1522"&amp;C30=KHC&amp;MH,SL))</f>
        <v>0</v>
      </c>
      <c r="J30" s="25">
        <f t="array" ref="J30">SUM(IF("1522"&amp;C30=KHC&amp;MH,TH))</f>
        <v>0</v>
      </c>
      <c r="K30" s="600">
        <f t="shared" si="3"/>
        <v>0</v>
      </c>
      <c r="L30" s="600">
        <f t="shared" si="3"/>
        <v>0</v>
      </c>
      <c r="M30" s="583"/>
      <c r="N30" s="586" t="s">
        <v>570</v>
      </c>
      <c r="O30" s="588" t="s">
        <v>561</v>
      </c>
      <c r="P30" s="585">
        <v>261005222</v>
      </c>
      <c r="Q30" s="585" t="s">
        <v>571</v>
      </c>
      <c r="R30" s="585"/>
      <c r="S30" s="585" t="s">
        <v>539</v>
      </c>
    </row>
    <row r="31" spans="1:20" s="602" customFormat="1" ht="18" customHeight="1">
      <c r="A31" s="579" t="str">
        <f t="shared" si="1"/>
        <v/>
      </c>
      <c r="B31" s="580" t="str">
        <f t="shared" si="2"/>
        <v/>
      </c>
      <c r="C31" s="598"/>
      <c r="D31" s="599"/>
      <c r="E31" s="600"/>
      <c r="F31" s="600"/>
      <c r="G31" s="25">
        <f t="array" ref="G31">SUM(IF("1522"&amp;C31=KHN&amp;MH,SL))</f>
        <v>0</v>
      </c>
      <c r="H31" s="25">
        <f t="array" ref="H31">SUM(IF("1522"&amp;C31=KHN&amp;MH,TH))</f>
        <v>0</v>
      </c>
      <c r="I31" s="25">
        <f t="array" ref="I31">SUM(IF("1522"&amp;C31=KHC&amp;MH,SL))</f>
        <v>0</v>
      </c>
      <c r="J31" s="25">
        <f t="array" ref="J31">SUM(IF("1522"&amp;C31=KHC&amp;MH,TH))</f>
        <v>0</v>
      </c>
      <c r="K31" s="600">
        <f t="shared" si="3"/>
        <v>0</v>
      </c>
      <c r="L31" s="600">
        <f t="shared" si="3"/>
        <v>0</v>
      </c>
      <c r="M31" s="583"/>
      <c r="N31" s="586" t="s">
        <v>572</v>
      </c>
      <c r="O31" s="588" t="s">
        <v>573</v>
      </c>
      <c r="P31" s="585">
        <v>370047763</v>
      </c>
      <c r="Q31" s="585" t="s">
        <v>574</v>
      </c>
      <c r="R31" s="585"/>
      <c r="S31" s="585" t="s">
        <v>539</v>
      </c>
      <c r="T31" s="570"/>
    </row>
    <row r="32" spans="1:20" ht="18.75" customHeight="1">
      <c r="A32" s="579" t="str">
        <f t="shared" si="1"/>
        <v/>
      </c>
      <c r="B32" s="580" t="str">
        <f t="shared" si="2"/>
        <v/>
      </c>
      <c r="C32" s="598"/>
      <c r="D32" s="599"/>
      <c r="E32" s="600"/>
      <c r="F32" s="600"/>
      <c r="G32" s="25">
        <f t="array" ref="G32">SUM(IF("1522"&amp;C32=KHN&amp;MH,SL))</f>
        <v>0</v>
      </c>
      <c r="H32" s="25">
        <f t="array" ref="H32">SUM(IF("1522"&amp;C32=KHN&amp;MH,TH))</f>
        <v>0</v>
      </c>
      <c r="I32" s="25">
        <f t="array" ref="I32">SUM(IF("1522"&amp;C32=KHC&amp;MH,SL))</f>
        <v>0</v>
      </c>
      <c r="J32" s="25">
        <f t="array" ref="J32">SUM(IF("1522"&amp;C32=KHC&amp;MH,TH))</f>
        <v>0</v>
      </c>
      <c r="K32" s="600">
        <f t="shared" si="3"/>
        <v>0</v>
      </c>
      <c r="L32" s="600">
        <f t="shared" si="3"/>
        <v>0</v>
      </c>
      <c r="M32" s="583"/>
      <c r="N32" s="586" t="s">
        <v>575</v>
      </c>
      <c r="O32" s="588" t="s">
        <v>573</v>
      </c>
      <c r="P32" s="585">
        <v>370054438</v>
      </c>
      <c r="Q32" s="585" t="s">
        <v>574</v>
      </c>
      <c r="R32" s="585"/>
      <c r="S32" s="585" t="s">
        <v>539</v>
      </c>
    </row>
    <row r="33" spans="1:19" ht="18.75" customHeight="1">
      <c r="A33" s="579" t="str">
        <f t="shared" si="1"/>
        <v/>
      </c>
      <c r="B33" s="580" t="str">
        <f t="shared" si="2"/>
        <v/>
      </c>
      <c r="C33" s="598"/>
      <c r="D33" s="599"/>
      <c r="E33" s="600"/>
      <c r="F33" s="600"/>
      <c r="G33" s="25">
        <f t="array" ref="G33">SUM(IF("1522"&amp;C33=KHN&amp;MH,SL))</f>
        <v>0</v>
      </c>
      <c r="H33" s="25">
        <f t="array" ref="H33">SUM(IF("1522"&amp;C33=KHN&amp;MH,TH))</f>
        <v>0</v>
      </c>
      <c r="I33" s="25">
        <f t="array" ref="I33">SUM(IF("1522"&amp;C33=KHC&amp;MH,SL))</f>
        <v>0</v>
      </c>
      <c r="J33" s="25">
        <f t="array" ref="J33">SUM(IF("1522"&amp;C33=KHC&amp;MH,TH))</f>
        <v>0</v>
      </c>
      <c r="K33" s="600">
        <f t="shared" si="3"/>
        <v>0</v>
      </c>
      <c r="L33" s="600">
        <f t="shared" si="3"/>
        <v>0</v>
      </c>
      <c r="M33" s="583"/>
      <c r="N33" s="586" t="s">
        <v>576</v>
      </c>
      <c r="O33" s="588" t="s">
        <v>573</v>
      </c>
      <c r="P33" s="585">
        <v>370615318</v>
      </c>
      <c r="Q33" s="585" t="s">
        <v>577</v>
      </c>
      <c r="R33" s="585"/>
      <c r="S33" s="585" t="s">
        <v>539</v>
      </c>
    </row>
    <row r="34" spans="1:19" ht="18.75" customHeight="1">
      <c r="A34" s="579" t="str">
        <f t="shared" si="1"/>
        <v/>
      </c>
      <c r="B34" s="580" t="str">
        <f>IF(C34&lt;&gt;"",#REF!+1,"")</f>
        <v/>
      </c>
      <c r="C34" s="597"/>
      <c r="D34" s="603"/>
      <c r="E34" s="604"/>
      <c r="F34" s="604"/>
      <c r="G34" s="25"/>
      <c r="H34" s="604"/>
      <c r="I34" s="604"/>
      <c r="J34" s="604"/>
      <c r="K34" s="604"/>
      <c r="L34" s="604"/>
      <c r="M34" s="583"/>
      <c r="N34" s="586" t="s">
        <v>578</v>
      </c>
      <c r="O34" s="588" t="s">
        <v>573</v>
      </c>
      <c r="P34" s="585">
        <v>370825748</v>
      </c>
      <c r="Q34" s="585" t="s">
        <v>577</v>
      </c>
      <c r="R34" s="585"/>
      <c r="S34" s="585" t="s">
        <v>539</v>
      </c>
    </row>
    <row r="35" spans="1:19" ht="18.75" customHeight="1">
      <c r="A35" s="579"/>
      <c r="B35" s="576"/>
      <c r="C35" s="605" t="s">
        <v>595</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83"/>
      <c r="N35" s="586" t="s">
        <v>579</v>
      </c>
      <c r="O35" s="588" t="s">
        <v>573</v>
      </c>
      <c r="P35" s="585">
        <v>370698949</v>
      </c>
      <c r="Q35" s="585" t="s">
        <v>580</v>
      </c>
      <c r="R35" s="585" t="s">
        <v>581</v>
      </c>
      <c r="S35" s="585" t="s">
        <v>539</v>
      </c>
    </row>
    <row r="36" spans="1:19" ht="18.75" customHeight="1">
      <c r="A36" s="579" t="str">
        <f>IF(B36&lt;&gt;"","VL","")</f>
        <v/>
      </c>
      <c r="B36" s="606"/>
      <c r="C36" s="607"/>
      <c r="D36" s="608"/>
      <c r="E36" s="608"/>
      <c r="F36" s="608"/>
      <c r="G36" s="608"/>
      <c r="H36" s="608"/>
      <c r="I36" s="608"/>
      <c r="J36" s="608"/>
      <c r="K36" s="608"/>
      <c r="L36" s="608"/>
      <c r="M36" s="583"/>
      <c r="N36" s="586" t="s">
        <v>582</v>
      </c>
      <c r="O36" s="588" t="s">
        <v>573</v>
      </c>
      <c r="P36" s="585">
        <v>370803567</v>
      </c>
      <c r="Q36" s="585" t="s">
        <v>583</v>
      </c>
      <c r="R36" s="585"/>
      <c r="S36" s="585" t="s">
        <v>539</v>
      </c>
    </row>
    <row r="37" spans="1:19" ht="18.75" customHeight="1">
      <c r="A37" s="579" t="str">
        <f t="shared" ref="A37:A44" si="5">IF(B37&lt;&gt;"","NL","")</f>
        <v/>
      </c>
      <c r="B37" s="609" t="str">
        <f>IF(C37&lt;&gt;"",ROW()-(ROW()-1),"")</f>
        <v/>
      </c>
      <c r="C37" s="586"/>
      <c r="D37" s="582"/>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83"/>
      <c r="N37" s="586" t="s">
        <v>584</v>
      </c>
      <c r="O37" s="588" t="s">
        <v>573</v>
      </c>
      <c r="P37" s="585">
        <v>370004125</v>
      </c>
      <c r="Q37" s="585" t="s">
        <v>574</v>
      </c>
      <c r="R37" s="585"/>
      <c r="S37" s="585" t="s">
        <v>539</v>
      </c>
    </row>
    <row r="38" spans="1:19" ht="18.75" customHeight="1">
      <c r="A38" s="579" t="str">
        <f t="shared" si="5"/>
        <v/>
      </c>
      <c r="B38" s="580" t="str">
        <f>IF(C38&lt;&gt;"",B37+1,"")</f>
        <v/>
      </c>
      <c r="C38" s="586"/>
      <c r="D38" s="582"/>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3"/>
      <c r="N38" s="586" t="s">
        <v>585</v>
      </c>
      <c r="O38" s="588" t="s">
        <v>573</v>
      </c>
      <c r="P38" s="585">
        <v>370033286</v>
      </c>
      <c r="Q38" s="585" t="s">
        <v>574</v>
      </c>
      <c r="R38" s="585"/>
      <c r="S38" s="585" t="s">
        <v>539</v>
      </c>
    </row>
    <row r="39" spans="1:19" ht="18.75" customHeight="1">
      <c r="A39" s="579" t="str">
        <f t="shared" si="5"/>
        <v/>
      </c>
      <c r="B39" s="580" t="str">
        <f>IF(C39&lt;&gt;"",B38+1,"")</f>
        <v/>
      </c>
      <c r="C39" s="586"/>
      <c r="D39" s="582"/>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3"/>
      <c r="N39" s="586" t="s">
        <v>586</v>
      </c>
      <c r="O39" s="588" t="s">
        <v>587</v>
      </c>
      <c r="P39" s="585">
        <v>310703274</v>
      </c>
      <c r="Q39" s="585" t="s">
        <v>588</v>
      </c>
      <c r="R39" s="585"/>
      <c r="S39" s="585" t="s">
        <v>534</v>
      </c>
    </row>
    <row r="40" spans="1:19" ht="18.75" customHeight="1">
      <c r="A40" s="579" t="str">
        <f t="shared" si="5"/>
        <v/>
      </c>
      <c r="B40" s="580" t="str">
        <f>IF(C40&lt;&gt;"",B39+1,"")</f>
        <v/>
      </c>
      <c r="C40" s="586"/>
      <c r="D40" s="582"/>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3"/>
      <c r="N40" s="586" t="s">
        <v>589</v>
      </c>
      <c r="O40" s="588" t="s">
        <v>587</v>
      </c>
      <c r="P40" s="585">
        <v>311704830</v>
      </c>
      <c r="Q40" s="585" t="s">
        <v>590</v>
      </c>
      <c r="R40" s="585"/>
      <c r="S40" s="585" t="s">
        <v>534</v>
      </c>
    </row>
    <row r="41" spans="1:19" ht="18.75" customHeight="1">
      <c r="A41" s="579" t="str">
        <f t="shared" si="5"/>
        <v/>
      </c>
      <c r="B41" s="580" t="str">
        <f>IF(C41&lt;&gt;"",B40+1,"")</f>
        <v/>
      </c>
      <c r="C41" s="586"/>
      <c r="D41" s="582"/>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83"/>
      <c r="N41" s="586" t="s">
        <v>591</v>
      </c>
      <c r="O41" s="588" t="s">
        <v>587</v>
      </c>
      <c r="P41" s="585">
        <v>311318331</v>
      </c>
      <c r="Q41" s="585" t="s">
        <v>592</v>
      </c>
      <c r="R41" s="585"/>
      <c r="S41" s="585" t="s">
        <v>534</v>
      </c>
    </row>
    <row r="42" spans="1:19" ht="18" customHeight="1">
      <c r="A42" s="579" t="str">
        <f t="shared" si="5"/>
        <v/>
      </c>
      <c r="B42" s="580" t="str">
        <f>IF(C42&lt;&gt;"",B41+1,"")</f>
        <v/>
      </c>
      <c r="C42" s="610"/>
      <c r="D42" s="611"/>
      <c r="E42" s="612"/>
      <c r="F42" s="612"/>
      <c r="G42" s="612"/>
      <c r="H42" s="612"/>
      <c r="I42" s="612"/>
      <c r="J42" s="612"/>
      <c r="K42" s="8"/>
      <c r="L42" s="8"/>
      <c r="M42" s="583"/>
      <c r="N42" s="586" t="s">
        <v>593</v>
      </c>
      <c r="O42" s="588" t="s">
        <v>587</v>
      </c>
      <c r="P42" s="585">
        <v>310882191</v>
      </c>
      <c r="Q42" s="585" t="s">
        <v>594</v>
      </c>
      <c r="R42" s="585"/>
      <c r="S42" s="585" t="s">
        <v>534</v>
      </c>
    </row>
    <row r="43" spans="1:19" ht="18" customHeight="1">
      <c r="A43" s="579" t="str">
        <f t="shared" si="5"/>
        <v/>
      </c>
      <c r="B43" s="576"/>
      <c r="C43" s="605" t="s">
        <v>609</v>
      </c>
      <c r="D43" s="576"/>
      <c r="E43" s="13">
        <f>SUM(E37:E41)</f>
        <v>0</v>
      </c>
      <c r="F43" s="13">
        <f>SUM(F37:F41)</f>
        <v>0</v>
      </c>
      <c r="G43" s="13">
        <f t="shared" ref="G43:L43" si="7">SUM(G37:G40)</f>
        <v>0</v>
      </c>
      <c r="H43" s="13">
        <f t="shared" si="7"/>
        <v>0</v>
      </c>
      <c r="I43" s="13">
        <f t="shared" si="7"/>
        <v>0</v>
      </c>
      <c r="J43" s="13">
        <f t="shared" si="7"/>
        <v>0</v>
      </c>
      <c r="K43" s="13">
        <f t="shared" si="7"/>
        <v>0</v>
      </c>
      <c r="L43" s="13">
        <f t="shared" si="7"/>
        <v>0</v>
      </c>
      <c r="M43" s="583"/>
      <c r="N43" s="586" t="s">
        <v>596</v>
      </c>
      <c r="O43" s="588" t="s">
        <v>587</v>
      </c>
      <c r="P43" s="585">
        <v>310882158</v>
      </c>
      <c r="Q43" s="585" t="s">
        <v>597</v>
      </c>
      <c r="R43" s="585"/>
      <c r="S43" s="585" t="s">
        <v>534</v>
      </c>
    </row>
    <row r="44" spans="1:19" ht="19.5" customHeight="1">
      <c r="A44" s="579" t="str">
        <f t="shared" si="5"/>
        <v/>
      </c>
      <c r="B44" s="613"/>
      <c r="C44" s="614"/>
      <c r="D44" s="613"/>
      <c r="E44" s="615"/>
      <c r="F44" s="615"/>
      <c r="G44" s="615"/>
      <c r="H44" s="615"/>
      <c r="I44" s="615"/>
      <c r="J44" s="615"/>
      <c r="K44" s="615"/>
      <c r="L44" s="615"/>
      <c r="M44" s="583"/>
      <c r="N44" s="586" t="s">
        <v>598</v>
      </c>
      <c r="O44" s="588" t="s">
        <v>587</v>
      </c>
      <c r="P44" s="585">
        <v>310033074</v>
      </c>
      <c r="Q44" s="585" t="s">
        <v>588</v>
      </c>
      <c r="R44" s="585"/>
      <c r="S44" s="585" t="s">
        <v>534</v>
      </c>
    </row>
    <row r="45" spans="1:19" ht="19.5" customHeight="1">
      <c r="A45" s="579" t="str">
        <f>IF(B45&lt;&gt;"","TP","")</f>
        <v/>
      </c>
      <c r="B45" s="616" t="str">
        <f>IF(C45&lt;&gt;"",ROW()-(ROW()-1),"")</f>
        <v/>
      </c>
      <c r="C45" s="581"/>
      <c r="D45" s="617"/>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83"/>
      <c r="N45" s="586" t="s">
        <v>599</v>
      </c>
      <c r="O45" s="588" t="s">
        <v>587</v>
      </c>
      <c r="P45" s="585">
        <v>310526150</v>
      </c>
      <c r="Q45" s="585" t="s">
        <v>588</v>
      </c>
      <c r="R45" s="585"/>
      <c r="S45" s="585" t="s">
        <v>534</v>
      </c>
    </row>
    <row r="46" spans="1:19" ht="19.5" customHeight="1">
      <c r="A46" s="579" t="str">
        <f t="shared" ref="A46:A54" si="9">IF(B46&lt;&gt;"","TP","")</f>
        <v/>
      </c>
      <c r="B46" s="618" t="str">
        <f>IF(C46&lt;&gt;"",B45+1,"")</f>
        <v/>
      </c>
      <c r="C46" s="586"/>
      <c r="D46" s="617"/>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83"/>
      <c r="N46" s="586" t="s">
        <v>600</v>
      </c>
      <c r="O46" s="588" t="s">
        <v>587</v>
      </c>
      <c r="P46" s="585">
        <v>311514350</v>
      </c>
      <c r="Q46" s="585" t="s">
        <v>590</v>
      </c>
      <c r="R46" s="585"/>
      <c r="S46" s="585" t="s">
        <v>534</v>
      </c>
    </row>
    <row r="47" spans="1:19" ht="19.5" customHeight="1">
      <c r="A47" s="579" t="str">
        <f t="shared" si="9"/>
        <v/>
      </c>
      <c r="B47" s="618" t="str">
        <f t="shared" ref="B47:B52" si="10">IF(C47&lt;&gt;"",B46+1,"")</f>
        <v/>
      </c>
      <c r="C47" s="586"/>
      <c r="D47" s="617"/>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83"/>
      <c r="N47" s="586" t="s">
        <v>601</v>
      </c>
      <c r="O47" s="588" t="s">
        <v>602</v>
      </c>
      <c r="P47" s="585">
        <v>270106056</v>
      </c>
      <c r="Q47" s="585" t="s">
        <v>602</v>
      </c>
      <c r="R47" s="585" t="s">
        <v>603</v>
      </c>
      <c r="S47" s="585" t="s">
        <v>534</v>
      </c>
    </row>
    <row r="48" spans="1:19" ht="19.5" customHeight="1">
      <c r="A48" s="579" t="str">
        <f t="shared" si="9"/>
        <v/>
      </c>
      <c r="B48" s="618" t="str">
        <f t="shared" si="10"/>
        <v/>
      </c>
      <c r="C48" s="586"/>
      <c r="D48" s="617"/>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83"/>
      <c r="N48" s="586" t="s">
        <v>604</v>
      </c>
      <c r="O48" s="588" t="s">
        <v>602</v>
      </c>
      <c r="P48" s="585">
        <v>270176684</v>
      </c>
      <c r="Q48" s="585" t="s">
        <v>602</v>
      </c>
      <c r="R48" s="585" t="s">
        <v>605</v>
      </c>
      <c r="S48" s="585" t="s">
        <v>534</v>
      </c>
    </row>
    <row r="49" spans="1:20" ht="19.5" customHeight="1">
      <c r="A49" s="579" t="str">
        <f t="shared" si="9"/>
        <v/>
      </c>
      <c r="B49" s="618" t="str">
        <f t="shared" si="10"/>
        <v/>
      </c>
      <c r="C49" s="586"/>
      <c r="D49" s="617"/>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83"/>
      <c r="N49" s="586" t="s">
        <v>606</v>
      </c>
      <c r="O49" s="588" t="s">
        <v>602</v>
      </c>
      <c r="P49" s="585">
        <v>270176960</v>
      </c>
      <c r="Q49" s="585" t="s">
        <v>602</v>
      </c>
      <c r="R49" s="585" t="s">
        <v>607</v>
      </c>
      <c r="S49" s="585" t="s">
        <v>534</v>
      </c>
    </row>
    <row r="50" spans="1:20" ht="18" customHeight="1">
      <c r="A50" s="579" t="str">
        <f t="shared" si="9"/>
        <v/>
      </c>
      <c r="B50" s="618" t="str">
        <f t="shared" si="10"/>
        <v/>
      </c>
      <c r="C50" s="586"/>
      <c r="D50" s="617"/>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83"/>
      <c r="N50" s="586" t="s">
        <v>608</v>
      </c>
      <c r="O50" s="588" t="s">
        <v>602</v>
      </c>
      <c r="P50" s="585">
        <v>271181056</v>
      </c>
      <c r="Q50" s="585" t="s">
        <v>602</v>
      </c>
      <c r="R50" s="585"/>
      <c r="S50" s="585" t="s">
        <v>534</v>
      </c>
    </row>
    <row r="51" spans="1:20" ht="18" customHeight="1">
      <c r="A51" s="579" t="str">
        <f t="shared" si="9"/>
        <v/>
      </c>
      <c r="B51" s="618" t="str">
        <f t="shared" si="10"/>
        <v/>
      </c>
      <c r="C51" s="586"/>
      <c r="D51" s="617"/>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83"/>
      <c r="N51" s="586" t="s">
        <v>610</v>
      </c>
      <c r="O51" s="588" t="s">
        <v>602</v>
      </c>
      <c r="P51" s="585">
        <v>270986506</v>
      </c>
      <c r="Q51" s="585" t="s">
        <v>602</v>
      </c>
      <c r="R51" s="585"/>
      <c r="S51" s="585" t="s">
        <v>534</v>
      </c>
    </row>
    <row r="52" spans="1:20" ht="18.75" customHeight="1">
      <c r="A52" s="579" t="str">
        <f t="shared" si="9"/>
        <v/>
      </c>
      <c r="B52" s="618" t="str">
        <f t="shared" si="10"/>
        <v/>
      </c>
      <c r="C52" s="586"/>
      <c r="D52" s="617"/>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83"/>
      <c r="N52" s="586" t="s">
        <v>611</v>
      </c>
      <c r="O52" s="588" t="s">
        <v>602</v>
      </c>
      <c r="P52" s="585">
        <v>273042454</v>
      </c>
      <c r="Q52" s="585" t="s">
        <v>612</v>
      </c>
      <c r="R52" s="585" t="s">
        <v>613</v>
      </c>
      <c r="S52" s="585" t="s">
        <v>534</v>
      </c>
    </row>
    <row r="53" spans="1:20" ht="18.75" customHeight="1">
      <c r="A53" s="579" t="str">
        <f t="shared" si="9"/>
        <v/>
      </c>
      <c r="B53" s="618" t="str">
        <f>IF(C53&lt;&gt;"",#REF!+1,"")</f>
        <v/>
      </c>
      <c r="C53" s="622"/>
      <c r="D53" s="611"/>
      <c r="E53" s="8"/>
      <c r="F53" s="8"/>
      <c r="G53" s="612"/>
      <c r="H53" s="612"/>
      <c r="I53" s="612"/>
      <c r="J53" s="612"/>
      <c r="K53" s="612"/>
      <c r="L53" s="612"/>
      <c r="M53" s="583"/>
      <c r="N53" s="586" t="s">
        <v>615</v>
      </c>
      <c r="O53" s="588" t="s">
        <v>602</v>
      </c>
      <c r="P53" s="585">
        <v>273249576</v>
      </c>
      <c r="Q53" s="585" t="s">
        <v>602</v>
      </c>
      <c r="R53" s="585"/>
      <c r="S53" s="585" t="s">
        <v>534</v>
      </c>
    </row>
    <row r="54" spans="1:20" ht="18.75" customHeight="1">
      <c r="A54" s="579" t="str">
        <f t="shared" si="9"/>
        <v/>
      </c>
      <c r="B54" s="576"/>
      <c r="C54" s="605" t="s">
        <v>628</v>
      </c>
      <c r="D54" s="576"/>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83"/>
      <c r="N54" s="586" t="s">
        <v>617</v>
      </c>
      <c r="O54" s="588" t="s">
        <v>602</v>
      </c>
      <c r="P54" s="585">
        <v>271642418</v>
      </c>
      <c r="Q54" s="585" t="s">
        <v>602</v>
      </c>
      <c r="R54" s="585"/>
      <c r="S54" s="585" t="s">
        <v>534</v>
      </c>
    </row>
    <row r="55" spans="1:20" ht="18.75" customHeight="1">
      <c r="A55" s="579" t="str">
        <f>IF(B55&lt;&gt;"","TP","")</f>
        <v/>
      </c>
      <c r="B55" s="623"/>
      <c r="C55" s="623"/>
      <c r="D55" s="624"/>
      <c r="E55" s="625"/>
      <c r="F55" s="625"/>
      <c r="G55" s="625"/>
      <c r="H55" s="625"/>
      <c r="I55" s="625"/>
      <c r="J55" s="625"/>
      <c r="K55" s="625"/>
      <c r="L55" s="625"/>
      <c r="M55" s="583"/>
      <c r="N55" s="597" t="s">
        <v>619</v>
      </c>
      <c r="O55" s="588" t="s">
        <v>602</v>
      </c>
      <c r="P55" s="585">
        <v>273017840</v>
      </c>
      <c r="Q55" s="585" t="s">
        <v>620</v>
      </c>
      <c r="R55" s="585"/>
      <c r="S55" s="585" t="s">
        <v>534</v>
      </c>
    </row>
    <row r="56" spans="1:20" ht="19.5" customHeight="1">
      <c r="M56" s="583"/>
      <c r="N56" s="586" t="s">
        <v>622</v>
      </c>
      <c r="O56" s="586"/>
      <c r="P56" s="586"/>
      <c r="Q56" s="586"/>
      <c r="R56" s="586"/>
      <c r="S56" s="586"/>
    </row>
    <row r="57" spans="1:20" ht="18.75" customHeight="1">
      <c r="M57" s="619"/>
      <c r="N57" s="619"/>
      <c r="O57" s="619"/>
      <c r="P57" s="619"/>
      <c r="Q57" s="619"/>
      <c r="R57" s="619"/>
      <c r="S57" s="619"/>
      <c r="T57" s="619"/>
    </row>
    <row r="58" spans="1:20" ht="18.75" customHeight="1">
      <c r="C58" s="1204"/>
      <c r="D58" s="1204"/>
      <c r="E58" s="1204"/>
      <c r="F58" s="627"/>
      <c r="G58" s="627"/>
      <c r="H58" s="627"/>
      <c r="I58" s="627"/>
      <c r="J58" s="1204" t="s">
        <v>632</v>
      </c>
      <c r="K58" s="1204"/>
      <c r="L58" s="1204"/>
      <c r="M58" s="570"/>
      <c r="P58" s="619"/>
      <c r="Q58" s="619"/>
      <c r="R58" s="619"/>
      <c r="S58" s="619"/>
      <c r="T58" s="619"/>
    </row>
    <row r="59" spans="1:20" ht="19.5" customHeight="1">
      <c r="C59" s="628" t="s">
        <v>14</v>
      </c>
      <c r="D59" s="628"/>
      <c r="E59" s="628"/>
      <c r="F59" s="1204" t="s">
        <v>15</v>
      </c>
      <c r="G59" s="1204"/>
      <c r="H59" s="1204"/>
      <c r="I59" s="627"/>
      <c r="J59" s="1204" t="s">
        <v>206</v>
      </c>
      <c r="K59" s="1204"/>
      <c r="L59" s="1204"/>
      <c r="M59" s="570"/>
      <c r="P59" s="619"/>
      <c r="Q59" s="619"/>
      <c r="R59" s="619"/>
      <c r="S59" s="619"/>
    </row>
    <row r="60" spans="1:20" ht="19.5" customHeight="1">
      <c r="C60" s="628" t="s">
        <v>16</v>
      </c>
      <c r="D60" s="628" t="s">
        <v>635</v>
      </c>
      <c r="E60" s="628"/>
      <c r="F60" s="1204" t="s">
        <v>16</v>
      </c>
      <c r="G60" s="1204"/>
      <c r="H60" s="1204"/>
      <c r="I60" s="570"/>
      <c r="J60" s="1204" t="s">
        <v>241</v>
      </c>
      <c r="K60" s="1204"/>
      <c r="L60" s="1204"/>
      <c r="M60" s="570"/>
      <c r="Q60" s="620"/>
      <c r="R60" s="620"/>
      <c r="S60" s="620"/>
    </row>
    <row r="61" spans="1:20" ht="19.5" customHeight="1">
      <c r="M61" s="570"/>
      <c r="Q61" s="581" t="s">
        <v>614</v>
      </c>
      <c r="R61" s="581"/>
      <c r="S61" s="617">
        <v>4.5</v>
      </c>
    </row>
    <row r="62" spans="1:20" ht="19.5" customHeight="1">
      <c r="M62" s="570"/>
      <c r="Q62" s="586" t="s">
        <v>616</v>
      </c>
      <c r="R62" s="581"/>
      <c r="S62" s="617">
        <v>5</v>
      </c>
    </row>
    <row r="63" spans="1:20" ht="20.25" customHeight="1">
      <c r="M63" s="570"/>
      <c r="Q63" s="586" t="s">
        <v>618</v>
      </c>
      <c r="R63" s="581"/>
      <c r="S63" s="617">
        <v>5</v>
      </c>
    </row>
    <row r="64" spans="1:20" ht="20.25" customHeight="1">
      <c r="M64" s="570"/>
      <c r="Q64" s="586" t="s">
        <v>621</v>
      </c>
      <c r="R64" s="581"/>
      <c r="S64" s="617">
        <v>5</v>
      </c>
    </row>
    <row r="65" spans="13:19" ht="20.25" customHeight="1">
      <c r="M65" s="570"/>
      <c r="Q65" s="586" t="s">
        <v>623</v>
      </c>
      <c r="R65" s="586"/>
      <c r="S65" s="621"/>
    </row>
    <row r="66" spans="13:19" ht="20.25" customHeight="1">
      <c r="M66" s="570"/>
      <c r="Q66" s="586" t="s">
        <v>627</v>
      </c>
      <c r="R66" s="586"/>
      <c r="S66" s="621">
        <v>8</v>
      </c>
    </row>
    <row r="67" spans="13:19" ht="20.25" customHeight="1">
      <c r="M67" s="570"/>
      <c r="Q67" s="586" t="s">
        <v>629</v>
      </c>
      <c r="R67" s="586"/>
      <c r="S67" s="621">
        <v>9</v>
      </c>
    </row>
    <row r="68" spans="13:19" ht="20.25" customHeight="1">
      <c r="M68" s="570"/>
      <c r="Q68" s="586" t="s">
        <v>630</v>
      </c>
      <c r="R68" s="586"/>
      <c r="S68" s="621">
        <v>8</v>
      </c>
    </row>
    <row r="69" spans="13:19" ht="20.25" customHeight="1">
      <c r="M69" s="570"/>
      <c r="Q69" s="586" t="s">
        <v>626</v>
      </c>
      <c r="R69" s="586"/>
      <c r="S69" s="621">
        <v>8</v>
      </c>
    </row>
    <row r="70" spans="13:19" ht="19.5" customHeight="1">
      <c r="M70" s="570"/>
      <c r="Q70" s="586" t="s">
        <v>631</v>
      </c>
      <c r="R70" s="586"/>
      <c r="S70" s="621">
        <v>5</v>
      </c>
    </row>
    <row r="71" spans="13:19" ht="19.5" customHeight="1">
      <c r="M71" s="570"/>
      <c r="Q71" s="586" t="s">
        <v>633</v>
      </c>
      <c r="R71" s="586"/>
      <c r="S71" s="621">
        <v>5</v>
      </c>
    </row>
    <row r="72" spans="13:19" ht="19.5" customHeight="1">
      <c r="M72" s="570"/>
      <c r="Q72" s="586" t="s">
        <v>634</v>
      </c>
      <c r="R72" s="586"/>
      <c r="S72" s="621">
        <v>5</v>
      </c>
    </row>
    <row r="73" spans="13:19" ht="19.5" customHeight="1">
      <c r="M73" s="570"/>
      <c r="Q73" s="586" t="s">
        <v>636</v>
      </c>
      <c r="R73" s="586"/>
      <c r="S73" s="621">
        <v>4.5</v>
      </c>
    </row>
    <row r="74" spans="13:19" ht="19.5" customHeight="1">
      <c r="M74" s="570"/>
      <c r="Q74" s="586" t="s">
        <v>637</v>
      </c>
      <c r="R74" s="586"/>
      <c r="S74" s="621">
        <v>4.5</v>
      </c>
    </row>
    <row r="75" spans="13:19" ht="19.5" customHeight="1">
      <c r="M75" s="570"/>
      <c r="Q75" s="586" t="s">
        <v>624</v>
      </c>
      <c r="R75" s="586"/>
      <c r="S75" s="621">
        <v>11</v>
      </c>
    </row>
    <row r="76" spans="13:19" ht="19.5" customHeight="1">
      <c r="M76" s="570"/>
      <c r="Q76" s="586" t="s">
        <v>625</v>
      </c>
      <c r="R76" s="586"/>
      <c r="S76" s="621">
        <v>11</v>
      </c>
    </row>
    <row r="77" spans="13:19" ht="19.5" customHeight="1">
      <c r="M77" s="570"/>
      <c r="Q77" s="586" t="s">
        <v>638</v>
      </c>
      <c r="R77" s="586"/>
      <c r="S77" s="621">
        <v>4.4000000000000004</v>
      </c>
    </row>
    <row r="78" spans="13:19" ht="19.5" customHeight="1">
      <c r="M78" s="570"/>
      <c r="Q78" s="586" t="s">
        <v>639</v>
      </c>
      <c r="R78" s="586"/>
      <c r="S78" s="621">
        <v>4.5</v>
      </c>
    </row>
    <row r="79" spans="13:19" ht="19.5" customHeight="1">
      <c r="M79" s="570"/>
    </row>
    <row r="80" spans="13:19" ht="19.5" customHeight="1">
      <c r="M80" s="570"/>
    </row>
    <row r="81" spans="13:14" ht="19.5" customHeight="1">
      <c r="M81" s="570"/>
    </row>
    <row r="82" spans="13:14" ht="19.5" customHeight="1">
      <c r="M82" s="570"/>
    </row>
    <row r="83" spans="13:14" ht="19.5" customHeight="1">
      <c r="M83" s="570"/>
    </row>
    <row r="84" spans="13:14" ht="19.5" customHeight="1">
      <c r="M84" s="570"/>
    </row>
    <row r="85" spans="13:14" ht="19.5" customHeight="1">
      <c r="M85" s="570"/>
    </row>
    <row r="86" spans="13:14" ht="19.5" customHeight="1">
      <c r="M86" s="570"/>
    </row>
    <row r="87" spans="13:14" ht="19.5" customHeight="1">
      <c r="M87" s="570"/>
    </row>
    <row r="88" spans="13:14" ht="19.5" customHeight="1">
      <c r="N88" s="619"/>
    </row>
    <row r="89" spans="13:14">
      <c r="N89" s="619"/>
    </row>
    <row r="90" spans="13:14">
      <c r="N90" s="619"/>
    </row>
    <row r="91" spans="13:14">
      <c r="N91" s="619"/>
    </row>
    <row r="93" spans="13:14">
      <c r="N93" s="619"/>
    </row>
    <row r="94" spans="13:14">
      <c r="N94" s="619"/>
    </row>
    <row r="95" spans="13:14">
      <c r="N95" s="619"/>
    </row>
    <row r="96" spans="13:14">
      <c r="N96" s="619"/>
    </row>
    <row r="97" spans="14:14">
      <c r="N97" s="619"/>
    </row>
    <row r="98" spans="14:14">
      <c r="N98" s="619"/>
    </row>
    <row r="99" spans="14:14">
      <c r="N99" s="619"/>
    </row>
    <row r="100" spans="14:14">
      <c r="N100" s="619"/>
    </row>
    <row r="101" spans="14:14">
      <c r="N101" s="619"/>
    </row>
    <row r="102" spans="14:14">
      <c r="N102" s="619"/>
    </row>
    <row r="103" spans="14:14">
      <c r="N103" s="619"/>
    </row>
    <row r="104" spans="14:14">
      <c r="N104" s="619"/>
    </row>
    <row r="105" spans="14:14">
      <c r="N105" s="619"/>
    </row>
    <row r="106" spans="14:14">
      <c r="N106" s="619"/>
    </row>
    <row r="107" spans="14:14">
      <c r="N107" s="619"/>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29" customWidth="1"/>
    <col min="2" max="2" width="29.7109375" style="629" customWidth="1"/>
    <col min="3" max="3" width="5.7109375" style="629" customWidth="1"/>
    <col min="4" max="4" width="6.7109375" style="629" customWidth="1"/>
    <col min="5" max="5" width="12.7109375" style="629" customWidth="1"/>
    <col min="6" max="6" width="9.85546875" style="629" customWidth="1"/>
    <col min="7" max="7" width="11" style="629" customWidth="1"/>
    <col min="8" max="8" width="14" style="629" customWidth="1"/>
    <col min="9" max="9" width="4.28515625" style="629" customWidth="1"/>
    <col min="10" max="10" width="6.7109375" style="629" customWidth="1"/>
    <col min="11" max="11" width="3.140625" style="629" customWidth="1"/>
    <col min="12" max="12" width="5.7109375" style="629" customWidth="1"/>
    <col min="13" max="13" width="2.7109375" style="629" customWidth="1"/>
    <col min="14" max="14" width="5.140625" style="629" customWidth="1"/>
    <col min="15" max="15" width="3.7109375" style="629" customWidth="1"/>
    <col min="16" max="16" width="4" style="629" customWidth="1"/>
    <col min="17" max="16384" width="9.140625" style="629"/>
  </cols>
  <sheetData>
    <row r="1" spans="1:16" ht="5.25" customHeight="1"/>
    <row r="2" spans="1:16" ht="12.75" customHeight="1">
      <c r="A2" s="102" t="s">
        <v>213</v>
      </c>
      <c r="G2" s="117" t="str">
        <f>+IF(LEFT($D$7,1)="N","Mẫu số 01 - VT","Mẫu số 02 - VT")</f>
        <v>Mẫu số 02 - VT</v>
      </c>
      <c r="P2" s="973"/>
    </row>
    <row r="3" spans="1:16" ht="12.75" customHeight="1">
      <c r="A3" s="113" t="s">
        <v>214</v>
      </c>
      <c r="G3" s="114" t="s">
        <v>515</v>
      </c>
      <c r="N3" s="117" t="s">
        <v>201</v>
      </c>
      <c r="O3" s="630"/>
      <c r="P3" s="1043">
        <f>IF(J5="Quý I",3,IF(J5="Quý II",6,IF(J5="Quý III",9,IF(J5="Quý IV",12,""))))</f>
        <v>3</v>
      </c>
    </row>
    <row r="4" spans="1:16" ht="11.25" customHeight="1" thickBot="1">
      <c r="G4" s="114" t="s">
        <v>345</v>
      </c>
      <c r="J4" s="631"/>
      <c r="M4" s="632"/>
      <c r="N4" s="117" t="s">
        <v>202</v>
      </c>
      <c r="O4" s="630"/>
    </row>
    <row r="5" spans="1:16" ht="18" customHeight="1" thickBot="1">
      <c r="D5" s="633" t="str">
        <f>+IF(LEFT($L$5,1)="N","PHIẾU NHẬP KHO","PHIẾU XUẤT KHO")</f>
        <v>PHIẾU NHẬP KHO</v>
      </c>
      <c r="J5" s="1041" t="s">
        <v>360</v>
      </c>
      <c r="K5" s="634"/>
      <c r="L5" s="1044" t="s">
        <v>793</v>
      </c>
      <c r="M5" s="1042"/>
      <c r="N5" s="1045">
        <v>1</v>
      </c>
      <c r="O5" s="630"/>
    </row>
    <row r="6" spans="1:16" s="635" customFormat="1" ht="12" customHeight="1">
      <c r="D6" s="636" t="e">
        <f ca="1">"Ngày  " &amp;DAY(IF(ROWS($1:1)&gt;COUNT(Dong10),"",OFFSET(TH!C$1,SMALL(Dong10,ROWS($1:1)),)))&amp;"  tháng  " &amp; MONTH(IF(ROWS($1:1)&gt;COUNT(Dong10),"",OFFSET(TH!C$1,SMALL(Dong10,ROWS($1:1)),)))&amp;"  năm  "&amp;YEAR(IF(ROWS($1:1)&gt;COUNT(Dong10),"",OFFSET(TH!C$1,SMALL(Dong10,ROWS($1:1)),)))</f>
        <v>#VALUE!</v>
      </c>
      <c r="E6" s="637"/>
      <c r="M6" s="638"/>
      <c r="O6" s="639"/>
    </row>
    <row r="7" spans="1:16" s="635" customFormat="1" ht="12" customHeight="1">
      <c r="C7" s="640" t="str">
        <f xml:space="preserve"> "Số:"</f>
        <v>Số:</v>
      </c>
      <c r="D7" s="641" t="str">
        <f xml:space="preserve"> RIGHT($L$5,2)&amp;"/"&amp;LEFT($L$5,1)&amp;IF($N$5&gt;=10,$N$5,"0"&amp;$N$5)</f>
        <v>VL/N01</v>
      </c>
      <c r="G7" s="635" t="str">
        <f ca="1">"Nợ:  "&amp;IF(ROWS($1:1)&gt;COUNT(Dong10),"",OFFSET(TH!N$1,SMALL(Dong10,ROWS($1:1)),))</f>
        <v xml:space="preserve">Nợ:  </v>
      </c>
      <c r="M7" s="638"/>
      <c r="O7" s="639"/>
    </row>
    <row r="8" spans="1:16" s="635" customFormat="1" ht="12" customHeight="1">
      <c r="D8" s="114"/>
      <c r="G8" s="635" t="str">
        <f ca="1">"Có:  "&amp;IF(ROWS($1:1)&gt;COUNT(Dong10),"",OFFSET(TH!O$1,SMALL(Dong10,ROWS($1:1)),))</f>
        <v xml:space="preserve">Có:  </v>
      </c>
      <c r="M8" s="638"/>
      <c r="O8" s="642"/>
    </row>
    <row r="9" spans="1:16" s="635" customFormat="1" ht="12" customHeight="1">
      <c r="A9" s="635" t="str">
        <f ca="1">+IF(MID($D$7,4,1)="N","Họ và tên người giao :   ","Họ và tên người nhận hàng :   ")&amp;IF(ROWS($1:1)&gt;COUNT(Dong10),"",OFFSET(TH!H$1,SMALL(Dong10,ROWS($1:1)),)) &amp;IF(MID($D$7,4,1)="N","","                                         Địa chỉ (bộ phận) :     Sản Xuất ")</f>
        <v xml:space="preserve">Họ và tên người giao :   </v>
      </c>
      <c r="M9" s="638"/>
    </row>
    <row r="10" spans="1:16" s="635" customFormat="1" ht="12" customHeight="1">
      <c r="A10" s="635" t="str">
        <f>+IF(MID($D$7,4,1)="N","Theo……………………………………....…………..số………….…………….……ngày……...tháng…......năm……....","Lý do xuất :                                 Xuất dùng ")</f>
        <v>Theo……………………………………....…………..số………….…………….……ngày……...tháng…......năm……....</v>
      </c>
    </row>
    <row r="11" spans="1:16" s="635" customFormat="1" ht="12" customHeight="1">
      <c r="A11" s="635" t="str">
        <f>+IF(MID($D$7,4,1)="N","của………………………………………………………………………………………………………………………………....","Xuất tại kho (ngăn lô) :            Công ty TNHH Hải Sản An Lạc                      Địa điểm :  Đức Hòa, Long An.")</f>
        <v>của………………………………………………………………………………………………………………………………....</v>
      </c>
    </row>
    <row r="12" spans="1:16" s="635" customFormat="1" ht="12" customHeight="1">
      <c r="A12" s="635" t="str">
        <f>+IF(LEFT("x",1)="N","Nhập tại kho:       Công ty TNHH Hải Sản An Lạc                      Địa điểm:  Đức Hòa, Long An."," ")</f>
        <v/>
      </c>
    </row>
    <row r="13" spans="1:16" s="635" customFormat="1" ht="2.25" customHeight="1"/>
    <row r="14" spans="1:16" s="635" customFormat="1" ht="11.25" customHeight="1">
      <c r="A14" s="1205" t="s">
        <v>46</v>
      </c>
      <c r="B14" s="1205" t="s">
        <v>641</v>
      </c>
      <c r="C14" s="1205" t="s">
        <v>642</v>
      </c>
      <c r="D14" s="1205" t="s">
        <v>522</v>
      </c>
      <c r="E14" s="1207" t="s">
        <v>643</v>
      </c>
      <c r="F14" s="1207"/>
      <c r="G14" s="1205" t="s">
        <v>644</v>
      </c>
      <c r="H14" s="1205" t="s">
        <v>645</v>
      </c>
    </row>
    <row r="15" spans="1:16" s="635" customFormat="1" ht="19.5" customHeight="1">
      <c r="A15" s="1206"/>
      <c r="B15" s="1206"/>
      <c r="C15" s="1206"/>
      <c r="D15" s="1206"/>
      <c r="E15" s="643" t="s">
        <v>646</v>
      </c>
      <c r="F15" s="643" t="str">
        <f>IF(LEFT($D$7,1)="N","Thực nhập","Thực xuất")</f>
        <v>Thực xuất</v>
      </c>
      <c r="G15" s="1206"/>
      <c r="H15" s="1206"/>
    </row>
    <row r="16" spans="1:16" s="645" customFormat="1" ht="8.25" customHeight="1">
      <c r="A16" s="644" t="s">
        <v>2</v>
      </c>
      <c r="B16" s="644" t="s">
        <v>3</v>
      </c>
      <c r="C16" s="644" t="s">
        <v>4</v>
      </c>
      <c r="D16" s="644" t="s">
        <v>5</v>
      </c>
      <c r="E16" s="644">
        <v>1</v>
      </c>
      <c r="F16" s="644">
        <v>2</v>
      </c>
      <c r="G16" s="644">
        <v>3</v>
      </c>
      <c r="H16" s="644">
        <v>4</v>
      </c>
    </row>
    <row r="17" spans="1:8" s="635" customFormat="1" ht="12" customHeight="1">
      <c r="A17" s="646" t="str">
        <f ca="1">IF(B17="","",ROW()-16)</f>
        <v/>
      </c>
      <c r="B17" s="647" t="str">
        <f ca="1">IF(ROWS($1:1)&gt;COUNT(Dong10),"",OFFSET(TH!F$1,SMALL(Dong10,ROWS($1:1)),))</f>
        <v/>
      </c>
      <c r="C17" s="648"/>
      <c r="D17" s="649" t="str">
        <f ca="1">IF(ISNA(VLOOKUP(B17,NXT!$C$12:$D$53,2,0)),"",VLOOKUP(B17,NXT!$C$12:$D$53,2,0))</f>
        <v/>
      </c>
      <c r="E17" s="650"/>
      <c r="F17" s="651" t="str">
        <f ca="1">IF(ROWS($1:1)&gt;COUNT(Dong10),"",OFFSET(TH!I$1,SMALL(Dong10,ROWS($1:1)),))</f>
        <v/>
      </c>
      <c r="G17" s="652" t="str">
        <f ca="1">IF(ROWS($1:1)&gt;COUNT(Dong10),"",OFFSET(TH!J$1,SMALL(Dong10,ROWS($1:1)),))</f>
        <v/>
      </c>
      <c r="H17" s="650" t="str">
        <f t="shared" ref="H17:H23" ca="1" si="0">IF(F17&lt;&gt;"",ROUND(F17*G17,0),"")</f>
        <v/>
      </c>
    </row>
    <row r="18" spans="1:8" s="635" customFormat="1" ht="12" customHeight="1">
      <c r="A18" s="646" t="str">
        <f t="shared" ref="A18:A23" ca="1" si="1">IF(B18="","",ROW()-16)</f>
        <v/>
      </c>
      <c r="B18" s="647" t="str">
        <f ca="1">IF(ROWS($1:2)&gt;COUNT(Dong10),"",OFFSET(TH!F$1,SMALL(Dong10,ROWS($1:2)),))</f>
        <v/>
      </c>
      <c r="C18" s="648"/>
      <c r="D18" s="649" t="str">
        <f ca="1">IF(ISNA(VLOOKUP(B18,NXT!$C$12:$D$53,2,0)),"",VLOOKUP(B18,NXT!$C$12:$D$53,2,0))</f>
        <v/>
      </c>
      <c r="E18" s="650"/>
      <c r="F18" s="651" t="str">
        <f ca="1">IF(ROWS($1:2)&gt;COUNT(Dong10),"",OFFSET(TH!I$1,SMALL(Dong10,ROWS($1:2)),))</f>
        <v/>
      </c>
      <c r="G18" s="652" t="str">
        <f ca="1">IF(ROWS($1:2)&gt;COUNT(Dong10),"",OFFSET(TH!J$1,SMALL(Dong10,ROWS($1:2)),))</f>
        <v/>
      </c>
      <c r="H18" s="650" t="str">
        <f t="shared" ca="1" si="0"/>
        <v/>
      </c>
    </row>
    <row r="19" spans="1:8" s="635" customFormat="1" ht="12" customHeight="1">
      <c r="A19" s="646" t="str">
        <f t="shared" ca="1" si="1"/>
        <v/>
      </c>
      <c r="B19" s="647" t="str">
        <f ca="1">IF(ROWS($1:3)&gt;COUNT(Dong10),"",OFFSET(TH!F$1,SMALL(Dong10,ROWS($1:3)),))</f>
        <v/>
      </c>
      <c r="C19" s="648"/>
      <c r="D19" s="649" t="str">
        <f ca="1">IF(ISNA(VLOOKUP(B19,NXT!$C$12:$D$53,2,0)),"",VLOOKUP(B19,NXT!$C$12:$D$53,2,0))</f>
        <v/>
      </c>
      <c r="E19" s="650"/>
      <c r="F19" s="651" t="str">
        <f ca="1">IF(ROWS($1:3)&gt;COUNT(Dong10),"",OFFSET(TH!I$1,SMALL(Dong10,ROWS($1:3)),))</f>
        <v/>
      </c>
      <c r="G19" s="652" t="str">
        <f ca="1">IF(ROWS($1:3)&gt;COUNT(Dong10),"",OFFSET(TH!J$1,SMALL(Dong10,ROWS($1:3)),))</f>
        <v/>
      </c>
      <c r="H19" s="650" t="str">
        <f t="shared" ca="1" si="0"/>
        <v/>
      </c>
    </row>
    <row r="20" spans="1:8" s="635" customFormat="1" ht="12" customHeight="1">
      <c r="A20" s="646" t="str">
        <f t="shared" ca="1" si="1"/>
        <v/>
      </c>
      <c r="B20" s="647" t="str">
        <f ca="1">IF(ROWS($1:4)&gt;COUNT(Dong10),"",OFFSET(TH!F$1,SMALL(Dong10,ROWS($1:4)),))</f>
        <v/>
      </c>
      <c r="C20" s="648"/>
      <c r="D20" s="649" t="str">
        <f ca="1">IF(ISNA(VLOOKUP(B20,NXT!$C$12:$D$53,2,0)),"",VLOOKUP(B20,NXT!$C$12:$D$53,2,0))</f>
        <v/>
      </c>
      <c r="E20" s="650"/>
      <c r="F20" s="651" t="str">
        <f ca="1">IF(ROWS($1:4)&gt;COUNT(Dong10),"",OFFSET(TH!I$1,SMALL(Dong10,ROWS($1:4)),))</f>
        <v/>
      </c>
      <c r="G20" s="652" t="str">
        <f ca="1">IF(ROWS($1:4)&gt;COUNT(Dong10),"",OFFSET(TH!J$1,SMALL(Dong10,ROWS($1:4)),))</f>
        <v/>
      </c>
      <c r="H20" s="650" t="str">
        <f t="shared" ca="1" si="0"/>
        <v/>
      </c>
    </row>
    <row r="21" spans="1:8" s="635" customFormat="1" ht="12" customHeight="1">
      <c r="A21" s="646" t="str">
        <f t="shared" ca="1" si="1"/>
        <v/>
      </c>
      <c r="B21" s="647" t="str">
        <f ca="1">IF(ROWS($1:5)&gt;COUNT(Dong10),"",OFFSET(TH!F$1,SMALL(Dong10,ROWS($1:5)),))</f>
        <v/>
      </c>
      <c r="C21" s="648"/>
      <c r="D21" s="649" t="str">
        <f ca="1">IF(ISNA(VLOOKUP(B21,NXT!$C$12:$D$53,2,0)),"",VLOOKUP(B21,NXT!$C$12:$D$53,2,0))</f>
        <v/>
      </c>
      <c r="E21" s="650"/>
      <c r="F21" s="651" t="str">
        <f ca="1">IF(ROWS($1:5)&gt;COUNT(Dong10),"",OFFSET(TH!I$1,SMALL(Dong10,ROWS($1:5)),))</f>
        <v/>
      </c>
      <c r="G21" s="652" t="str">
        <f ca="1">IF(ROWS($1:5)&gt;COUNT(Dong10),"",OFFSET(TH!J$1,SMALL(Dong10,ROWS($1:5)),))</f>
        <v/>
      </c>
      <c r="H21" s="650" t="str">
        <f t="shared" ca="1" si="0"/>
        <v/>
      </c>
    </row>
    <row r="22" spans="1:8" s="635" customFormat="1" ht="12" customHeight="1">
      <c r="A22" s="646" t="str">
        <f t="shared" ca="1" si="1"/>
        <v/>
      </c>
      <c r="B22" s="647" t="str">
        <f ca="1">IF(ROWS($1:6)&gt;COUNT(Dong10),"",OFFSET(TH!F$1,SMALL(Dong10,ROWS($1:6)),))</f>
        <v/>
      </c>
      <c r="C22" s="648"/>
      <c r="D22" s="649" t="str">
        <f ca="1">IF(ISNA(VLOOKUP(B22,NXT!$C$12:$D$53,2,0)),"",VLOOKUP(B22,NXT!$C$12:$D$53,2,0))</f>
        <v/>
      </c>
      <c r="E22" s="650"/>
      <c r="F22" s="651" t="str">
        <f ca="1">IF(ROWS($1:6)&gt;COUNT(Dong10),"",OFFSET(TH!I$1,SMALL(Dong10,ROWS($1:6)),))</f>
        <v/>
      </c>
      <c r="G22" s="652" t="str">
        <f ca="1">IF(ROWS($1:6)&gt;COUNT(Dong10),"",OFFSET(TH!J$1,SMALL(Dong10,ROWS($1:6)),))</f>
        <v/>
      </c>
      <c r="H22" s="650" t="str">
        <f t="shared" ca="1" si="0"/>
        <v/>
      </c>
    </row>
    <row r="23" spans="1:8" s="635" customFormat="1" ht="12" customHeight="1">
      <c r="A23" s="646" t="str">
        <f t="shared" ca="1" si="1"/>
        <v/>
      </c>
      <c r="B23" s="647" t="str">
        <f ca="1">IF(ROWS($1:7)&gt;COUNT(Dong10),"",OFFSET(TH!F$1,SMALL(Dong10,ROWS($1:7)),))</f>
        <v/>
      </c>
      <c r="C23" s="648"/>
      <c r="D23" s="649" t="str">
        <f ca="1">IF(ISNA(VLOOKUP(B23,NXT!$C$12:$D$53,2,0)),"",VLOOKUP(B23,NXT!$C$12:$D$53,2,0))</f>
        <v/>
      </c>
      <c r="E23" s="650"/>
      <c r="F23" s="651" t="str">
        <f ca="1">IF(ROWS($1:7)&gt;COUNT(Dong10),"",OFFSET(TH!I$1,SMALL(Dong10,ROWS($1:7)),))</f>
        <v/>
      </c>
      <c r="G23" s="652" t="str">
        <f ca="1">IF(ROWS($1:7)&gt;COUNT(Dong10),"",OFFSET(TH!J$1,SMALL(Dong10,ROWS($1:7)),))</f>
        <v/>
      </c>
      <c r="H23" s="653" t="str">
        <f t="shared" ca="1" si="0"/>
        <v/>
      </c>
    </row>
    <row r="24" spans="1:8" s="635" customFormat="1" ht="12" customHeight="1">
      <c r="A24" s="1207" t="s">
        <v>647</v>
      </c>
      <c r="B24" s="1207"/>
      <c r="C24" s="654"/>
      <c r="D24" s="654"/>
      <c r="E24" s="655"/>
      <c r="F24" s="655"/>
      <c r="G24" s="655"/>
      <c r="H24" s="655">
        <f ca="1">SUM(H17:H23)</f>
        <v>0</v>
      </c>
    </row>
    <row r="25" spans="1:8" s="635" customFormat="1" ht="3" customHeight="1">
      <c r="A25" s="656"/>
      <c r="B25" s="656"/>
      <c r="C25" s="638"/>
      <c r="D25" s="638"/>
      <c r="E25" s="657"/>
      <c r="F25" s="657"/>
      <c r="G25" s="657"/>
      <c r="H25" s="657"/>
    </row>
    <row r="26" spans="1:8" s="635" customFormat="1" ht="14.25" customHeight="1">
      <c r="A26" s="635" t="str">
        <f ca="1">"Tổng số tiền (viết bằng chữ):  "&amp; [1]!VND(H24, TRUE)</f>
        <v>Tổng số tiền (viết bằng chữ):  không đồng</v>
      </c>
    </row>
    <row r="27" spans="1:8" s="635" customFormat="1" ht="14.25" customHeight="1">
      <c r="A27" s="635" t="str">
        <f ca="1">"Số chứng từ gốc kèm theo :  "&amp;IF(B17&lt;&gt;"","HĐ "&amp;OFFSET(TH!G$1,SMALL(Dong10,ROWS($1:2)),),"")</f>
        <v xml:space="preserve">Số chứng từ gốc kèm theo :  </v>
      </c>
    </row>
    <row r="28" spans="1:8" s="635" customFormat="1" ht="14.25" customHeight="1">
      <c r="F28" s="125" t="e">
        <f ca="1">+IF(LEFT($D$7,1)="N","                                                          "&amp;D6,"                                                                                           "&amp;D6)</f>
        <v>#VALUE!</v>
      </c>
    </row>
    <row r="29" spans="1:8" s="659" customFormat="1" ht="14.25" customHeight="1">
      <c r="A29" s="658" t="s">
        <v>648</v>
      </c>
      <c r="C29" s="660"/>
      <c r="E29" s="660"/>
      <c r="F29" s="660" t="str">
        <f>+IF(LEFT($D$7,1)="N","                                                       Kế toán trưởng","                                          Kế toán trưởng                           Giám đốc")</f>
        <v xml:space="preserve">                                          Kế toán trưởng                           Giám đốc</v>
      </c>
    </row>
    <row r="30" spans="1:8" s="635" customFormat="1" ht="12.75" customHeight="1">
      <c r="A30" s="641" t="s">
        <v>649</v>
      </c>
      <c r="C30" s="125"/>
      <c r="E30" s="125"/>
      <c r="F30" s="125" t="str">
        <f>+IF(LEFT($D$7,1)="N","                                                     (Ký, họ tên)","                (Ký, họ tên)                ")</f>
        <v xml:space="preserve">                (Ký, họ tên)                </v>
      </c>
      <c r="H30" s="641" t="str">
        <f>+IF(LEFT($D$7,1)="N","","  (Ký, họ tên)")</f>
        <v xml:space="preserve">  (Ký, họ tên)</v>
      </c>
    </row>
    <row r="31" spans="1:8" s="635" customFormat="1" ht="12.75" customHeight="1">
      <c r="G31" s="125"/>
    </row>
    <row r="32" spans="1:8" s="635" customFormat="1" ht="11.25" customHeight="1"/>
    <row r="33" spans="1:6" s="635" customFormat="1" ht="11.25" customHeight="1"/>
    <row r="34" spans="1:6" s="635" customFormat="1" ht="11.25" customHeight="1"/>
    <row r="35" spans="1:6" s="635" customFormat="1" ht="11.25" customHeight="1"/>
    <row r="36" spans="1:6" ht="11.25" customHeight="1">
      <c r="A36" s="661" t="s">
        <v>650</v>
      </c>
      <c r="F36" s="662"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4" customWidth="1"/>
    <col min="2" max="2" width="8.5703125" style="664" customWidth="1"/>
    <col min="3" max="3" width="11" style="664" customWidth="1"/>
    <col min="4" max="4" width="41.7109375" style="664" customWidth="1"/>
    <col min="5" max="5" width="8" style="677" customWidth="1"/>
    <col min="6" max="6" width="8.85546875" style="664" customWidth="1"/>
    <col min="7" max="7" width="9" style="664" customWidth="1"/>
    <col min="8" max="8" width="14.140625" style="664" customWidth="1"/>
    <col min="9" max="9" width="8.85546875" style="664" customWidth="1"/>
    <col min="10" max="10" width="13.42578125" style="664" customWidth="1"/>
    <col min="11" max="11" width="10.140625" style="664" customWidth="1"/>
    <col min="12" max="12" width="13" style="664" customWidth="1"/>
    <col min="13" max="13" width="7.140625" style="664" customWidth="1"/>
    <col min="14" max="14" width="2" style="664" customWidth="1"/>
    <col min="15" max="15" width="5.5703125" style="664" customWidth="1"/>
    <col min="16" max="16" width="4.42578125" style="664" customWidth="1"/>
    <col min="17" max="16384" width="23.85546875" style="664"/>
  </cols>
  <sheetData>
    <row r="1" spans="1:17">
      <c r="A1" s="663" t="s">
        <v>651</v>
      </c>
      <c r="E1" s="664"/>
      <c r="O1" s="665"/>
    </row>
    <row r="2" spans="1:17" s="525" customFormat="1" ht="16.5" customHeight="1">
      <c r="B2" s="666" t="s">
        <v>512</v>
      </c>
      <c r="C2" s="667"/>
      <c r="D2" s="668"/>
      <c r="E2" s="669"/>
      <c r="F2" s="2"/>
      <c r="J2" s="1211" t="s">
        <v>652</v>
      </c>
      <c r="K2" s="1211"/>
      <c r="L2" s="1211"/>
      <c r="M2" s="1211"/>
      <c r="N2" s="670"/>
    </row>
    <row r="3" spans="1:17" s="525" customFormat="1" ht="16.5" customHeight="1">
      <c r="B3" s="666" t="s">
        <v>514</v>
      </c>
      <c r="C3" s="666"/>
      <c r="D3" s="666"/>
      <c r="E3" s="671"/>
      <c r="F3" s="666"/>
      <c r="J3" s="1212" t="s">
        <v>87</v>
      </c>
      <c r="K3" s="1212"/>
      <c r="L3" s="1212"/>
      <c r="M3" s="1212"/>
      <c r="N3" s="672"/>
    </row>
    <row r="4" spans="1:17" s="525" customFormat="1" ht="16.5" customHeight="1">
      <c r="B4" s="666"/>
      <c r="C4" s="666"/>
      <c r="D4" s="666"/>
      <c r="E4" s="671"/>
      <c r="F4" s="666"/>
      <c r="J4" s="1212"/>
      <c r="K4" s="1212"/>
      <c r="L4" s="1212"/>
      <c r="M4" s="1212"/>
      <c r="N4" s="672"/>
    </row>
    <row r="5" spans="1:17" ht="18.75" customHeight="1">
      <c r="B5" s="1213" t="s">
        <v>653</v>
      </c>
      <c r="C5" s="1213"/>
      <c r="D5" s="1213"/>
      <c r="E5" s="1213"/>
      <c r="F5" s="1213"/>
      <c r="G5" s="1213"/>
      <c r="H5" s="1213"/>
      <c r="I5" s="1213"/>
      <c r="J5" s="1213"/>
      <c r="K5" s="1213"/>
      <c r="L5" s="1213"/>
      <c r="M5" s="1213"/>
      <c r="N5" s="673"/>
    </row>
    <row r="6" spans="1:17" s="674" customFormat="1" ht="12.75">
      <c r="B6" s="1214" t="s">
        <v>654</v>
      </c>
      <c r="C6" s="1214"/>
      <c r="D6" s="1214"/>
      <c r="E6" s="1214"/>
      <c r="F6" s="1214"/>
      <c r="G6" s="1214"/>
      <c r="H6" s="1214"/>
      <c r="I6" s="1214"/>
      <c r="J6" s="1214"/>
      <c r="K6" s="1214"/>
      <c r="L6" s="1214"/>
      <c r="M6" s="1214"/>
      <c r="N6" s="675"/>
    </row>
    <row r="7" spans="1:17">
      <c r="C7" s="676"/>
      <c r="D7" s="676"/>
      <c r="F7" s="676" t="s">
        <v>655</v>
      </c>
      <c r="G7" s="676"/>
      <c r="H7" s="678" t="s">
        <v>656</v>
      </c>
      <c r="I7" s="676" t="str">
        <f>IF($O$10="NL","Nguyên Liệu",IF($O$10="TP","Thành Phẩm",IF($O$10="VL","Vật Liệu","")))</f>
        <v>Vật Liệu</v>
      </c>
      <c r="J7" s="676"/>
      <c r="K7" s="676"/>
      <c r="L7" s="676"/>
      <c r="M7" s="676"/>
      <c r="N7" s="677"/>
    </row>
    <row r="8" spans="1:17">
      <c r="B8" s="677"/>
      <c r="C8" s="676"/>
      <c r="D8" s="676"/>
      <c r="F8" s="677" t="s">
        <v>657</v>
      </c>
      <c r="H8" s="676"/>
      <c r="I8" s="676"/>
      <c r="J8" s="1215" t="s">
        <v>770</v>
      </c>
      <c r="K8" s="1215"/>
      <c r="L8" s="1215"/>
      <c r="M8" s="676"/>
      <c r="N8" s="676"/>
    </row>
    <row r="9" spans="1:17">
      <c r="D9" s="679"/>
      <c r="E9" s="680"/>
      <c r="F9" s="679"/>
      <c r="G9" s="679"/>
      <c r="H9" s="679"/>
      <c r="I9" s="679"/>
      <c r="J9" s="679"/>
      <c r="K9" s="679" t="s">
        <v>228</v>
      </c>
      <c r="M9" s="681"/>
      <c r="N9" s="682"/>
    </row>
    <row r="10" spans="1:17" ht="15.75" customHeight="1">
      <c r="A10" s="1208" t="s">
        <v>46</v>
      </c>
      <c r="B10" s="1209" t="s">
        <v>1</v>
      </c>
      <c r="C10" s="1209"/>
      <c r="D10" s="1210" t="s">
        <v>0</v>
      </c>
      <c r="E10" s="1210" t="s">
        <v>658</v>
      </c>
      <c r="F10" s="1210" t="s">
        <v>644</v>
      </c>
      <c r="G10" s="1217" t="s">
        <v>659</v>
      </c>
      <c r="H10" s="1218"/>
      <c r="I10" s="1217" t="s">
        <v>660</v>
      </c>
      <c r="J10" s="1218"/>
      <c r="K10" s="1217" t="s">
        <v>661</v>
      </c>
      <c r="L10" s="1218"/>
      <c r="M10" s="1210" t="s">
        <v>232</v>
      </c>
      <c r="N10" s="683"/>
      <c r="O10" s="684" t="s">
        <v>662</v>
      </c>
    </row>
    <row r="11" spans="1:17" ht="31.5" customHeight="1">
      <c r="A11" s="1208"/>
      <c r="B11" s="685" t="s">
        <v>20</v>
      </c>
      <c r="C11" s="685" t="s">
        <v>39</v>
      </c>
      <c r="D11" s="1210"/>
      <c r="E11" s="1210"/>
      <c r="F11" s="1210"/>
      <c r="G11" s="685" t="s">
        <v>643</v>
      </c>
      <c r="H11" s="685" t="s">
        <v>645</v>
      </c>
      <c r="I11" s="685" t="s">
        <v>643</v>
      </c>
      <c r="J11" s="685" t="s">
        <v>645</v>
      </c>
      <c r="K11" s="685" t="s">
        <v>643</v>
      </c>
      <c r="L11" s="685" t="s">
        <v>645</v>
      </c>
      <c r="M11" s="1210"/>
      <c r="N11" s="683"/>
    </row>
    <row r="12" spans="1:17" s="677" customFormat="1">
      <c r="A12" s="686"/>
      <c r="B12" s="687" t="s">
        <v>2</v>
      </c>
      <c r="C12" s="688" t="s">
        <v>3</v>
      </c>
      <c r="D12" s="688" t="s">
        <v>4</v>
      </c>
      <c r="E12" s="687" t="s">
        <v>5</v>
      </c>
      <c r="F12" s="687">
        <v>1</v>
      </c>
      <c r="G12" s="687">
        <v>2</v>
      </c>
      <c r="H12" s="687" t="s">
        <v>663</v>
      </c>
      <c r="I12" s="687">
        <v>4</v>
      </c>
      <c r="J12" s="687" t="s">
        <v>664</v>
      </c>
      <c r="K12" s="687">
        <v>6</v>
      </c>
      <c r="L12" s="687" t="s">
        <v>665</v>
      </c>
      <c r="M12" s="687"/>
      <c r="N12" s="689"/>
    </row>
    <row r="13" spans="1:17">
      <c r="A13" s="690"/>
      <c r="B13" s="690"/>
      <c r="C13" s="690"/>
      <c r="D13" s="691" t="s">
        <v>262</v>
      </c>
      <c r="E13" s="692"/>
      <c r="F13" s="693"/>
      <c r="G13" s="693"/>
      <c r="H13" s="693"/>
      <c r="I13" s="693"/>
      <c r="J13" s="693"/>
      <c r="K13" s="694">
        <f>VLOOKUP($J$8,NXT!$C$12:$L$53,3,0)</f>
        <v>0</v>
      </c>
      <c r="L13" s="694">
        <f>VLOOKUP($J$8,NXT!$C$12:$L$53,4,0)</f>
        <v>0</v>
      </c>
      <c r="M13" s="693"/>
      <c r="N13" s="689"/>
    </row>
    <row r="14" spans="1:17">
      <c r="A14" s="646">
        <f ca="1">IF(B14="","",ROW()-13)</f>
        <v>1</v>
      </c>
      <c r="B14" s="695" t="str">
        <f ca="1">IF(ROWS($1:1)&gt;COUNT(Dong11),"",OFFSET(TH!D$1,SMALL(Dong11,ROWS($1:1)),))</f>
        <v>VL/N01</v>
      </c>
      <c r="C14" s="696">
        <f ca="1">IF(ROWS($1:1)&gt;COUNT(Dong11),"",OFFSET(TH!E$1,SMALL(Dong11,ROWS($1:1)),))</f>
        <v>42441</v>
      </c>
      <c r="D14" s="697" t="str">
        <f ca="1">IF(ROWS($1:1)&gt;COUNT(Dong11),"",OFFSET(TH!F$1,SMALL(Dong11,ROWS($1:1)),)&amp;" - "&amp;OFFSET(TH!H$1,SMALL(Dong11,ROWS($1:1)),))</f>
        <v>Túi PE 86*75 - CN Công Ty TNHH Tân Hy Xí Nghiệp In &amp; Bao Bì Duy Nhật</v>
      </c>
      <c r="E14" s="695" t="str">
        <f ca="1">IF(ROWS($1:1)&gt;COUNT(Dong11),"",IF(LEFT(OFFSET(TH!N$1,SMALL(Dong11,ROWS($1:1)),),2)="15",OFFSET(TH!O$1,SMALL(Dong11,ROWS($1:1)),),OFFSET(TH!N$1,SMALL(Dong11,ROWS($1:1)),)))</f>
        <v>331</v>
      </c>
      <c r="F14" s="698">
        <f ca="1">IF(ROWS($1:1)&gt;COUNT(Dong11),0,OFFSET(TH!J$1,SMALL(Dong11,ROWS($1:1)),))</f>
        <v>33000</v>
      </c>
      <c r="G14" s="698">
        <f ca="1">IF(ROWS($1:1)&gt;COUNT(Dong11),0,IF(MID(OFFSET(TH!D$1,SMALL(Dong11,ROWS($1:1)),),4,1)="N",OFFSET(TH!I$1,SMALL(Dong11,ROWS($1:1)),),0))</f>
        <v>500</v>
      </c>
      <c r="H14" s="699">
        <f t="shared" ref="H14" ca="1" si="0">ROUND(F14*G14,0)</f>
        <v>16500000</v>
      </c>
      <c r="I14" s="698">
        <f ca="1">IF(ROWS($1:1)&gt;COUNT(Dong11),0,IF(MID(OFFSET(TH!D$1,SMALL(Dong11,ROWS($1:1)),),4,1)="X",OFFSET(TH!I$1,SMALL(Dong11,ROWS($1:1)),),0))</f>
        <v>0</v>
      </c>
      <c r="J14" s="699">
        <f t="shared" ref="J14" ca="1" si="1">ROUND(F14*I14,0)</f>
        <v>0</v>
      </c>
      <c r="K14" s="699">
        <f t="shared" ref="K14" ca="1" si="2">IF(D14&lt;&gt;"",K13+G14-I14,0)</f>
        <v>500</v>
      </c>
      <c r="L14" s="699">
        <f t="shared" ref="L14" ca="1" si="3">IF(D14&lt;&gt;"",L13+H14-J14,0)</f>
        <v>16500000</v>
      </c>
      <c r="M14" s="699"/>
      <c r="N14" s="689"/>
    </row>
    <row r="15" spans="1:17">
      <c r="A15" s="646" t="str">
        <f t="shared" ref="A15:A31" ca="1" si="4">IF(B15="","",A14+1)</f>
        <v/>
      </c>
      <c r="B15" s="695" t="str">
        <f ca="1">IF(ROWS($1:2)&gt;COUNT(Dong11),"",OFFSET(TH!D$1,SMALL(Dong11,ROWS($1:2)),))</f>
        <v/>
      </c>
      <c r="C15" s="696" t="str">
        <f ca="1">IF(ROWS($1:2)&gt;COUNT(Dong11),"",OFFSET(TH!E$1,SMALL(Dong11,ROWS($1:2)),))</f>
        <v/>
      </c>
      <c r="D15" s="697" t="str">
        <f ca="1">IF(ROWS($1:2)&gt;COUNT(Dong11),"",OFFSET(TH!F$1,SMALL(Dong11,ROWS($1:2)),)&amp;" - "&amp;OFFSET(TH!H$1,SMALL(Dong11,ROWS($1:2)),))</f>
        <v/>
      </c>
      <c r="E15" s="695" t="str">
        <f ca="1">IF(ROWS($1:2)&gt;COUNT(Dong11),"",IF(LEFT(OFFSET(TH!N$1,SMALL(Dong11,ROWS($1:2)),),2)="15",OFFSET(TH!O$1,SMALL(Dong11,ROWS($1:2)),),OFFSET(TH!N$1,SMALL(Dong11,ROWS($1:2)),)))</f>
        <v/>
      </c>
      <c r="F15" s="698">
        <f ca="1">IF(ROWS($1:2)&gt;COUNT(Dong11),0,OFFSET(TH!J$1,SMALL(Dong11,ROWS($1:2)),))</f>
        <v>0</v>
      </c>
      <c r="G15" s="698">
        <f ca="1">IF(ROWS($1:2)&gt;COUNT(Dong11),0,IF(MID(OFFSET(TH!D$1,SMALL(Dong11,ROWS($1:2)),),4,1)="N",OFFSET(TH!I$1,SMALL(Dong11,ROWS($1:2)),),0))</f>
        <v>0</v>
      </c>
      <c r="H15" s="699">
        <f t="shared" ref="H15:H30" ca="1" si="5">ROUND(F15*G15,0)</f>
        <v>0</v>
      </c>
      <c r="I15" s="698">
        <f ca="1">IF(ROWS($1:2)&gt;COUNT(Dong11),0,IF(MID(OFFSET(TH!D$1,SMALL(Dong11,ROWS($1:2)),),4,1)="X",OFFSET(TH!I$1,SMALL(Dong11,ROWS($1:2)),),0))</f>
        <v>0</v>
      </c>
      <c r="J15" s="699">
        <f t="shared" ref="J15:J30" ca="1" si="6">ROUND(F15*I15,0)</f>
        <v>0</v>
      </c>
      <c r="K15" s="699">
        <f t="shared" ref="K15:K30" ca="1" si="7">IF(D15&lt;&gt;"",K14+G15-I15,0)</f>
        <v>0</v>
      </c>
      <c r="L15" s="699">
        <f t="shared" ref="L15:L30" ca="1" si="8">IF(D15&lt;&gt;"",L14+H15-J15,0)</f>
        <v>0</v>
      </c>
      <c r="M15" s="699"/>
      <c r="N15" s="689"/>
      <c r="Q15" s="700"/>
    </row>
    <row r="16" spans="1:17">
      <c r="A16" s="646" t="str">
        <f t="shared" ca="1" si="4"/>
        <v/>
      </c>
      <c r="B16" s="695" t="str">
        <f ca="1">IF(ROWS($1:3)&gt;COUNT(Dong11),"",OFFSET(TH!D$1,SMALL(Dong11,ROWS($1:3)),))</f>
        <v/>
      </c>
      <c r="C16" s="696" t="str">
        <f ca="1">IF(ROWS($1:3)&gt;COUNT(Dong11),"",OFFSET(TH!E$1,SMALL(Dong11,ROWS($1:3)),))</f>
        <v/>
      </c>
      <c r="D16" s="697" t="str">
        <f ca="1">IF(ROWS($1:3)&gt;COUNT(Dong11),"",OFFSET(TH!F$1,SMALL(Dong11,ROWS($1:3)),)&amp;" - "&amp;OFFSET(TH!H$1,SMALL(Dong11,ROWS($1:3)),))</f>
        <v/>
      </c>
      <c r="E16" s="695" t="str">
        <f ca="1">IF(ROWS($1:3)&gt;COUNT(Dong11),"",IF(LEFT(OFFSET(TH!N$1,SMALL(Dong11,ROWS($1:3)),),2)="15",OFFSET(TH!O$1,SMALL(Dong11,ROWS($1:3)),),OFFSET(TH!N$1,SMALL(Dong11,ROWS($1:3)),)))</f>
        <v/>
      </c>
      <c r="F16" s="698">
        <f ca="1">IF(ROWS($1:3)&gt;COUNT(Dong11),0,OFFSET(TH!J$1,SMALL(Dong11,ROWS($1:3)),))</f>
        <v>0</v>
      </c>
      <c r="G16" s="698">
        <f ca="1">IF(ROWS($1:3)&gt;COUNT(Dong11),0,IF(MID(OFFSET(TH!D$1,SMALL(Dong11,ROWS($1:3)),),4,1)="N",OFFSET(TH!I$1,SMALL(Dong11,ROWS($1:3)),),0))</f>
        <v>0</v>
      </c>
      <c r="H16" s="699">
        <f t="shared" ca="1" si="5"/>
        <v>0</v>
      </c>
      <c r="I16" s="698">
        <f ca="1">IF(ROWS($1:3)&gt;COUNT(Dong11),0,IF(MID(OFFSET(TH!D$1,SMALL(Dong11,ROWS($1:3)),),4,1)="X",OFFSET(TH!I$1,SMALL(Dong11,ROWS($1:3)),),0))</f>
        <v>0</v>
      </c>
      <c r="J16" s="699">
        <f t="shared" ca="1" si="6"/>
        <v>0</v>
      </c>
      <c r="K16" s="699">
        <f t="shared" ca="1" si="7"/>
        <v>0</v>
      </c>
      <c r="L16" s="699">
        <f t="shared" ca="1" si="8"/>
        <v>0</v>
      </c>
      <c r="M16" s="699"/>
      <c r="N16" s="689"/>
    </row>
    <row r="17" spans="1:16">
      <c r="A17" s="646" t="str">
        <f t="shared" ca="1" si="4"/>
        <v/>
      </c>
      <c r="B17" s="695" t="str">
        <f ca="1">IF(ROWS($1:4)&gt;COUNT(Dong11),"",OFFSET(TH!D$1,SMALL(Dong11,ROWS($1:4)),))</f>
        <v/>
      </c>
      <c r="C17" s="696" t="str">
        <f ca="1">IF(ROWS($1:4)&gt;COUNT(Dong11),"",OFFSET(TH!E$1,SMALL(Dong11,ROWS($1:4)),))</f>
        <v/>
      </c>
      <c r="D17" s="697" t="str">
        <f ca="1">IF(ROWS($1:4)&gt;COUNT(Dong11),"",OFFSET(TH!F$1,SMALL(Dong11,ROWS($1:4)),)&amp;" - "&amp;OFFSET(TH!H$1,SMALL(Dong11,ROWS($1:4)),))</f>
        <v/>
      </c>
      <c r="E17" s="695" t="str">
        <f ca="1">IF(ROWS($1:4)&gt;COUNT(Dong11),"",IF(LEFT(OFFSET(TH!N$1,SMALL(Dong11,ROWS($1:4)),),2)="15",OFFSET(TH!O$1,SMALL(Dong11,ROWS($1:4)),),OFFSET(TH!N$1,SMALL(Dong11,ROWS($1:4)),)))</f>
        <v/>
      </c>
      <c r="F17" s="698">
        <f ca="1">IF(ROWS($1:4)&gt;COUNT(Dong11),0,OFFSET(TH!J$1,SMALL(Dong11,ROWS($1:4)),))</f>
        <v>0</v>
      </c>
      <c r="G17" s="698">
        <f ca="1">IF(ROWS($1:4)&gt;COUNT(Dong11),0,IF(MID(OFFSET(TH!D$1,SMALL(Dong11,ROWS($1:4)),),4,1)="N",OFFSET(TH!I$1,SMALL(Dong11,ROWS($1:4)),),0))</f>
        <v>0</v>
      </c>
      <c r="H17" s="699">
        <f t="shared" ca="1" si="5"/>
        <v>0</v>
      </c>
      <c r="I17" s="698">
        <f ca="1">IF(ROWS($1:4)&gt;COUNT(Dong11),0,IF(MID(OFFSET(TH!D$1,SMALL(Dong11,ROWS($1:4)),),4,1)="X",OFFSET(TH!I$1,SMALL(Dong11,ROWS($1:4)),),0))</f>
        <v>0</v>
      </c>
      <c r="J17" s="699">
        <f t="shared" ca="1" si="6"/>
        <v>0</v>
      </c>
      <c r="K17" s="699">
        <f t="shared" ca="1" si="7"/>
        <v>0</v>
      </c>
      <c r="L17" s="699">
        <f t="shared" ca="1" si="8"/>
        <v>0</v>
      </c>
      <c r="M17" s="699"/>
      <c r="N17" s="689"/>
      <c r="P17" s="701"/>
    </row>
    <row r="18" spans="1:16">
      <c r="A18" s="646" t="str">
        <f t="shared" ca="1" si="4"/>
        <v/>
      </c>
      <c r="B18" s="695" t="str">
        <f ca="1">IF(ROWS($1:5)&gt;COUNT(Dong11),"",OFFSET(TH!D$1,SMALL(Dong11,ROWS($1:5)),))</f>
        <v/>
      </c>
      <c r="C18" s="696" t="str">
        <f ca="1">IF(ROWS($1:5)&gt;COUNT(Dong11),"",OFFSET(TH!E$1,SMALL(Dong11,ROWS($1:5)),))</f>
        <v/>
      </c>
      <c r="D18" s="697" t="str">
        <f ca="1">IF(ROWS($1:5)&gt;COUNT(Dong11),"",OFFSET(TH!F$1,SMALL(Dong11,ROWS($1:5)),)&amp;" - "&amp;OFFSET(TH!H$1,SMALL(Dong11,ROWS($1:5)),))</f>
        <v/>
      </c>
      <c r="E18" s="695" t="str">
        <f ca="1">IF(ROWS($1:5)&gt;COUNT(Dong11),"",IF(LEFT(OFFSET(TH!N$1,SMALL(Dong11,ROWS($1:5)),),2)="15",OFFSET(TH!O$1,SMALL(Dong11,ROWS($1:5)),),OFFSET(TH!N$1,SMALL(Dong11,ROWS($1:5)),)))</f>
        <v/>
      </c>
      <c r="F18" s="698">
        <f ca="1">IF(ROWS($1:5)&gt;COUNT(Dong11),0,OFFSET(TH!J$1,SMALL(Dong11,ROWS($1:5)),))</f>
        <v>0</v>
      </c>
      <c r="G18" s="698">
        <f ca="1">IF(ROWS($1:5)&gt;COUNT(Dong11),0,IF(MID(OFFSET(TH!D$1,SMALL(Dong11,ROWS($1:5)),),4,1)="N",OFFSET(TH!I$1,SMALL(Dong11,ROWS($1:5)),),0))</f>
        <v>0</v>
      </c>
      <c r="H18" s="699">
        <f t="shared" ca="1" si="5"/>
        <v>0</v>
      </c>
      <c r="I18" s="698">
        <f ca="1">IF(ROWS($1:5)&gt;COUNT(Dong11),0,IF(MID(OFFSET(TH!D$1,SMALL(Dong11,ROWS($1:5)),),4,1)="X",OFFSET(TH!I$1,SMALL(Dong11,ROWS($1:5)),),0))</f>
        <v>0</v>
      </c>
      <c r="J18" s="699">
        <f t="shared" ca="1" si="6"/>
        <v>0</v>
      </c>
      <c r="K18" s="699">
        <f t="shared" ca="1" si="7"/>
        <v>0</v>
      </c>
      <c r="L18" s="699">
        <f t="shared" ca="1" si="8"/>
        <v>0</v>
      </c>
      <c r="M18" s="699"/>
      <c r="N18" s="689"/>
    </row>
    <row r="19" spans="1:16">
      <c r="A19" s="646" t="str">
        <f t="shared" ca="1" si="4"/>
        <v/>
      </c>
      <c r="B19" s="695" t="str">
        <f ca="1">IF(ROWS($1:6)&gt;COUNT(Dong11),"",OFFSET(TH!D$1,SMALL(Dong11,ROWS($1:6)),))</f>
        <v/>
      </c>
      <c r="C19" s="696" t="str">
        <f ca="1">IF(ROWS($1:6)&gt;COUNT(Dong11),"",OFFSET(TH!E$1,SMALL(Dong11,ROWS($1:6)),))</f>
        <v/>
      </c>
      <c r="D19" s="697" t="str">
        <f ca="1">IF(ROWS($1:6)&gt;COUNT(Dong11),"",OFFSET(TH!F$1,SMALL(Dong11,ROWS($1:6)),)&amp;" - "&amp;OFFSET(TH!H$1,SMALL(Dong11,ROWS($1:6)),))</f>
        <v/>
      </c>
      <c r="E19" s="695" t="str">
        <f ca="1">IF(ROWS($1:6)&gt;COUNT(Dong11),"",IF(LEFT(OFFSET(TH!N$1,SMALL(Dong11,ROWS($1:6)),),2)="15",OFFSET(TH!O$1,SMALL(Dong11,ROWS($1:6)),),OFFSET(TH!N$1,SMALL(Dong11,ROWS($1:6)),)))</f>
        <v/>
      </c>
      <c r="F19" s="698">
        <f ca="1">IF(ROWS($1:6)&gt;COUNT(Dong11),0,OFFSET(TH!J$1,SMALL(Dong11,ROWS($1:6)),))</f>
        <v>0</v>
      </c>
      <c r="G19" s="698">
        <f ca="1">IF(ROWS($1:6)&gt;COUNT(Dong11),0,IF(MID(OFFSET(TH!D$1,SMALL(Dong11,ROWS($1:6)),),4,1)="N",OFFSET(TH!I$1,SMALL(Dong11,ROWS($1:6)),),0))</f>
        <v>0</v>
      </c>
      <c r="H19" s="699">
        <f t="shared" ca="1" si="5"/>
        <v>0</v>
      </c>
      <c r="I19" s="698">
        <f ca="1">IF(ROWS($1:6)&gt;COUNT(Dong11),0,IF(MID(OFFSET(TH!D$1,SMALL(Dong11,ROWS($1:6)),),4,1)="X",OFFSET(TH!I$1,SMALL(Dong11,ROWS($1:6)),),0))</f>
        <v>0</v>
      </c>
      <c r="J19" s="699">
        <f t="shared" ca="1" si="6"/>
        <v>0</v>
      </c>
      <c r="K19" s="699">
        <f t="shared" ca="1" si="7"/>
        <v>0</v>
      </c>
      <c r="L19" s="699">
        <f t="shared" ca="1" si="8"/>
        <v>0</v>
      </c>
      <c r="M19" s="699"/>
      <c r="N19" s="689"/>
    </row>
    <row r="20" spans="1:16">
      <c r="A20" s="646" t="str">
        <f t="shared" ca="1" si="4"/>
        <v/>
      </c>
      <c r="B20" s="695" t="str">
        <f ca="1">IF(ROWS($1:7)&gt;COUNT(Dong11),"",OFFSET(TH!D$1,SMALL(Dong11,ROWS($1:7)),))</f>
        <v/>
      </c>
      <c r="C20" s="696" t="str">
        <f ca="1">IF(ROWS($1:7)&gt;COUNT(Dong11),"",OFFSET(TH!E$1,SMALL(Dong11,ROWS($1:7)),))</f>
        <v/>
      </c>
      <c r="D20" s="697" t="str">
        <f ca="1">IF(ROWS($1:7)&gt;COUNT(Dong11),"",OFFSET(TH!F$1,SMALL(Dong11,ROWS($1:7)),)&amp;" - "&amp;OFFSET(TH!H$1,SMALL(Dong11,ROWS($1:7)),))</f>
        <v/>
      </c>
      <c r="E20" s="695" t="str">
        <f ca="1">IF(ROWS($1:7)&gt;COUNT(Dong11),"",IF(LEFT(OFFSET(TH!N$1,SMALL(Dong11,ROWS($1:7)),),2)="15",OFFSET(TH!O$1,SMALL(Dong11,ROWS($1:7)),),OFFSET(TH!N$1,SMALL(Dong11,ROWS($1:7)),)))</f>
        <v/>
      </c>
      <c r="F20" s="698">
        <f ca="1">IF(ROWS($1:7)&gt;COUNT(Dong11),0,OFFSET(TH!J$1,SMALL(Dong11,ROWS($1:7)),))</f>
        <v>0</v>
      </c>
      <c r="G20" s="698">
        <f ca="1">IF(ROWS($1:7)&gt;COUNT(Dong11),0,IF(MID(OFFSET(TH!D$1,SMALL(Dong11,ROWS($1:7)),),4,1)="N",OFFSET(TH!I$1,SMALL(Dong11,ROWS($1:7)),),0))</f>
        <v>0</v>
      </c>
      <c r="H20" s="699">
        <f t="shared" ca="1" si="5"/>
        <v>0</v>
      </c>
      <c r="I20" s="698">
        <f ca="1">IF(ROWS($1:7)&gt;COUNT(Dong11),0,IF(MID(OFFSET(TH!D$1,SMALL(Dong11,ROWS($1:7)),),4,1)="X",OFFSET(TH!I$1,SMALL(Dong11,ROWS($1:7)),),0))</f>
        <v>0</v>
      </c>
      <c r="J20" s="699">
        <f t="shared" ca="1" si="6"/>
        <v>0</v>
      </c>
      <c r="K20" s="699">
        <f t="shared" ca="1" si="7"/>
        <v>0</v>
      </c>
      <c r="L20" s="699">
        <f t="shared" ca="1" si="8"/>
        <v>0</v>
      </c>
      <c r="M20" s="699"/>
      <c r="N20" s="689"/>
    </row>
    <row r="21" spans="1:16">
      <c r="A21" s="646" t="str">
        <f t="shared" ca="1" si="4"/>
        <v/>
      </c>
      <c r="B21" s="695" t="str">
        <f ca="1">IF(ROWS($1:8)&gt;COUNT(Dong11),"",OFFSET(TH!D$1,SMALL(Dong11,ROWS($1:8)),))</f>
        <v/>
      </c>
      <c r="C21" s="696" t="str">
        <f ca="1">IF(ROWS($1:8)&gt;COUNT(Dong11),"",OFFSET(TH!E$1,SMALL(Dong11,ROWS($1:8)),))</f>
        <v/>
      </c>
      <c r="D21" s="697" t="str">
        <f ca="1">IF(ROWS($1:8)&gt;COUNT(Dong11),"",OFFSET(TH!F$1,SMALL(Dong11,ROWS($1:8)),)&amp;" - "&amp;OFFSET(TH!H$1,SMALL(Dong11,ROWS($1:8)),))</f>
        <v/>
      </c>
      <c r="E21" s="695" t="str">
        <f ca="1">IF(ROWS($1:8)&gt;COUNT(Dong11),"",IF(LEFT(OFFSET(TH!N$1,SMALL(Dong11,ROWS($1:8)),),2)="15",OFFSET(TH!O$1,SMALL(Dong11,ROWS($1:8)),),OFFSET(TH!N$1,SMALL(Dong11,ROWS($1:8)),)))</f>
        <v/>
      </c>
      <c r="F21" s="698">
        <f ca="1">IF(ROWS($1:8)&gt;COUNT(Dong11),0,OFFSET(TH!J$1,SMALL(Dong11,ROWS($1:8)),))</f>
        <v>0</v>
      </c>
      <c r="G21" s="698">
        <f ca="1">IF(ROWS($1:8)&gt;COUNT(Dong11),0,IF(MID(OFFSET(TH!D$1,SMALL(Dong11,ROWS($1:8)),),4,1)="N",OFFSET(TH!I$1,SMALL(Dong11,ROWS($1:8)),),0))</f>
        <v>0</v>
      </c>
      <c r="H21" s="699">
        <f t="shared" ca="1" si="5"/>
        <v>0</v>
      </c>
      <c r="I21" s="698">
        <f ca="1">IF(ROWS($1:8)&gt;COUNT(Dong11),0,IF(MID(OFFSET(TH!D$1,SMALL(Dong11,ROWS($1:8)),),4,1)="X",OFFSET(TH!I$1,SMALL(Dong11,ROWS($1:8)),),0))</f>
        <v>0</v>
      </c>
      <c r="J21" s="699">
        <f t="shared" ca="1" si="6"/>
        <v>0</v>
      </c>
      <c r="K21" s="699">
        <f t="shared" ca="1" si="7"/>
        <v>0</v>
      </c>
      <c r="L21" s="699">
        <f t="shared" ca="1" si="8"/>
        <v>0</v>
      </c>
      <c r="M21" s="699"/>
      <c r="N21" s="689"/>
    </row>
    <row r="22" spans="1:16">
      <c r="A22" s="646" t="str">
        <f t="shared" ca="1" si="4"/>
        <v/>
      </c>
      <c r="B22" s="695" t="str">
        <f ca="1">IF(ROWS($1:9)&gt;COUNT(Dong11),"",OFFSET(TH!D$1,SMALL(Dong11,ROWS($1:9)),))</f>
        <v/>
      </c>
      <c r="C22" s="696" t="str">
        <f ca="1">IF(ROWS($1:9)&gt;COUNT(Dong11),"",OFFSET(TH!E$1,SMALL(Dong11,ROWS($1:9)),))</f>
        <v/>
      </c>
      <c r="D22" s="697" t="str">
        <f ca="1">IF(ROWS($1:9)&gt;COUNT(Dong11),"",OFFSET(TH!F$1,SMALL(Dong11,ROWS($1:9)),)&amp;" - "&amp;OFFSET(TH!H$1,SMALL(Dong11,ROWS($1:9)),))</f>
        <v/>
      </c>
      <c r="E22" s="695" t="str">
        <f ca="1">IF(ROWS($1:9)&gt;COUNT(Dong11),"",IF(LEFT(OFFSET(TH!N$1,SMALL(Dong11,ROWS($1:9)),),2)="15",OFFSET(TH!O$1,SMALL(Dong11,ROWS($1:9)),),OFFSET(TH!N$1,SMALL(Dong11,ROWS($1:9)),)))</f>
        <v/>
      </c>
      <c r="F22" s="698">
        <f ca="1">IF(ROWS($1:9)&gt;COUNT(Dong11),0,OFFSET(TH!J$1,SMALL(Dong11,ROWS($1:9)),))</f>
        <v>0</v>
      </c>
      <c r="G22" s="698">
        <f ca="1">IF(ROWS($1:9)&gt;COUNT(Dong11),0,IF(MID(OFFSET(TH!D$1,SMALL(Dong11,ROWS($1:9)),),4,1)="N",OFFSET(TH!I$1,SMALL(Dong11,ROWS($1:9)),),0))</f>
        <v>0</v>
      </c>
      <c r="H22" s="699">
        <f t="shared" ca="1" si="5"/>
        <v>0</v>
      </c>
      <c r="I22" s="698">
        <f ca="1">IF(ROWS($1:9)&gt;COUNT(Dong11),0,IF(MID(OFFSET(TH!D$1,SMALL(Dong11,ROWS($1:9)),),4,1)="X",OFFSET(TH!I$1,SMALL(Dong11,ROWS($1:9)),),0))</f>
        <v>0</v>
      </c>
      <c r="J22" s="699">
        <f t="shared" ca="1" si="6"/>
        <v>0</v>
      </c>
      <c r="K22" s="699">
        <f t="shared" ca="1" si="7"/>
        <v>0</v>
      </c>
      <c r="L22" s="699">
        <f t="shared" ca="1" si="8"/>
        <v>0</v>
      </c>
      <c r="M22" s="699"/>
      <c r="N22" s="689"/>
    </row>
    <row r="23" spans="1:16">
      <c r="A23" s="646" t="str">
        <f t="shared" ca="1" si="4"/>
        <v/>
      </c>
      <c r="B23" s="695" t="str">
        <f ca="1">IF(ROWS($1:10)&gt;COUNT(Dong11),"",OFFSET(TH!D$1,SMALL(Dong11,ROWS($1:10)),))</f>
        <v/>
      </c>
      <c r="C23" s="696" t="str">
        <f ca="1">IF(ROWS($1:10)&gt;COUNT(Dong11),"",OFFSET(TH!E$1,SMALL(Dong11,ROWS($1:10)),))</f>
        <v/>
      </c>
      <c r="D23" s="697" t="str">
        <f ca="1">IF(ROWS($1:10)&gt;COUNT(Dong11),"",OFFSET(TH!F$1,SMALL(Dong11,ROWS($1:10)),)&amp;" - "&amp;OFFSET(TH!H$1,SMALL(Dong11,ROWS($1:10)),))</f>
        <v/>
      </c>
      <c r="E23" s="695" t="str">
        <f ca="1">IF(ROWS($1:10)&gt;COUNT(Dong11),"",IF(LEFT(OFFSET(TH!N$1,SMALL(Dong11,ROWS($1:10)),),2)="15",OFFSET(TH!O$1,SMALL(Dong11,ROWS($1:10)),),OFFSET(TH!N$1,SMALL(Dong11,ROWS($1:10)),)))</f>
        <v/>
      </c>
      <c r="F23" s="698">
        <f ca="1">IF(ROWS($1:10)&gt;COUNT(Dong11),0,OFFSET(TH!J$1,SMALL(Dong11,ROWS($1:10)),))</f>
        <v>0</v>
      </c>
      <c r="G23" s="698">
        <f ca="1">IF(ROWS($1:10)&gt;COUNT(Dong11),0,IF(MID(OFFSET(TH!D$1,SMALL(Dong11,ROWS($1:10)),),4,1)="N",OFFSET(TH!I$1,SMALL(Dong11,ROWS($1:10)),),0))</f>
        <v>0</v>
      </c>
      <c r="H23" s="699">
        <f t="shared" ca="1" si="5"/>
        <v>0</v>
      </c>
      <c r="I23" s="698">
        <f ca="1">IF(ROWS($1:10)&gt;COUNT(Dong11),0,IF(MID(OFFSET(TH!D$1,SMALL(Dong11,ROWS($1:10)),),4,1)="X",OFFSET(TH!I$1,SMALL(Dong11,ROWS($1:10)),),0))</f>
        <v>0</v>
      </c>
      <c r="J23" s="699">
        <f t="shared" ca="1" si="6"/>
        <v>0</v>
      </c>
      <c r="K23" s="699">
        <f t="shared" ca="1" si="7"/>
        <v>0</v>
      </c>
      <c r="L23" s="699">
        <f t="shared" ca="1" si="8"/>
        <v>0</v>
      </c>
      <c r="M23" s="699"/>
      <c r="N23" s="689"/>
    </row>
    <row r="24" spans="1:16">
      <c r="A24" s="646" t="str">
        <f t="shared" ca="1" si="4"/>
        <v/>
      </c>
      <c r="B24" s="695" t="str">
        <f ca="1">IF(ROWS($1:11)&gt;COUNT(Dong11),"",OFFSET(TH!D$1,SMALL(Dong11,ROWS($1:11)),))</f>
        <v/>
      </c>
      <c r="C24" s="696" t="str">
        <f ca="1">IF(ROWS($1:11)&gt;COUNT(Dong11),"",OFFSET(TH!E$1,SMALL(Dong11,ROWS($1:11)),))</f>
        <v/>
      </c>
      <c r="D24" s="697" t="str">
        <f ca="1">IF(ROWS($1:11)&gt;COUNT(Dong11),"",OFFSET(TH!F$1,SMALL(Dong11,ROWS($1:11)),)&amp;" - "&amp;OFFSET(TH!H$1,SMALL(Dong11,ROWS($1:11)),))</f>
        <v/>
      </c>
      <c r="E24" s="695" t="str">
        <f ca="1">IF(ROWS($1:11)&gt;COUNT(Dong11),"",IF(LEFT(OFFSET(TH!N$1,SMALL(Dong11,ROWS($1:11)),),2)="15",OFFSET(TH!O$1,SMALL(Dong11,ROWS($1:11)),),OFFSET(TH!N$1,SMALL(Dong11,ROWS($1:11)),)))</f>
        <v/>
      </c>
      <c r="F24" s="698">
        <f ca="1">IF(ROWS($1:11)&gt;COUNT(Dong11),0,OFFSET(TH!J$1,SMALL(Dong11,ROWS($1:11)),))</f>
        <v>0</v>
      </c>
      <c r="G24" s="698">
        <f ca="1">IF(ROWS($1:11)&gt;COUNT(Dong11),0,IF(MID(OFFSET(TH!D$1,SMALL(Dong11,ROWS($1:11)),),4,1)="N",OFFSET(TH!I$1,SMALL(Dong11,ROWS($1:11)),),0))</f>
        <v>0</v>
      </c>
      <c r="H24" s="699">
        <f t="shared" ca="1" si="5"/>
        <v>0</v>
      </c>
      <c r="I24" s="698">
        <f ca="1">IF(ROWS($1:11)&gt;COUNT(Dong11),0,IF(MID(OFFSET(TH!D$1,SMALL(Dong11,ROWS($1:11)),),4,1)="X",OFFSET(TH!I$1,SMALL(Dong11,ROWS($1:11)),),0))</f>
        <v>0</v>
      </c>
      <c r="J24" s="699">
        <f t="shared" ca="1" si="6"/>
        <v>0</v>
      </c>
      <c r="K24" s="699">
        <f t="shared" ca="1" si="7"/>
        <v>0</v>
      </c>
      <c r="L24" s="699">
        <f t="shared" ca="1" si="8"/>
        <v>0</v>
      </c>
      <c r="M24" s="699"/>
      <c r="N24" s="689"/>
    </row>
    <row r="25" spans="1:16">
      <c r="A25" s="646" t="str">
        <f t="shared" ca="1" si="4"/>
        <v/>
      </c>
      <c r="B25" s="695" t="str">
        <f ca="1">IF(ROWS($1:12)&gt;COUNT(Dong11),"",OFFSET(TH!D$1,SMALL(Dong11,ROWS($1:12)),))</f>
        <v/>
      </c>
      <c r="C25" s="696" t="str">
        <f ca="1">IF(ROWS($1:12)&gt;COUNT(Dong11),"",OFFSET(TH!E$1,SMALL(Dong11,ROWS($1:12)),))</f>
        <v/>
      </c>
      <c r="D25" s="697" t="str">
        <f ca="1">IF(ROWS($1:12)&gt;COUNT(Dong11),"",OFFSET(TH!F$1,SMALL(Dong11,ROWS($1:12)),)&amp;" - "&amp;OFFSET(TH!H$1,SMALL(Dong11,ROWS($1:12)),))</f>
        <v/>
      </c>
      <c r="E25" s="695" t="str">
        <f ca="1">IF(ROWS($1:12)&gt;COUNT(Dong11),"",IF(LEFT(OFFSET(TH!N$1,SMALL(Dong11,ROWS($1:12)),),2)="15",OFFSET(TH!O$1,SMALL(Dong11,ROWS($1:12)),),OFFSET(TH!N$1,SMALL(Dong11,ROWS($1:12)),)))</f>
        <v/>
      </c>
      <c r="F25" s="698">
        <f ca="1">IF(ROWS($1:12)&gt;COUNT(Dong11),0,OFFSET(TH!J$1,SMALL(Dong11,ROWS($1:12)),))</f>
        <v>0</v>
      </c>
      <c r="G25" s="698">
        <f ca="1">IF(ROWS($1:12)&gt;COUNT(Dong11),0,IF(MID(OFFSET(TH!D$1,SMALL(Dong11,ROWS($1:12)),),4,1)="N",OFFSET(TH!I$1,SMALL(Dong11,ROWS($1:12)),),0))</f>
        <v>0</v>
      </c>
      <c r="H25" s="699">
        <f t="shared" ca="1" si="5"/>
        <v>0</v>
      </c>
      <c r="I25" s="698">
        <f ca="1">IF(ROWS($1:12)&gt;COUNT(Dong11),0,IF(MID(OFFSET(TH!D$1,SMALL(Dong11,ROWS($1:12)),),4,1)="X",OFFSET(TH!I$1,SMALL(Dong11,ROWS($1:12)),),0))</f>
        <v>0</v>
      </c>
      <c r="J25" s="699">
        <f t="shared" ca="1" si="6"/>
        <v>0</v>
      </c>
      <c r="K25" s="699">
        <f t="shared" ca="1" si="7"/>
        <v>0</v>
      </c>
      <c r="L25" s="699">
        <f t="shared" ca="1" si="8"/>
        <v>0</v>
      </c>
      <c r="M25" s="699"/>
      <c r="N25" s="689"/>
    </row>
    <row r="26" spans="1:16">
      <c r="A26" s="646" t="str">
        <f t="shared" ca="1" si="4"/>
        <v/>
      </c>
      <c r="B26" s="695" t="str">
        <f ca="1">IF(ROWS($1:13)&gt;COUNT(Dong11),"",OFFSET(TH!D$1,SMALL(Dong11,ROWS($1:13)),))</f>
        <v/>
      </c>
      <c r="C26" s="696" t="str">
        <f ca="1">IF(ROWS($1:13)&gt;COUNT(Dong11),"",OFFSET(TH!E$1,SMALL(Dong11,ROWS($1:13)),))</f>
        <v/>
      </c>
      <c r="D26" s="697" t="str">
        <f ca="1">IF(ROWS($1:13)&gt;COUNT(Dong11),"",OFFSET(TH!F$1,SMALL(Dong11,ROWS($1:13)),)&amp;" - "&amp;OFFSET(TH!H$1,SMALL(Dong11,ROWS($1:13)),))</f>
        <v/>
      </c>
      <c r="E26" s="695" t="str">
        <f ca="1">IF(ROWS($1:13)&gt;COUNT(Dong11),"",IF(LEFT(OFFSET(TH!N$1,SMALL(Dong11,ROWS($1:13)),),2)="15",OFFSET(TH!O$1,SMALL(Dong11,ROWS($1:13)),),OFFSET(TH!N$1,SMALL(Dong11,ROWS($1:13)),)))</f>
        <v/>
      </c>
      <c r="F26" s="698">
        <f ca="1">IF(ROWS($1:13)&gt;COUNT(Dong11),0,OFFSET(TH!J$1,SMALL(Dong11,ROWS($1:13)),))</f>
        <v>0</v>
      </c>
      <c r="G26" s="698">
        <f ca="1">IF(ROWS($1:13)&gt;COUNT(Dong11),0,IF(MID(OFFSET(TH!D$1,SMALL(Dong11,ROWS($1:13)),),4,1)="N",OFFSET(TH!I$1,SMALL(Dong11,ROWS($1:13)),),0))</f>
        <v>0</v>
      </c>
      <c r="H26" s="699">
        <f t="shared" ca="1" si="5"/>
        <v>0</v>
      </c>
      <c r="I26" s="698">
        <f ca="1">IF(ROWS($1:13)&gt;COUNT(Dong11),0,IF(MID(OFFSET(TH!D$1,SMALL(Dong11,ROWS($1:13)),),4,1)="X",OFFSET(TH!I$1,SMALL(Dong11,ROWS($1:13)),),0))</f>
        <v>0</v>
      </c>
      <c r="J26" s="699">
        <f t="shared" ca="1" si="6"/>
        <v>0</v>
      </c>
      <c r="K26" s="699">
        <f t="shared" ca="1" si="7"/>
        <v>0</v>
      </c>
      <c r="L26" s="699">
        <f t="shared" ca="1" si="8"/>
        <v>0</v>
      </c>
      <c r="M26" s="699"/>
      <c r="N26" s="689"/>
    </row>
    <row r="27" spans="1:16">
      <c r="A27" s="646" t="str">
        <f t="shared" ca="1" si="4"/>
        <v/>
      </c>
      <c r="B27" s="695" t="str">
        <f ca="1">IF(ROWS($1:14)&gt;COUNT(Dong11),"",OFFSET(TH!D$1,SMALL(Dong11,ROWS($1:14)),))</f>
        <v/>
      </c>
      <c r="C27" s="696" t="str">
        <f ca="1">IF(ROWS($1:14)&gt;COUNT(Dong11),"",OFFSET(TH!E$1,SMALL(Dong11,ROWS($1:14)),))</f>
        <v/>
      </c>
      <c r="D27" s="697" t="str">
        <f ca="1">IF(ROWS($1:14)&gt;COUNT(Dong11),"",OFFSET(TH!F$1,SMALL(Dong11,ROWS($1:14)),)&amp;" - "&amp;OFFSET(TH!H$1,SMALL(Dong11,ROWS($1:14)),))</f>
        <v/>
      </c>
      <c r="E27" s="695" t="str">
        <f ca="1">IF(ROWS($1:14)&gt;COUNT(Dong11),"",IF(LEFT(OFFSET(TH!N$1,SMALL(Dong11,ROWS($1:14)),),2)="15",OFFSET(TH!O$1,SMALL(Dong11,ROWS($1:14)),),OFFSET(TH!N$1,SMALL(Dong11,ROWS($1:14)),)))</f>
        <v/>
      </c>
      <c r="F27" s="698">
        <f ca="1">IF(ROWS($1:14)&gt;COUNT(Dong11),0,OFFSET(TH!J$1,SMALL(Dong11,ROWS($1:14)),))</f>
        <v>0</v>
      </c>
      <c r="G27" s="698">
        <f ca="1">IF(ROWS($1:14)&gt;COUNT(Dong11),0,IF(MID(OFFSET(TH!D$1,SMALL(Dong11,ROWS($1:14)),),4,1)="N",OFFSET(TH!I$1,SMALL(Dong11,ROWS($1:14)),),0))</f>
        <v>0</v>
      </c>
      <c r="H27" s="699">
        <f t="shared" ca="1" si="5"/>
        <v>0</v>
      </c>
      <c r="I27" s="698">
        <f ca="1">IF(ROWS($1:14)&gt;COUNT(Dong11),0,IF(MID(OFFSET(TH!D$1,SMALL(Dong11,ROWS($1:14)),),4,1)="X",OFFSET(TH!I$1,SMALL(Dong11,ROWS($1:14)),),0))</f>
        <v>0</v>
      </c>
      <c r="J27" s="699">
        <f t="shared" ca="1" si="6"/>
        <v>0</v>
      </c>
      <c r="K27" s="699">
        <f t="shared" ca="1" si="7"/>
        <v>0</v>
      </c>
      <c r="L27" s="699">
        <f t="shared" ca="1" si="8"/>
        <v>0</v>
      </c>
      <c r="M27" s="699"/>
      <c r="N27" s="689"/>
    </row>
    <row r="28" spans="1:16">
      <c r="A28" s="646" t="str">
        <f t="shared" ca="1" si="4"/>
        <v/>
      </c>
      <c r="B28" s="695" t="str">
        <f ca="1">IF(ROWS($1:15)&gt;COUNT(Dong11),"",OFFSET(TH!D$1,SMALL(Dong11,ROWS($1:15)),))</f>
        <v/>
      </c>
      <c r="C28" s="696" t="str">
        <f ca="1">IF(ROWS($1:15)&gt;COUNT(Dong11),"",OFFSET(TH!E$1,SMALL(Dong11,ROWS($1:15)),))</f>
        <v/>
      </c>
      <c r="D28" s="697" t="str">
        <f ca="1">IF(ROWS($1:15)&gt;COUNT(Dong11),"",OFFSET(TH!F$1,SMALL(Dong11,ROWS($1:15)),)&amp;" - "&amp;OFFSET(TH!H$1,SMALL(Dong11,ROWS($1:15)),))</f>
        <v/>
      </c>
      <c r="E28" s="695" t="str">
        <f ca="1">IF(ROWS($1:15)&gt;COUNT(Dong11),"",IF(LEFT(OFFSET(TH!N$1,SMALL(Dong11,ROWS($1:15)),),2)="15",OFFSET(TH!O$1,SMALL(Dong11,ROWS($1:15)),),OFFSET(TH!N$1,SMALL(Dong11,ROWS($1:15)),)))</f>
        <v/>
      </c>
      <c r="F28" s="698">
        <f ca="1">IF(ROWS($1:15)&gt;COUNT(Dong11),0,OFFSET(TH!J$1,SMALL(Dong11,ROWS($1:15)),))</f>
        <v>0</v>
      </c>
      <c r="G28" s="698">
        <f ca="1">IF(ROWS($1:15)&gt;COUNT(Dong11),0,IF(MID(OFFSET(TH!D$1,SMALL(Dong11,ROWS($1:15)),),4,1)="N",OFFSET(TH!I$1,SMALL(Dong11,ROWS($1:15)),),0))</f>
        <v>0</v>
      </c>
      <c r="H28" s="699">
        <f t="shared" ca="1" si="5"/>
        <v>0</v>
      </c>
      <c r="I28" s="698">
        <f ca="1">IF(ROWS($1:15)&gt;COUNT(Dong11),0,IF(MID(OFFSET(TH!D$1,SMALL(Dong11,ROWS($1:15)),),4,1)="X",OFFSET(TH!I$1,SMALL(Dong11,ROWS($1:15)),),0))</f>
        <v>0</v>
      </c>
      <c r="J28" s="699">
        <f t="shared" ca="1" si="6"/>
        <v>0</v>
      </c>
      <c r="K28" s="699">
        <f t="shared" ca="1" si="7"/>
        <v>0</v>
      </c>
      <c r="L28" s="699">
        <f t="shared" ca="1" si="8"/>
        <v>0</v>
      </c>
      <c r="M28" s="699"/>
      <c r="N28" s="689"/>
    </row>
    <row r="29" spans="1:16">
      <c r="A29" s="646" t="str">
        <f t="shared" ca="1" si="4"/>
        <v/>
      </c>
      <c r="B29" s="695" t="str">
        <f ca="1">IF(ROWS($1:16)&gt;COUNT(Dong11),"",OFFSET(TH!D$1,SMALL(Dong11,ROWS($1:16)),))</f>
        <v/>
      </c>
      <c r="C29" s="696" t="str">
        <f ca="1">IF(ROWS($1:16)&gt;COUNT(Dong11),"",OFFSET(TH!E$1,SMALL(Dong11,ROWS($1:16)),))</f>
        <v/>
      </c>
      <c r="D29" s="697" t="str">
        <f ca="1">IF(ROWS($1:16)&gt;COUNT(Dong11),"",OFFSET(TH!F$1,SMALL(Dong11,ROWS($1:16)),)&amp;" - "&amp;OFFSET(TH!H$1,SMALL(Dong11,ROWS($1:16)),))</f>
        <v/>
      </c>
      <c r="E29" s="695" t="str">
        <f ca="1">IF(ROWS($1:16)&gt;COUNT(Dong11),"",IF(LEFT(OFFSET(TH!N$1,SMALL(Dong11,ROWS($1:16)),),2)="15",OFFSET(TH!O$1,SMALL(Dong11,ROWS($1:16)),),OFFSET(TH!N$1,SMALL(Dong11,ROWS($1:16)),)))</f>
        <v/>
      </c>
      <c r="F29" s="698">
        <f ca="1">IF(ROWS($1:16)&gt;COUNT(Dong11),0,OFFSET(TH!J$1,SMALL(Dong11,ROWS($1:16)),))</f>
        <v>0</v>
      </c>
      <c r="G29" s="698">
        <f ca="1">IF(ROWS($1:16)&gt;COUNT(Dong11),0,IF(MID(OFFSET(TH!D$1,SMALL(Dong11,ROWS($1:16)),),4,1)="N",OFFSET(TH!I$1,SMALL(Dong11,ROWS($1:16)),),0))</f>
        <v>0</v>
      </c>
      <c r="H29" s="699">
        <f t="shared" ca="1" si="5"/>
        <v>0</v>
      </c>
      <c r="I29" s="698">
        <f ca="1">IF(ROWS($1:16)&gt;COUNT(Dong11),0,IF(MID(OFFSET(TH!D$1,SMALL(Dong11,ROWS($1:16)),),4,1)="X",OFFSET(TH!I$1,SMALL(Dong11,ROWS($1:16)),),0))</f>
        <v>0</v>
      </c>
      <c r="J29" s="699">
        <f t="shared" ca="1" si="6"/>
        <v>0</v>
      </c>
      <c r="K29" s="699">
        <f t="shared" ca="1" si="7"/>
        <v>0</v>
      </c>
      <c r="L29" s="699">
        <f t="shared" ca="1" si="8"/>
        <v>0</v>
      </c>
      <c r="M29" s="699"/>
      <c r="N29" s="689"/>
    </row>
    <row r="30" spans="1:16">
      <c r="A30" s="646" t="str">
        <f t="shared" ca="1" si="4"/>
        <v/>
      </c>
      <c r="B30" s="695" t="str">
        <f ca="1">IF(ROWS($1:17)&gt;COUNT(Dong11),"",OFFSET(TH!D$1,SMALL(Dong11,ROWS($1:17)),))</f>
        <v/>
      </c>
      <c r="C30" s="696" t="str">
        <f ca="1">IF(ROWS($1:17)&gt;COUNT(Dong11),"",OFFSET(TH!E$1,SMALL(Dong11,ROWS($1:17)),))</f>
        <v/>
      </c>
      <c r="D30" s="697" t="str">
        <f ca="1">IF(ROWS($1:17)&gt;COUNT(Dong11),"",OFFSET(TH!F$1,SMALL(Dong11,ROWS($1:17)),)&amp;" - "&amp;OFFSET(TH!H$1,SMALL(Dong11,ROWS($1:17)),))</f>
        <v/>
      </c>
      <c r="E30" s="695" t="str">
        <f ca="1">IF(ROWS($1:17)&gt;COUNT(Dong11),"",IF(LEFT(OFFSET(TH!N$1,SMALL(Dong11,ROWS($1:17)),),2)="15",OFFSET(TH!O$1,SMALL(Dong11,ROWS($1:17)),),OFFSET(TH!N$1,SMALL(Dong11,ROWS($1:17)),)))</f>
        <v/>
      </c>
      <c r="F30" s="698">
        <f ca="1">IF(ROWS($1:17)&gt;COUNT(Dong11),0,OFFSET(TH!J$1,SMALL(Dong11,ROWS($1:17)),))</f>
        <v>0</v>
      </c>
      <c r="G30" s="698">
        <f ca="1">IF(ROWS($1:17)&gt;COUNT(Dong11),0,IF(MID(OFFSET(TH!D$1,SMALL(Dong11,ROWS($1:17)),),4,1)="N",OFFSET(TH!I$1,SMALL(Dong11,ROWS($1:17)),),0))</f>
        <v>0</v>
      </c>
      <c r="H30" s="699">
        <f t="shared" ca="1" si="5"/>
        <v>0</v>
      </c>
      <c r="I30" s="698">
        <f ca="1">IF(ROWS($1:17)&gt;COUNT(Dong11),0,IF(MID(OFFSET(TH!D$1,SMALL(Dong11,ROWS($1:17)),),4,1)="X",OFFSET(TH!I$1,SMALL(Dong11,ROWS($1:17)),),0))</f>
        <v>0</v>
      </c>
      <c r="J30" s="699">
        <f t="shared" ca="1" si="6"/>
        <v>0</v>
      </c>
      <c r="K30" s="699">
        <f t="shared" ca="1" si="7"/>
        <v>0</v>
      </c>
      <c r="L30" s="699">
        <f t="shared" ca="1" si="8"/>
        <v>0</v>
      </c>
      <c r="M30" s="699"/>
      <c r="N30" s="689"/>
    </row>
    <row r="31" spans="1:16">
      <c r="A31" s="646" t="str">
        <f t="shared" si="4"/>
        <v/>
      </c>
      <c r="B31" s="702"/>
      <c r="C31" s="703"/>
      <c r="D31" s="704"/>
      <c r="E31" s="705"/>
      <c r="F31" s="706"/>
      <c r="G31" s="691"/>
      <c r="H31" s="691"/>
      <c r="I31" s="691"/>
      <c r="J31" s="691"/>
      <c r="K31" s="691"/>
      <c r="L31" s="691"/>
      <c r="M31" s="707"/>
      <c r="N31" s="689"/>
    </row>
    <row r="32" spans="1:16">
      <c r="A32" s="708"/>
      <c r="B32" s="708"/>
      <c r="C32" s="708"/>
      <c r="D32" s="708" t="s">
        <v>666</v>
      </c>
      <c r="E32" s="687" t="s">
        <v>26</v>
      </c>
      <c r="F32" s="687" t="s">
        <v>26</v>
      </c>
      <c r="G32" s="709">
        <f ca="1">SUM(G14:G31)</f>
        <v>500</v>
      </c>
      <c r="H32" s="709">
        <f ca="1">SUM(H14:H31)</f>
        <v>16500000</v>
      </c>
      <c r="I32" s="709">
        <f ca="1">SUM(I14:I31)</f>
        <v>0</v>
      </c>
      <c r="J32" s="709">
        <f ca="1">SUM(J14:J31)</f>
        <v>0</v>
      </c>
      <c r="K32" s="709">
        <f ca="1">K13+G32-I32</f>
        <v>500</v>
      </c>
      <c r="L32" s="709">
        <f ca="1">L13+H32-J32</f>
        <v>16500000</v>
      </c>
      <c r="M32" s="708"/>
      <c r="N32" s="689"/>
    </row>
    <row r="33" spans="2:14">
      <c r="B33" s="710" t="s">
        <v>667</v>
      </c>
      <c r="G33" s="701"/>
      <c r="N33" s="689"/>
    </row>
    <row r="34" spans="2:14">
      <c r="B34" s="711"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01"/>
      <c r="I34" s="701"/>
      <c r="N34" s="689"/>
    </row>
    <row r="35" spans="2:14">
      <c r="B35" s="676"/>
      <c r="C35" s="676"/>
      <c r="D35" s="676"/>
      <c r="F35" s="676"/>
      <c r="G35" s="712"/>
      <c r="H35" s="677"/>
      <c r="I35" s="713"/>
      <c r="J35" s="1216" t="s">
        <v>632</v>
      </c>
      <c r="K35" s="1216"/>
      <c r="L35" s="1216"/>
      <c r="M35" s="1216"/>
      <c r="N35" s="689"/>
    </row>
    <row r="36" spans="2:14">
      <c r="B36" s="1216" t="s">
        <v>14</v>
      </c>
      <c r="C36" s="1216"/>
      <c r="D36" s="1216"/>
      <c r="E36" s="1216" t="s">
        <v>15</v>
      </c>
      <c r="F36" s="1216"/>
      <c r="G36" s="1216"/>
      <c r="H36" s="1216"/>
      <c r="I36" s="1216"/>
      <c r="J36" s="1216" t="s">
        <v>206</v>
      </c>
      <c r="K36" s="1216"/>
      <c r="L36" s="1216"/>
      <c r="M36" s="1216"/>
      <c r="N36" s="689"/>
    </row>
    <row r="37" spans="2:14">
      <c r="B37" s="1216" t="s">
        <v>16</v>
      </c>
      <c r="C37" s="1216" t="s">
        <v>635</v>
      </c>
      <c r="D37" s="1216" t="s">
        <v>16</v>
      </c>
      <c r="E37" s="1216" t="s">
        <v>16</v>
      </c>
      <c r="F37" s="1216"/>
      <c r="G37" s="1216"/>
      <c r="H37" s="1216" t="s">
        <v>241</v>
      </c>
      <c r="I37" s="1216"/>
      <c r="J37" s="1216" t="s">
        <v>241</v>
      </c>
      <c r="K37" s="1216"/>
      <c r="L37" s="1216"/>
      <c r="M37" s="1216"/>
      <c r="N37" s="689"/>
    </row>
    <row r="38" spans="2:14">
      <c r="N38" s="714"/>
    </row>
    <row r="39" spans="2:14">
      <c r="E39" s="664"/>
    </row>
    <row r="41" spans="2:14" customFormat="1" ht="12.75">
      <c r="E41" s="715"/>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1" customWidth="1"/>
    <col min="2" max="2" width="9.140625" style="721"/>
    <col min="3" max="3" width="9.140625" style="785" customWidth="1"/>
    <col min="4" max="4" width="10.85546875" style="785" customWidth="1"/>
    <col min="5" max="5" width="39.42578125" style="786" customWidth="1"/>
    <col min="6" max="6" width="10.85546875" style="787" customWidth="1"/>
    <col min="7" max="7" width="9" style="788" customWidth="1"/>
    <col min="8" max="8" width="9.5703125" style="788" customWidth="1"/>
    <col min="9" max="9" width="10" style="788" customWidth="1"/>
    <col min="10" max="10" width="8" style="721" customWidth="1"/>
    <col min="11" max="11" width="2.42578125" style="721" customWidth="1"/>
    <col min="12" max="12" width="6.5703125" style="721" customWidth="1"/>
    <col min="13" max="16384" width="9.140625" style="721"/>
  </cols>
  <sheetData>
    <row r="1" spans="1:12" ht="15" customHeight="1">
      <c r="A1" s="716" t="s">
        <v>273</v>
      </c>
      <c r="B1" s="717"/>
      <c r="C1" s="717"/>
      <c r="D1" s="717"/>
      <c r="E1" s="718"/>
      <c r="F1" s="717"/>
      <c r="G1" s="719"/>
      <c r="H1" s="720" t="s">
        <v>668</v>
      </c>
      <c r="I1" s="721"/>
      <c r="J1" s="722"/>
      <c r="K1" s="722"/>
      <c r="L1" s="723"/>
    </row>
    <row r="2" spans="1:12" ht="15" customHeight="1">
      <c r="A2" s="724" t="s">
        <v>514</v>
      </c>
      <c r="B2" s="725"/>
      <c r="C2" s="725"/>
      <c r="D2" s="725"/>
      <c r="E2" s="726"/>
      <c r="F2" s="727"/>
      <c r="G2" s="728"/>
      <c r="H2" s="729" t="s">
        <v>515</v>
      </c>
      <c r="I2" s="721"/>
      <c r="J2" s="722"/>
      <c r="K2" s="722"/>
    </row>
    <row r="3" spans="1:12" ht="15">
      <c r="A3" s="725"/>
      <c r="B3" s="725"/>
      <c r="C3" s="725"/>
      <c r="D3" s="725"/>
      <c r="E3" s="726"/>
      <c r="F3" s="727"/>
      <c r="G3" s="728"/>
      <c r="H3" s="729" t="s">
        <v>345</v>
      </c>
      <c r="I3" s="721"/>
      <c r="J3" s="722"/>
      <c r="K3" s="722"/>
    </row>
    <row r="4" spans="1:12" ht="18.75" customHeight="1">
      <c r="A4" s="730"/>
      <c r="B4" s="730"/>
      <c r="C4" s="730"/>
      <c r="D4" s="730"/>
      <c r="E4" s="731" t="s">
        <v>669</v>
      </c>
      <c r="F4" s="730"/>
      <c r="G4" s="730"/>
      <c r="H4" s="730"/>
      <c r="I4" s="730"/>
      <c r="J4" s="722"/>
      <c r="K4" s="722"/>
    </row>
    <row r="5" spans="1:12" ht="15">
      <c r="A5" s="732"/>
      <c r="B5" s="732"/>
      <c r="C5" s="732"/>
      <c r="D5" s="732"/>
      <c r="E5" s="733" t="str">
        <f ca="1">IF(ISERROR("Ngày lập thẻ: ngày "&amp;DAY(B14)&amp;"/"&amp;MONTH(B14)&amp;"/"&amp;YEAR(B14)),"Ngày lập thẻ: ngày 01/ 01/2016 ","Ngày lập thẻ: ngày "&amp;DAY(B14)&amp;"/"&amp;MONTH(B14)&amp;"/"&amp;YEAR(B14))</f>
        <v>Ngày lập thẻ: ngày 12/3/2016</v>
      </c>
      <c r="F5" s="732"/>
      <c r="G5" s="732"/>
      <c r="H5" s="732"/>
      <c r="I5" s="732"/>
      <c r="J5" s="722"/>
      <c r="K5" s="722"/>
    </row>
    <row r="6" spans="1:12" ht="15">
      <c r="A6" s="732"/>
      <c r="B6" s="732"/>
      <c r="C6" s="732"/>
      <c r="D6" s="732"/>
      <c r="E6" s="733" t="s">
        <v>670</v>
      </c>
      <c r="F6" s="732"/>
      <c r="G6" s="732"/>
      <c r="H6" s="732"/>
      <c r="I6" s="732"/>
      <c r="J6" s="722"/>
      <c r="K6" s="722"/>
    </row>
    <row r="7" spans="1:12" ht="15">
      <c r="A7" s="711" t="s">
        <v>671</v>
      </c>
      <c r="B7" s="711"/>
      <c r="C7" s="734"/>
      <c r="D7" s="734"/>
      <c r="E7" s="735" t="s">
        <v>770</v>
      </c>
      <c r="F7" s="727"/>
      <c r="G7" s="736"/>
      <c r="H7" s="736"/>
      <c r="I7" s="736"/>
      <c r="J7" s="722"/>
      <c r="K7" s="722"/>
    </row>
    <row r="8" spans="1:12" ht="15">
      <c r="A8" s="711" t="s">
        <v>672</v>
      </c>
      <c r="B8" s="711"/>
      <c r="C8" s="722" t="str">
        <f>VLOOKUP($E$7,NXT!$C$12:$L$54,2,0)</f>
        <v>kg</v>
      </c>
      <c r="D8" s="711"/>
      <c r="E8" s="735"/>
      <c r="F8" s="727"/>
      <c r="G8" s="736"/>
      <c r="H8" s="736"/>
      <c r="I8" s="736"/>
      <c r="J8" s="722"/>
      <c r="K8" s="722"/>
    </row>
    <row r="9" spans="1:12" ht="15">
      <c r="A9" s="1219" t="s">
        <v>673</v>
      </c>
      <c r="B9" s="1220"/>
      <c r="C9" s="1220"/>
      <c r="D9" s="1220"/>
      <c r="E9" s="735"/>
      <c r="F9" s="727"/>
      <c r="G9" s="736"/>
      <c r="H9" s="736"/>
      <c r="I9" s="736"/>
      <c r="J9" s="737"/>
      <c r="K9" s="737"/>
    </row>
    <row r="10" spans="1:12" ht="19.5" customHeight="1">
      <c r="A10" s="1221" t="s">
        <v>674</v>
      </c>
      <c r="B10" s="1222" t="s">
        <v>675</v>
      </c>
      <c r="C10" s="1224" t="s">
        <v>20</v>
      </c>
      <c r="D10" s="1225"/>
      <c r="E10" s="1226" t="s">
        <v>0</v>
      </c>
      <c r="F10" s="1237" t="s">
        <v>676</v>
      </c>
      <c r="G10" s="1230" t="s">
        <v>643</v>
      </c>
      <c r="H10" s="1230"/>
      <c r="I10" s="1225"/>
      <c r="J10" s="1231" t="s">
        <v>677</v>
      </c>
      <c r="K10" s="738"/>
      <c r="L10" s="739" t="s">
        <v>662</v>
      </c>
    </row>
    <row r="11" spans="1:12" ht="19.5" customHeight="1">
      <c r="A11" s="1221"/>
      <c r="B11" s="1223"/>
      <c r="C11" s="740" t="s">
        <v>659</v>
      </c>
      <c r="D11" s="740" t="s">
        <v>660</v>
      </c>
      <c r="E11" s="1227"/>
      <c r="F11" s="1238"/>
      <c r="G11" s="741" t="s">
        <v>659</v>
      </c>
      <c r="H11" s="741" t="s">
        <v>660</v>
      </c>
      <c r="I11" s="741" t="s">
        <v>661</v>
      </c>
      <c r="J11" s="1232"/>
      <c r="K11" s="738"/>
    </row>
    <row r="12" spans="1:12" ht="15">
      <c r="A12" s="742" t="s">
        <v>2</v>
      </c>
      <c r="B12" s="743" t="s">
        <v>3</v>
      </c>
      <c r="C12" s="744" t="s">
        <v>4</v>
      </c>
      <c r="D12" s="744" t="s">
        <v>5</v>
      </c>
      <c r="E12" s="745" t="s">
        <v>6</v>
      </c>
      <c r="F12" s="743" t="s">
        <v>235</v>
      </c>
      <c r="G12" s="746">
        <v>1</v>
      </c>
      <c r="H12" s="746">
        <v>2</v>
      </c>
      <c r="I12" s="746">
        <v>3</v>
      </c>
      <c r="J12" s="744" t="s">
        <v>236</v>
      </c>
      <c r="K12" s="747"/>
    </row>
    <row r="13" spans="1:12" ht="16.5" customHeight="1">
      <c r="A13" s="748"/>
      <c r="B13" s="749"/>
      <c r="C13" s="750"/>
      <c r="D13" s="750"/>
      <c r="E13" s="751" t="s">
        <v>529</v>
      </c>
      <c r="F13" s="749"/>
      <c r="G13" s="752"/>
      <c r="H13" s="752"/>
      <c r="I13" s="753">
        <f>VLOOKUP($E$7,NXT!$C$12:$L$54,3,0)</f>
        <v>0</v>
      </c>
      <c r="J13" s="748"/>
      <c r="K13" s="754"/>
    </row>
    <row r="14" spans="1:12" ht="16.5" customHeight="1">
      <c r="A14" s="755">
        <f ca="1">IF(B14&lt;&gt;"",ROW()-(ROW()-1),"")</f>
        <v>1</v>
      </c>
      <c r="B14" s="756">
        <f ca="1">IF(ROWS($1:1)&gt;COUNT(Dong12),"",OFFSET(TH!E$1,SMALL(Dong12,ROWS($1:1)),))</f>
        <v>42441</v>
      </c>
      <c r="C14" s="970" t="str">
        <f ca="1">IF(ROWS($1:1)&gt;COUNT(Dong12),"",IF(MID(OFFSET(TH!D$1,SMALL(Dong12,ROWS($1:1)),),4,1)="N",OFFSET(TH!D$1,SMALL(Dong12,ROWS($1:1)),),""))</f>
        <v>VL/N01</v>
      </c>
      <c r="D14" s="756" t="str">
        <f ca="1">IF(ROWS($1:1)&gt;COUNT(Dong12),"",IF(MID(OFFSET(TH!D$1,SMALL(Dong12,ROWS($1:1)),),4,1)="X",OFFSET(TH!D$1,SMALL(Dong12,ROWS($1:1)),),""))</f>
        <v/>
      </c>
      <c r="E14" s="757" t="str">
        <f ca="1">IF(ROWS($1:1)&gt;COUNT(Dong12),"",OFFSET(TH!F$1,SMALL(Dong12,ROWS($1:1)),)&amp;" - "&amp;OFFSET(TH!H$1,SMALL(Dong12,ROWS($1:1)),))</f>
        <v>Túi PE 86*75 - CN Công Ty TNHH Tân Hy Xí Nghiệp In &amp; Bao Bì Duy Nhật</v>
      </c>
      <c r="F14" s="756">
        <f ca="1">B14</f>
        <v>42441</v>
      </c>
      <c r="G14" s="758">
        <f ca="1">IF(ROWS($1:1)&gt;COUNT(Dong12),0,IF(MID(OFFSET(TH!D$1,SMALL(Dong12,ROWS($1:1)),),4,1)="N",OFFSET(TH!I$1,SMALL(Dong12,ROWS($1:1)),),0))</f>
        <v>500</v>
      </c>
      <c r="H14" s="758">
        <f ca="1">IF(ROWS($1:1)&gt;COUNT(Dong12),0,IF(MID(OFFSET(TH!D$1,SMALL(Dong12,ROWS($1:1)),),4,1)="X",OFFSET(TH!I$1,SMALL(Dong12,ROWS($1:1)),),0))</f>
        <v>0</v>
      </c>
      <c r="I14" s="759">
        <f ca="1">IF(E14&lt;&gt;"",I13+G14-H14,0)</f>
        <v>500</v>
      </c>
      <c r="J14" s="760"/>
      <c r="K14" s="761"/>
    </row>
    <row r="15" spans="1:12" ht="16.5" customHeight="1">
      <c r="A15" s="762" t="str">
        <f ca="1">IF(B15&lt;&gt;"",A14+1,"")</f>
        <v/>
      </c>
      <c r="B15" s="756" t="str">
        <f ca="1">IF(ROWS($1:2)&gt;COUNT(Dong12),"",OFFSET(TH!E$1,SMALL(Dong12,ROWS($1:2)),))</f>
        <v/>
      </c>
      <c r="C15" s="970" t="str">
        <f ca="1">IF(ROWS($1:2)&gt;COUNT(Dong12),"",IF(MID(OFFSET(TH!D$1,SMALL(Dong12,ROWS($1:2)),),4,1)="N",OFFSET(TH!D$1,SMALL(Dong12,ROWS($1:2)),),""))</f>
        <v/>
      </c>
      <c r="D15" s="756" t="str">
        <f ca="1">IF(ROWS($1:2)&gt;COUNT(Dong12),"",IF(MID(OFFSET(TH!D$1,SMALL(Dong12,ROWS($1:2)),),4,1)="X",OFFSET(TH!D$1,SMALL(Dong12,ROWS($1:2)),),""))</f>
        <v/>
      </c>
      <c r="E15" s="757" t="str">
        <f ca="1">IF(ROWS($1:2)&gt;COUNT(Dong12),"",OFFSET(TH!F$1,SMALL(Dong12,ROWS($1:2)),)&amp;" - "&amp;OFFSET(TH!H$1,SMALL(Dong12,ROWS($1:2)),))</f>
        <v/>
      </c>
      <c r="F15" s="756" t="str">
        <f t="shared" ref="F15:F30" ca="1" si="0">B15</f>
        <v/>
      </c>
      <c r="G15" s="758">
        <f ca="1">IF(ROWS($1:2)&gt;COUNT(Dong12),0,IF(MID(OFFSET(TH!D$1,SMALL(Dong12,ROWS($1:2)),),4,1)="N",OFFSET(TH!I$1,SMALL(Dong12,ROWS($1:2)),),0))</f>
        <v>0</v>
      </c>
      <c r="H15" s="758">
        <f ca="1">IF(ROWS($1:2)&gt;COUNT(Dong12),0,IF(MID(OFFSET(TH!D$1,SMALL(Dong12,ROWS($1:2)),),4,1)="X",OFFSET(TH!I$1,SMALL(Dong12,ROWS($1:2)),),0))</f>
        <v>0</v>
      </c>
      <c r="I15" s="759">
        <f t="shared" ref="I15:I30" ca="1" si="1">IF(E15&lt;&gt;"",I14+G15-H15,0)</f>
        <v>0</v>
      </c>
      <c r="J15" s="760"/>
      <c r="K15" s="761"/>
    </row>
    <row r="16" spans="1:12" ht="16.5" customHeight="1">
      <c r="A16" s="762" t="str">
        <f t="shared" ref="A16:A30" ca="1" si="2">IF(B16&lt;&gt;"",A15+1,"")</f>
        <v/>
      </c>
      <c r="B16" s="756" t="str">
        <f ca="1">IF(ROWS($1:3)&gt;COUNT(Dong12),"",OFFSET(TH!E$1,SMALL(Dong12,ROWS($1:3)),))</f>
        <v/>
      </c>
      <c r="C16" s="970" t="str">
        <f ca="1">IF(ROWS($1:3)&gt;COUNT(Dong12),"",IF(MID(OFFSET(TH!D$1,SMALL(Dong12,ROWS($1:3)),),4,1)="N",OFFSET(TH!D$1,SMALL(Dong12,ROWS($1:3)),),""))</f>
        <v/>
      </c>
      <c r="D16" s="756" t="str">
        <f ca="1">IF(ROWS($1:3)&gt;COUNT(Dong12),"",IF(MID(OFFSET(TH!D$1,SMALL(Dong12,ROWS($1:3)),),4,1)="X",OFFSET(TH!D$1,SMALL(Dong12,ROWS($1:3)),),""))</f>
        <v/>
      </c>
      <c r="E16" s="757" t="str">
        <f ca="1">IF(ROWS($1:3)&gt;COUNT(Dong12),"",OFFSET(TH!F$1,SMALL(Dong12,ROWS($1:3)),)&amp;" - "&amp;OFFSET(TH!H$1,SMALL(Dong12,ROWS($1:3)),))</f>
        <v/>
      </c>
      <c r="F16" s="756" t="str">
        <f t="shared" ca="1" si="0"/>
        <v/>
      </c>
      <c r="G16" s="758">
        <f ca="1">IF(ROWS($1:3)&gt;COUNT(Dong12),0,IF(MID(OFFSET(TH!D$1,SMALL(Dong12,ROWS($1:3)),),4,1)="N",OFFSET(TH!I$1,SMALL(Dong12,ROWS($1:3)),),0))</f>
        <v>0</v>
      </c>
      <c r="H16" s="758">
        <f ca="1">IF(ROWS($1:3)&gt;COUNT(Dong12),0,IF(MID(OFFSET(TH!D$1,SMALL(Dong12,ROWS($1:3)),),4,1)="X",OFFSET(TH!I$1,SMALL(Dong12,ROWS($1:3)),),0))</f>
        <v>0</v>
      </c>
      <c r="I16" s="759">
        <f t="shared" ca="1" si="1"/>
        <v>0</v>
      </c>
      <c r="J16" s="760"/>
      <c r="K16" s="761"/>
    </row>
    <row r="17" spans="1:11" ht="16.5" customHeight="1">
      <c r="A17" s="762" t="str">
        <f t="shared" ca="1" si="2"/>
        <v/>
      </c>
      <c r="B17" s="756" t="str">
        <f ca="1">IF(ROWS($1:4)&gt;COUNT(Dong12),"",OFFSET(TH!E$1,SMALL(Dong12,ROWS($1:4)),))</f>
        <v/>
      </c>
      <c r="C17" s="970" t="str">
        <f ca="1">IF(ROWS($1:4)&gt;COUNT(Dong12),"",IF(MID(OFFSET(TH!D$1,SMALL(Dong12,ROWS($1:4)),),4,1)="N",OFFSET(TH!D$1,SMALL(Dong12,ROWS($1:4)),),""))</f>
        <v/>
      </c>
      <c r="D17" s="756" t="str">
        <f ca="1">IF(ROWS($1:4)&gt;COUNT(Dong12),"",IF(MID(OFFSET(TH!D$1,SMALL(Dong12,ROWS($1:4)),),4,1)="X",OFFSET(TH!D$1,SMALL(Dong12,ROWS($1:4)),),""))</f>
        <v/>
      </c>
      <c r="E17" s="757" t="str">
        <f ca="1">IF(ROWS($1:4)&gt;COUNT(Dong12),"",OFFSET(TH!F$1,SMALL(Dong12,ROWS($1:4)),)&amp;" - "&amp;OFFSET(TH!H$1,SMALL(Dong12,ROWS($1:4)),))</f>
        <v/>
      </c>
      <c r="F17" s="756" t="str">
        <f t="shared" ca="1" si="0"/>
        <v/>
      </c>
      <c r="G17" s="758">
        <f ca="1">IF(ROWS($1:4)&gt;COUNT(Dong12),0,IF(MID(OFFSET(TH!D$1,SMALL(Dong12,ROWS($1:4)),),4,1)="N",OFFSET(TH!I$1,SMALL(Dong12,ROWS($1:4)),),0))</f>
        <v>0</v>
      </c>
      <c r="H17" s="758">
        <f ca="1">IF(ROWS($1:4)&gt;COUNT(Dong12),0,IF(MID(OFFSET(TH!D$1,SMALL(Dong12,ROWS($1:4)),),4,1)="X",OFFSET(TH!I$1,SMALL(Dong12,ROWS($1:4)),),0))</f>
        <v>0</v>
      </c>
      <c r="I17" s="759">
        <f t="shared" ca="1" si="1"/>
        <v>0</v>
      </c>
      <c r="J17" s="760"/>
      <c r="K17" s="761"/>
    </row>
    <row r="18" spans="1:11" ht="16.5" customHeight="1">
      <c r="A18" s="762" t="str">
        <f t="shared" ca="1" si="2"/>
        <v/>
      </c>
      <c r="B18" s="756" t="str">
        <f ca="1">IF(ROWS($1:5)&gt;COUNT(Dong12),"",OFFSET(TH!E$1,SMALL(Dong12,ROWS($1:5)),))</f>
        <v/>
      </c>
      <c r="C18" s="970" t="str">
        <f ca="1">IF(ROWS($1:5)&gt;COUNT(Dong12),"",IF(MID(OFFSET(TH!D$1,SMALL(Dong12,ROWS($1:5)),),4,1)="N",OFFSET(TH!D$1,SMALL(Dong12,ROWS($1:5)),),""))</f>
        <v/>
      </c>
      <c r="D18" s="756" t="str">
        <f ca="1">IF(ROWS($1:5)&gt;COUNT(Dong12),"",IF(MID(OFFSET(TH!D$1,SMALL(Dong12,ROWS($1:5)),),4,1)="X",OFFSET(TH!D$1,SMALL(Dong12,ROWS($1:5)),),""))</f>
        <v/>
      </c>
      <c r="E18" s="757" t="str">
        <f ca="1">IF(ROWS($1:5)&gt;COUNT(Dong12),"",OFFSET(TH!F$1,SMALL(Dong12,ROWS($1:5)),)&amp;" - "&amp;OFFSET(TH!H$1,SMALL(Dong12,ROWS($1:5)),))</f>
        <v/>
      </c>
      <c r="F18" s="756" t="str">
        <f t="shared" ca="1" si="0"/>
        <v/>
      </c>
      <c r="G18" s="758">
        <f ca="1">IF(ROWS($1:5)&gt;COUNT(Dong12),0,IF(MID(OFFSET(TH!D$1,SMALL(Dong12,ROWS($1:5)),),4,1)="N",OFFSET(TH!I$1,SMALL(Dong12,ROWS($1:5)),),0))</f>
        <v>0</v>
      </c>
      <c r="H18" s="758">
        <f ca="1">IF(ROWS($1:5)&gt;COUNT(Dong12),0,IF(MID(OFFSET(TH!D$1,SMALL(Dong12,ROWS($1:5)),),4,1)="X",OFFSET(TH!I$1,SMALL(Dong12,ROWS($1:5)),),0))</f>
        <v>0</v>
      </c>
      <c r="I18" s="759">
        <f t="shared" ca="1" si="1"/>
        <v>0</v>
      </c>
      <c r="J18" s="760"/>
      <c r="K18" s="761"/>
    </row>
    <row r="19" spans="1:11" ht="16.5" customHeight="1">
      <c r="A19" s="762" t="str">
        <f t="shared" ca="1" si="2"/>
        <v/>
      </c>
      <c r="B19" s="756" t="str">
        <f ca="1">IF(ROWS($1:6)&gt;COUNT(Dong12),"",OFFSET(TH!E$1,SMALL(Dong12,ROWS($1:6)),))</f>
        <v/>
      </c>
      <c r="C19" s="970" t="str">
        <f ca="1">IF(ROWS($1:6)&gt;COUNT(Dong12),"",IF(MID(OFFSET(TH!D$1,SMALL(Dong12,ROWS($1:6)),),4,1)="N",OFFSET(TH!D$1,SMALL(Dong12,ROWS($1:6)),),""))</f>
        <v/>
      </c>
      <c r="D19" s="756" t="str">
        <f ca="1">IF(ROWS($1:6)&gt;COUNT(Dong12),"",IF(MID(OFFSET(TH!D$1,SMALL(Dong12,ROWS($1:6)),),4,1)="X",OFFSET(TH!D$1,SMALL(Dong12,ROWS($1:6)),),""))</f>
        <v/>
      </c>
      <c r="E19" s="757" t="str">
        <f ca="1">IF(ROWS($1:6)&gt;COUNT(Dong12),"",OFFSET(TH!F$1,SMALL(Dong12,ROWS($1:6)),)&amp;" - "&amp;OFFSET(TH!H$1,SMALL(Dong12,ROWS($1:6)),))</f>
        <v/>
      </c>
      <c r="F19" s="756" t="str">
        <f t="shared" ca="1" si="0"/>
        <v/>
      </c>
      <c r="G19" s="758">
        <f ca="1">IF(ROWS($1:6)&gt;COUNT(Dong12),0,IF(MID(OFFSET(TH!D$1,SMALL(Dong12,ROWS($1:6)),),4,1)="N",OFFSET(TH!I$1,SMALL(Dong12,ROWS($1:6)),),0))</f>
        <v>0</v>
      </c>
      <c r="H19" s="758">
        <f ca="1">IF(ROWS($1:6)&gt;COUNT(Dong12),0,IF(MID(OFFSET(TH!D$1,SMALL(Dong12,ROWS($1:6)),),4,1)="X",OFFSET(TH!I$1,SMALL(Dong12,ROWS($1:6)),),0))</f>
        <v>0</v>
      </c>
      <c r="I19" s="759">
        <f t="shared" ca="1" si="1"/>
        <v>0</v>
      </c>
      <c r="J19" s="760"/>
      <c r="K19" s="761"/>
    </row>
    <row r="20" spans="1:11" ht="16.5" customHeight="1">
      <c r="A20" s="762" t="str">
        <f t="shared" ca="1" si="2"/>
        <v/>
      </c>
      <c r="B20" s="756" t="str">
        <f ca="1">IF(ROWS($1:7)&gt;COUNT(Dong12),"",OFFSET(TH!E$1,SMALL(Dong12,ROWS($1:7)),))</f>
        <v/>
      </c>
      <c r="C20" s="970" t="str">
        <f ca="1">IF(ROWS($1:7)&gt;COUNT(Dong12),"",IF(MID(OFFSET(TH!D$1,SMALL(Dong12,ROWS($1:7)),),4,1)="N",OFFSET(TH!D$1,SMALL(Dong12,ROWS($1:7)),),""))</f>
        <v/>
      </c>
      <c r="D20" s="756" t="str">
        <f ca="1">IF(ROWS($1:7)&gt;COUNT(Dong12),"",IF(MID(OFFSET(TH!D$1,SMALL(Dong12,ROWS($1:7)),),4,1)="X",OFFSET(TH!D$1,SMALL(Dong12,ROWS($1:7)),),""))</f>
        <v/>
      </c>
      <c r="E20" s="757" t="str">
        <f ca="1">IF(ROWS($1:7)&gt;COUNT(Dong12),"",OFFSET(TH!F$1,SMALL(Dong12,ROWS($1:7)),)&amp;" - "&amp;OFFSET(TH!H$1,SMALL(Dong12,ROWS($1:7)),))</f>
        <v/>
      </c>
      <c r="F20" s="756" t="str">
        <f t="shared" ca="1" si="0"/>
        <v/>
      </c>
      <c r="G20" s="758">
        <f ca="1">IF(ROWS($1:7)&gt;COUNT(Dong12),0,IF(MID(OFFSET(TH!D$1,SMALL(Dong12,ROWS($1:7)),),4,1)="N",OFFSET(TH!I$1,SMALL(Dong12,ROWS($1:7)),),0))</f>
        <v>0</v>
      </c>
      <c r="H20" s="758">
        <f ca="1">IF(ROWS($1:7)&gt;COUNT(Dong12),0,IF(MID(OFFSET(TH!D$1,SMALL(Dong12,ROWS($1:7)),),4,1)="X",OFFSET(TH!I$1,SMALL(Dong12,ROWS($1:7)),),0))</f>
        <v>0</v>
      </c>
      <c r="I20" s="759">
        <f t="shared" ca="1" si="1"/>
        <v>0</v>
      </c>
      <c r="J20" s="760"/>
      <c r="K20" s="761"/>
    </row>
    <row r="21" spans="1:11" ht="16.5" customHeight="1">
      <c r="A21" s="762" t="str">
        <f t="shared" ca="1" si="2"/>
        <v/>
      </c>
      <c r="B21" s="756" t="str">
        <f ca="1">IF(ROWS($1:8)&gt;COUNT(Dong12),"",OFFSET(TH!E$1,SMALL(Dong12,ROWS($1:8)),))</f>
        <v/>
      </c>
      <c r="C21" s="970" t="str">
        <f ca="1">IF(ROWS($1:8)&gt;COUNT(Dong12),"",IF(MID(OFFSET(TH!D$1,SMALL(Dong12,ROWS($1:8)),),4,1)="N",OFFSET(TH!D$1,SMALL(Dong12,ROWS($1:8)),),""))</f>
        <v/>
      </c>
      <c r="D21" s="756" t="str">
        <f ca="1">IF(ROWS($1:8)&gt;COUNT(Dong12),"",IF(MID(OFFSET(TH!D$1,SMALL(Dong12,ROWS($1:8)),),4,1)="X",OFFSET(TH!D$1,SMALL(Dong12,ROWS($1:8)),),""))</f>
        <v/>
      </c>
      <c r="E21" s="757" t="str">
        <f ca="1">IF(ROWS($1:8)&gt;COUNT(Dong12),"",OFFSET(TH!F$1,SMALL(Dong12,ROWS($1:8)),)&amp;" - "&amp;OFFSET(TH!H$1,SMALL(Dong12,ROWS($1:8)),))</f>
        <v/>
      </c>
      <c r="F21" s="756" t="str">
        <f t="shared" ca="1" si="0"/>
        <v/>
      </c>
      <c r="G21" s="758">
        <f ca="1">IF(ROWS($1:8)&gt;COUNT(Dong12),0,IF(MID(OFFSET(TH!D$1,SMALL(Dong12,ROWS($1:8)),),4,1)="N",OFFSET(TH!I$1,SMALL(Dong12,ROWS($1:8)),),0))</f>
        <v>0</v>
      </c>
      <c r="H21" s="758">
        <f ca="1">IF(ROWS($1:8)&gt;COUNT(Dong12),0,IF(MID(OFFSET(TH!D$1,SMALL(Dong12,ROWS($1:8)),),4,1)="X",OFFSET(TH!I$1,SMALL(Dong12,ROWS($1:8)),),0))</f>
        <v>0</v>
      </c>
      <c r="I21" s="759">
        <f t="shared" ca="1" si="1"/>
        <v>0</v>
      </c>
      <c r="J21" s="760"/>
      <c r="K21" s="761"/>
    </row>
    <row r="22" spans="1:11" ht="16.5" customHeight="1">
      <c r="A22" s="762" t="str">
        <f t="shared" ca="1" si="2"/>
        <v/>
      </c>
      <c r="B22" s="756" t="str">
        <f ca="1">IF(ROWS($1:9)&gt;COUNT(Dong12),"",OFFSET(TH!E$1,SMALL(Dong12,ROWS($1:9)),))</f>
        <v/>
      </c>
      <c r="C22" s="970" t="str">
        <f ca="1">IF(ROWS($1:9)&gt;COUNT(Dong12),"",IF(MID(OFFSET(TH!D$1,SMALL(Dong12,ROWS($1:9)),),4,1)="N",OFFSET(TH!D$1,SMALL(Dong12,ROWS($1:9)),),""))</f>
        <v/>
      </c>
      <c r="D22" s="756" t="str">
        <f ca="1">IF(ROWS($1:9)&gt;COUNT(Dong12),"",IF(MID(OFFSET(TH!D$1,SMALL(Dong12,ROWS($1:9)),),4,1)="X",OFFSET(TH!D$1,SMALL(Dong12,ROWS($1:9)),),""))</f>
        <v/>
      </c>
      <c r="E22" s="757" t="str">
        <f ca="1">IF(ROWS($1:9)&gt;COUNT(Dong12),"",OFFSET(TH!F$1,SMALL(Dong12,ROWS($1:9)),)&amp;" - "&amp;OFFSET(TH!H$1,SMALL(Dong12,ROWS($1:9)),))</f>
        <v/>
      </c>
      <c r="F22" s="756" t="str">
        <f t="shared" ca="1" si="0"/>
        <v/>
      </c>
      <c r="G22" s="758">
        <f ca="1">IF(ROWS($1:9)&gt;COUNT(Dong12),0,IF(MID(OFFSET(TH!D$1,SMALL(Dong12,ROWS($1:9)),),4,1)="N",OFFSET(TH!I$1,SMALL(Dong12,ROWS($1:9)),),0))</f>
        <v>0</v>
      </c>
      <c r="H22" s="758">
        <f ca="1">IF(ROWS($1:9)&gt;COUNT(Dong12),0,IF(MID(OFFSET(TH!D$1,SMALL(Dong12,ROWS($1:9)),),4,1)="X",OFFSET(TH!I$1,SMALL(Dong12,ROWS($1:9)),),0))</f>
        <v>0</v>
      </c>
      <c r="I22" s="759">
        <f t="shared" ca="1" si="1"/>
        <v>0</v>
      </c>
      <c r="J22" s="760"/>
      <c r="K22" s="761"/>
    </row>
    <row r="23" spans="1:11" ht="16.5" customHeight="1">
      <c r="A23" s="762" t="str">
        <f t="shared" ca="1" si="2"/>
        <v/>
      </c>
      <c r="B23" s="756" t="str">
        <f ca="1">IF(ROWS($1:10)&gt;COUNT(Dong12),"",OFFSET(TH!E$1,SMALL(Dong12,ROWS($1:10)),))</f>
        <v/>
      </c>
      <c r="C23" s="970" t="str">
        <f ca="1">IF(ROWS($1:10)&gt;COUNT(Dong12),"",IF(MID(OFFSET(TH!D$1,SMALL(Dong12,ROWS($1:10)),),4,1)="N",OFFSET(TH!D$1,SMALL(Dong12,ROWS($1:10)),),""))</f>
        <v/>
      </c>
      <c r="D23" s="756" t="str">
        <f ca="1">IF(ROWS($1:10)&gt;COUNT(Dong12),"",IF(MID(OFFSET(TH!D$1,SMALL(Dong12,ROWS($1:10)),),4,1)="X",OFFSET(TH!D$1,SMALL(Dong12,ROWS($1:10)),),""))</f>
        <v/>
      </c>
      <c r="E23" s="757" t="str">
        <f ca="1">IF(ROWS($1:10)&gt;COUNT(Dong12),"",OFFSET(TH!F$1,SMALL(Dong12,ROWS($1:10)),)&amp;" - "&amp;OFFSET(TH!H$1,SMALL(Dong12,ROWS($1:10)),))</f>
        <v/>
      </c>
      <c r="F23" s="756" t="str">
        <f t="shared" ca="1" si="0"/>
        <v/>
      </c>
      <c r="G23" s="758">
        <f ca="1">IF(ROWS($1:10)&gt;COUNT(Dong12),0,IF(MID(OFFSET(TH!D$1,SMALL(Dong12,ROWS($1:10)),),4,1)="N",OFFSET(TH!I$1,SMALL(Dong12,ROWS($1:10)),),0))</f>
        <v>0</v>
      </c>
      <c r="H23" s="758">
        <f ca="1">IF(ROWS($1:10)&gt;COUNT(Dong12),0,IF(MID(OFFSET(TH!D$1,SMALL(Dong12,ROWS($1:10)),),4,1)="X",OFFSET(TH!I$1,SMALL(Dong12,ROWS($1:10)),),0))</f>
        <v>0</v>
      </c>
      <c r="I23" s="759">
        <f t="shared" ca="1" si="1"/>
        <v>0</v>
      </c>
      <c r="J23" s="760"/>
      <c r="K23" s="761"/>
    </row>
    <row r="24" spans="1:11" ht="16.5" customHeight="1">
      <c r="A24" s="762" t="str">
        <f t="shared" ca="1" si="2"/>
        <v/>
      </c>
      <c r="B24" s="756" t="str">
        <f ca="1">IF(ROWS($1:11)&gt;COUNT(Dong12),"",OFFSET(TH!E$1,SMALL(Dong12,ROWS($1:11)),))</f>
        <v/>
      </c>
      <c r="C24" s="970" t="str">
        <f ca="1">IF(ROWS($1:11)&gt;COUNT(Dong12),"",IF(MID(OFFSET(TH!D$1,SMALL(Dong12,ROWS($1:11)),),4,1)="N",OFFSET(TH!D$1,SMALL(Dong12,ROWS($1:11)),),""))</f>
        <v/>
      </c>
      <c r="D24" s="756" t="str">
        <f ca="1">IF(ROWS($1:11)&gt;COUNT(Dong12),"",IF(MID(OFFSET(TH!D$1,SMALL(Dong12,ROWS($1:11)),),4,1)="X",OFFSET(TH!D$1,SMALL(Dong12,ROWS($1:11)),),""))</f>
        <v/>
      </c>
      <c r="E24" s="757" t="str">
        <f ca="1">IF(ROWS($1:11)&gt;COUNT(Dong12),"",OFFSET(TH!F$1,SMALL(Dong12,ROWS($1:11)),)&amp;" - "&amp;OFFSET(TH!H$1,SMALL(Dong12,ROWS($1:11)),))</f>
        <v/>
      </c>
      <c r="F24" s="756" t="str">
        <f t="shared" ca="1" si="0"/>
        <v/>
      </c>
      <c r="G24" s="758">
        <f ca="1">IF(ROWS($1:11)&gt;COUNT(Dong12),0,IF(MID(OFFSET(TH!D$1,SMALL(Dong12,ROWS($1:11)),),4,1)="N",OFFSET(TH!I$1,SMALL(Dong12,ROWS($1:11)),),0))</f>
        <v>0</v>
      </c>
      <c r="H24" s="758">
        <f ca="1">IF(ROWS($1:11)&gt;COUNT(Dong12),0,IF(MID(OFFSET(TH!D$1,SMALL(Dong12,ROWS($1:11)),),4,1)="X",OFFSET(TH!I$1,SMALL(Dong12,ROWS($1:11)),),0))</f>
        <v>0</v>
      </c>
      <c r="I24" s="759">
        <f t="shared" ca="1" si="1"/>
        <v>0</v>
      </c>
      <c r="J24" s="760"/>
      <c r="K24" s="761"/>
    </row>
    <row r="25" spans="1:11" ht="16.5" customHeight="1">
      <c r="A25" s="762" t="str">
        <f t="shared" ca="1" si="2"/>
        <v/>
      </c>
      <c r="B25" s="756" t="str">
        <f ca="1">IF(ROWS($1:12)&gt;COUNT(Dong12),"",OFFSET(TH!E$1,SMALL(Dong12,ROWS($1:12)),))</f>
        <v/>
      </c>
      <c r="C25" s="970" t="str">
        <f ca="1">IF(ROWS($1:12)&gt;COUNT(Dong12),"",IF(MID(OFFSET(TH!D$1,SMALL(Dong12,ROWS($1:12)),),4,1)="N",OFFSET(TH!D$1,SMALL(Dong12,ROWS($1:12)),),""))</f>
        <v/>
      </c>
      <c r="D25" s="756" t="str">
        <f ca="1">IF(ROWS($1:12)&gt;COUNT(Dong12),"",IF(MID(OFFSET(TH!D$1,SMALL(Dong12,ROWS($1:12)),),4,1)="X",OFFSET(TH!D$1,SMALL(Dong12,ROWS($1:12)),),""))</f>
        <v/>
      </c>
      <c r="E25" s="757" t="str">
        <f ca="1">IF(ROWS($1:12)&gt;COUNT(Dong12),"",OFFSET(TH!F$1,SMALL(Dong12,ROWS($1:12)),)&amp;" - "&amp;OFFSET(TH!H$1,SMALL(Dong12,ROWS($1:12)),))</f>
        <v/>
      </c>
      <c r="F25" s="756" t="str">
        <f t="shared" ca="1" si="0"/>
        <v/>
      </c>
      <c r="G25" s="758">
        <f ca="1">IF(ROWS($1:12)&gt;COUNT(Dong12),0,IF(MID(OFFSET(TH!D$1,SMALL(Dong12,ROWS($1:12)),),4,1)="N",OFFSET(TH!I$1,SMALL(Dong12,ROWS($1:12)),),0))</f>
        <v>0</v>
      </c>
      <c r="H25" s="758">
        <f ca="1">IF(ROWS($1:12)&gt;COUNT(Dong12),0,IF(MID(OFFSET(TH!D$1,SMALL(Dong12,ROWS($1:12)),),4,1)="X",OFFSET(TH!I$1,SMALL(Dong12,ROWS($1:12)),),0))</f>
        <v>0</v>
      </c>
      <c r="I25" s="759">
        <f t="shared" ca="1" si="1"/>
        <v>0</v>
      </c>
      <c r="J25" s="760"/>
      <c r="K25" s="761"/>
    </row>
    <row r="26" spans="1:11" ht="16.5" customHeight="1">
      <c r="A26" s="762" t="str">
        <f t="shared" ca="1" si="2"/>
        <v/>
      </c>
      <c r="B26" s="756" t="str">
        <f ca="1">IF(ROWS($1:13)&gt;COUNT(Dong12),"",OFFSET(TH!E$1,SMALL(Dong12,ROWS($1:13)),))</f>
        <v/>
      </c>
      <c r="C26" s="970" t="str">
        <f ca="1">IF(ROWS($1:13)&gt;COUNT(Dong12),"",IF(MID(OFFSET(TH!D$1,SMALL(Dong12,ROWS($1:13)),),4,1)="N",OFFSET(TH!D$1,SMALL(Dong12,ROWS($1:13)),),""))</f>
        <v/>
      </c>
      <c r="D26" s="756" t="str">
        <f ca="1">IF(ROWS($1:13)&gt;COUNT(Dong12),"",IF(MID(OFFSET(TH!D$1,SMALL(Dong12,ROWS($1:13)),),4,1)="X",OFFSET(TH!D$1,SMALL(Dong12,ROWS($1:13)),),""))</f>
        <v/>
      </c>
      <c r="E26" s="757" t="str">
        <f ca="1">IF(ROWS($1:13)&gt;COUNT(Dong12),"",OFFSET(TH!F$1,SMALL(Dong12,ROWS($1:13)),)&amp;" - "&amp;OFFSET(TH!H$1,SMALL(Dong12,ROWS($1:13)),))</f>
        <v/>
      </c>
      <c r="F26" s="756" t="str">
        <f t="shared" ca="1" si="0"/>
        <v/>
      </c>
      <c r="G26" s="758">
        <f ca="1">IF(ROWS($1:13)&gt;COUNT(Dong12),0,IF(MID(OFFSET(TH!D$1,SMALL(Dong12,ROWS($1:13)),),4,1)="N",OFFSET(TH!I$1,SMALL(Dong12,ROWS($1:13)),),0))</f>
        <v>0</v>
      </c>
      <c r="H26" s="758">
        <f ca="1">IF(ROWS($1:13)&gt;COUNT(Dong12),0,IF(MID(OFFSET(TH!D$1,SMALL(Dong12,ROWS($1:13)),),4,1)="X",OFFSET(TH!I$1,SMALL(Dong12,ROWS($1:13)),),0))</f>
        <v>0</v>
      </c>
      <c r="I26" s="759">
        <f t="shared" ca="1" si="1"/>
        <v>0</v>
      </c>
      <c r="J26" s="760"/>
      <c r="K26" s="761"/>
    </row>
    <row r="27" spans="1:11" ht="16.5" customHeight="1">
      <c r="A27" s="762" t="str">
        <f t="shared" ca="1" si="2"/>
        <v/>
      </c>
      <c r="B27" s="756" t="str">
        <f ca="1">IF(ROWS($1:14)&gt;COUNT(Dong12),"",OFFSET(TH!E$1,SMALL(Dong12,ROWS($1:14)),))</f>
        <v/>
      </c>
      <c r="C27" s="970" t="str">
        <f ca="1">IF(ROWS($1:14)&gt;COUNT(Dong12),"",IF(MID(OFFSET(TH!D$1,SMALL(Dong12,ROWS($1:14)),),4,1)="N",OFFSET(TH!D$1,SMALL(Dong12,ROWS($1:14)),),""))</f>
        <v/>
      </c>
      <c r="D27" s="756" t="str">
        <f ca="1">IF(ROWS($1:14)&gt;COUNT(Dong12),"",IF(MID(OFFSET(TH!D$1,SMALL(Dong12,ROWS($1:14)),),4,1)="X",OFFSET(TH!D$1,SMALL(Dong12,ROWS($1:14)),),""))</f>
        <v/>
      </c>
      <c r="E27" s="757" t="str">
        <f ca="1">IF(ROWS($1:14)&gt;COUNT(Dong12),"",OFFSET(TH!F$1,SMALL(Dong12,ROWS($1:14)),)&amp;" - "&amp;OFFSET(TH!H$1,SMALL(Dong12,ROWS($1:14)),))</f>
        <v/>
      </c>
      <c r="F27" s="756" t="str">
        <f t="shared" ca="1" si="0"/>
        <v/>
      </c>
      <c r="G27" s="758">
        <f ca="1">IF(ROWS($1:14)&gt;COUNT(Dong12),0,IF(MID(OFFSET(TH!D$1,SMALL(Dong12,ROWS($1:14)),),4,1)="N",OFFSET(TH!I$1,SMALL(Dong12,ROWS($1:14)),),0))</f>
        <v>0</v>
      </c>
      <c r="H27" s="758">
        <f ca="1">IF(ROWS($1:14)&gt;COUNT(Dong12),0,IF(MID(OFFSET(TH!D$1,SMALL(Dong12,ROWS($1:14)),),4,1)="X",OFFSET(TH!I$1,SMALL(Dong12,ROWS($1:14)),),0))</f>
        <v>0</v>
      </c>
      <c r="I27" s="759">
        <f t="shared" ca="1" si="1"/>
        <v>0</v>
      </c>
      <c r="J27" s="760"/>
      <c r="K27" s="761"/>
    </row>
    <row r="28" spans="1:11" ht="16.5" customHeight="1">
      <c r="A28" s="762" t="str">
        <f t="shared" ca="1" si="2"/>
        <v/>
      </c>
      <c r="B28" s="756" t="str">
        <f ca="1">IF(ROWS($1:15)&gt;COUNT(Dong12),"",OFFSET(TH!E$1,SMALL(Dong12,ROWS($1:15)),))</f>
        <v/>
      </c>
      <c r="C28" s="970" t="str">
        <f ca="1">IF(ROWS($1:15)&gt;COUNT(Dong12),"",IF(MID(OFFSET(TH!D$1,SMALL(Dong12,ROWS($1:15)),),4,1)="N",OFFSET(TH!D$1,SMALL(Dong12,ROWS($1:15)),),""))</f>
        <v/>
      </c>
      <c r="D28" s="756" t="str">
        <f ca="1">IF(ROWS($1:15)&gt;COUNT(Dong12),"",IF(MID(OFFSET(TH!D$1,SMALL(Dong12,ROWS($1:15)),),4,1)="X",OFFSET(TH!D$1,SMALL(Dong12,ROWS($1:15)),),""))</f>
        <v/>
      </c>
      <c r="E28" s="757" t="str">
        <f ca="1">IF(ROWS($1:15)&gt;COUNT(Dong12),"",OFFSET(TH!F$1,SMALL(Dong12,ROWS($1:15)),)&amp;" - "&amp;OFFSET(TH!H$1,SMALL(Dong12,ROWS($1:15)),))</f>
        <v/>
      </c>
      <c r="F28" s="756" t="str">
        <f t="shared" ca="1" si="0"/>
        <v/>
      </c>
      <c r="G28" s="758">
        <f ca="1">IF(ROWS($1:15)&gt;COUNT(Dong12),0,IF(MID(OFFSET(TH!D$1,SMALL(Dong12,ROWS($1:15)),),4,1)="N",OFFSET(TH!I$1,SMALL(Dong12,ROWS($1:15)),),0))</f>
        <v>0</v>
      </c>
      <c r="H28" s="758">
        <f ca="1">IF(ROWS($1:15)&gt;COUNT(Dong12),0,IF(MID(OFFSET(TH!D$1,SMALL(Dong12,ROWS($1:15)),),4,1)="X",OFFSET(TH!I$1,SMALL(Dong12,ROWS($1:15)),),0))</f>
        <v>0</v>
      </c>
      <c r="I28" s="759">
        <f t="shared" ca="1" si="1"/>
        <v>0</v>
      </c>
      <c r="J28" s="760"/>
      <c r="K28" s="761"/>
    </row>
    <row r="29" spans="1:11" ht="16.5" customHeight="1">
      <c r="A29" s="762" t="str">
        <f t="shared" ca="1" si="2"/>
        <v/>
      </c>
      <c r="B29" s="756" t="str">
        <f ca="1">IF(ROWS($1:16)&gt;COUNT(Dong12),"",OFFSET(TH!E$1,SMALL(Dong12,ROWS($1:16)),))</f>
        <v/>
      </c>
      <c r="C29" s="970" t="str">
        <f ca="1">IF(ROWS($1:16)&gt;COUNT(Dong12),"",IF(MID(OFFSET(TH!D$1,SMALL(Dong12,ROWS($1:16)),),4,1)="N",OFFSET(TH!D$1,SMALL(Dong12,ROWS($1:16)),),""))</f>
        <v/>
      </c>
      <c r="D29" s="756" t="str">
        <f ca="1">IF(ROWS($1:16)&gt;COUNT(Dong12),"",IF(MID(OFFSET(TH!D$1,SMALL(Dong12,ROWS($1:16)),),4,1)="X",OFFSET(TH!D$1,SMALL(Dong12,ROWS($1:16)),),""))</f>
        <v/>
      </c>
      <c r="E29" s="757" t="str">
        <f ca="1">IF(ROWS($1:16)&gt;COUNT(Dong12),"",OFFSET(TH!F$1,SMALL(Dong12,ROWS($1:16)),)&amp;" - "&amp;OFFSET(TH!H$1,SMALL(Dong12,ROWS($1:16)),))</f>
        <v/>
      </c>
      <c r="F29" s="756" t="str">
        <f t="shared" ca="1" si="0"/>
        <v/>
      </c>
      <c r="G29" s="758">
        <f ca="1">IF(ROWS($1:16)&gt;COUNT(Dong12),0,IF(MID(OFFSET(TH!D$1,SMALL(Dong12,ROWS($1:16)),),4,1)="N",OFFSET(TH!I$1,SMALL(Dong12,ROWS($1:16)),),0))</f>
        <v>0</v>
      </c>
      <c r="H29" s="758">
        <f ca="1">IF(ROWS($1:16)&gt;COUNT(Dong12),0,IF(MID(OFFSET(TH!D$1,SMALL(Dong12,ROWS($1:16)),),4,1)="X",OFFSET(TH!I$1,SMALL(Dong12,ROWS($1:16)),),0))</f>
        <v>0</v>
      </c>
      <c r="I29" s="759">
        <f t="shared" ca="1" si="1"/>
        <v>0</v>
      </c>
      <c r="J29" s="760"/>
      <c r="K29" s="761"/>
    </row>
    <row r="30" spans="1:11" ht="16.5" customHeight="1">
      <c r="A30" s="762" t="str">
        <f t="shared" ca="1" si="2"/>
        <v/>
      </c>
      <c r="B30" s="756" t="str">
        <f ca="1">IF(ROWS($1:17)&gt;COUNT(Dong12),"",OFFSET(TH!E$1,SMALL(Dong12,ROWS($1:17)),))</f>
        <v/>
      </c>
      <c r="C30" s="970" t="str">
        <f ca="1">IF(ROWS($1:17)&gt;COUNT(Dong12),"",IF(MID(OFFSET(TH!D$1,SMALL(Dong12,ROWS($1:17)),),4,1)="N",OFFSET(TH!D$1,SMALL(Dong12,ROWS($1:17)),),""))</f>
        <v/>
      </c>
      <c r="D30" s="756" t="str">
        <f ca="1">IF(ROWS($1:17)&gt;COUNT(Dong12),"",IF(MID(OFFSET(TH!D$1,SMALL(Dong12,ROWS($1:17)),),4,1)="X",OFFSET(TH!D$1,SMALL(Dong12,ROWS($1:17)),),""))</f>
        <v/>
      </c>
      <c r="E30" s="757" t="str">
        <f ca="1">IF(ROWS($1:17)&gt;COUNT(Dong12),"",OFFSET(TH!F$1,SMALL(Dong12,ROWS($1:17)),)&amp;" - "&amp;OFFSET(TH!H$1,SMALL(Dong12,ROWS($1:17)),))</f>
        <v/>
      </c>
      <c r="F30" s="756" t="str">
        <f t="shared" ca="1" si="0"/>
        <v/>
      </c>
      <c r="G30" s="758">
        <f ca="1">IF(ROWS($1:17)&gt;COUNT(Dong12),0,IF(MID(OFFSET(TH!D$1,SMALL(Dong12,ROWS($1:17)),),4,1)="N",OFFSET(TH!I$1,SMALL(Dong12,ROWS($1:17)),),0))</f>
        <v>0</v>
      </c>
      <c r="H30" s="758">
        <f ca="1">IF(ROWS($1:17)&gt;COUNT(Dong12),0,IF(MID(OFFSET(TH!D$1,SMALL(Dong12,ROWS($1:17)),),4,1)="X",OFFSET(TH!I$1,SMALL(Dong12,ROWS($1:17)),),0))</f>
        <v>0</v>
      </c>
      <c r="I30" s="759">
        <f t="shared" ca="1" si="1"/>
        <v>0</v>
      </c>
      <c r="J30" s="760"/>
      <c r="K30" s="761"/>
    </row>
    <row r="31" spans="1:11" ht="16.5" customHeight="1">
      <c r="A31" s="763" t="str">
        <f>IF(D31&lt;&gt;"",A21+1,"")</f>
        <v/>
      </c>
      <c r="B31" s="764"/>
      <c r="C31" s="765"/>
      <c r="D31" s="765"/>
      <c r="E31" s="766"/>
      <c r="F31" s="764"/>
      <c r="G31" s="767"/>
      <c r="H31" s="767"/>
      <c r="I31" s="767"/>
      <c r="J31" s="768"/>
      <c r="K31" s="761"/>
    </row>
    <row r="32" spans="1:11" ht="16.5" customHeight="1">
      <c r="A32" s="750"/>
      <c r="B32" s="769"/>
      <c r="C32" s="750"/>
      <c r="D32" s="750"/>
      <c r="E32" s="751" t="s">
        <v>678</v>
      </c>
      <c r="F32" s="770" t="s">
        <v>26</v>
      </c>
      <c r="G32" s="771">
        <f ca="1">SUM(G14:G31)</f>
        <v>500</v>
      </c>
      <c r="H32" s="771">
        <f ca="1">SUM(H14:H31)</f>
        <v>0</v>
      </c>
      <c r="I32" s="771">
        <f ca="1">I13+G32-H32</f>
        <v>500</v>
      </c>
      <c r="J32" s="750" t="s">
        <v>26</v>
      </c>
      <c r="K32" s="772"/>
    </row>
    <row r="33" spans="1:11" ht="12.75" customHeight="1">
      <c r="A33" s="773"/>
      <c r="B33" s="727"/>
      <c r="C33" s="773"/>
      <c r="D33" s="773"/>
      <c r="E33" s="735"/>
      <c r="F33" s="727"/>
      <c r="G33" s="736"/>
      <c r="H33" s="736"/>
      <c r="I33" s="736"/>
      <c r="J33" s="722"/>
      <c r="K33" s="722"/>
    </row>
    <row r="34" spans="1:11" ht="15">
      <c r="A34" s="774" t="s">
        <v>679</v>
      </c>
      <c r="B34" s="774"/>
      <c r="C34" s="775"/>
      <c r="D34" s="775"/>
      <c r="E34" s="735"/>
      <c r="F34" s="727"/>
      <c r="G34" s="736"/>
      <c r="H34" s="736"/>
      <c r="I34" s="736"/>
      <c r="J34" s="722"/>
      <c r="K34" s="722"/>
    </row>
    <row r="35" spans="1:11" ht="15">
      <c r="A35" s="1233"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34"/>
      <c r="C35" s="1234"/>
      <c r="D35" s="1234"/>
      <c r="E35" s="1234"/>
      <c r="F35" s="727"/>
      <c r="G35" s="736"/>
      <c r="H35" s="736"/>
      <c r="I35" s="736"/>
      <c r="J35" s="722"/>
      <c r="K35" s="722"/>
    </row>
    <row r="36" spans="1:11" ht="15">
      <c r="A36" s="776"/>
      <c r="B36" s="777"/>
      <c r="C36" s="778"/>
      <c r="D36" s="773"/>
      <c r="E36" s="735"/>
      <c r="F36" s="727"/>
      <c r="G36" s="1204" t="s">
        <v>632</v>
      </c>
      <c r="H36" s="1204"/>
      <c r="I36" s="1204"/>
      <c r="J36" s="1204"/>
      <c r="K36" s="628"/>
    </row>
    <row r="37" spans="1:11" ht="15">
      <c r="A37" s="776"/>
      <c r="B37" s="779" t="s">
        <v>680</v>
      </c>
      <c r="C37" s="776"/>
      <c r="D37" s="773"/>
      <c r="E37" s="1235" t="s">
        <v>15</v>
      </c>
      <c r="F37" s="1235"/>
      <c r="G37" s="736"/>
      <c r="H37" s="1236" t="s">
        <v>206</v>
      </c>
      <c r="I37" s="1236"/>
      <c r="J37" s="1236"/>
      <c r="K37" s="776"/>
    </row>
    <row r="38" spans="1:11" ht="15">
      <c r="A38" s="780"/>
      <c r="B38" s="781" t="s">
        <v>16</v>
      </c>
      <c r="C38" s="780"/>
      <c r="D38" s="782"/>
      <c r="E38" s="1228" t="s">
        <v>16</v>
      </c>
      <c r="F38" s="1228"/>
      <c r="G38" s="736"/>
      <c r="H38" s="1229" t="s">
        <v>241</v>
      </c>
      <c r="I38" s="1229"/>
      <c r="J38" s="1229"/>
      <c r="K38" s="780"/>
    </row>
    <row r="39" spans="1:11" ht="15">
      <c r="A39" s="780"/>
      <c r="B39" s="781"/>
      <c r="C39" s="780"/>
      <c r="D39" s="773"/>
      <c r="E39" s="783"/>
      <c r="F39" s="784"/>
      <c r="G39" s="736"/>
      <c r="H39" s="780"/>
      <c r="I39" s="780"/>
      <c r="J39" s="780"/>
      <c r="K39" s="780"/>
    </row>
    <row r="40" spans="1:11" ht="15">
      <c r="A40" s="780"/>
      <c r="B40" s="781"/>
      <c r="C40" s="780"/>
      <c r="D40" s="773"/>
      <c r="E40" s="783"/>
      <c r="F40" s="784"/>
      <c r="G40" s="736"/>
      <c r="H40" s="780"/>
      <c r="I40" s="780"/>
      <c r="J40" s="780"/>
      <c r="K40" s="780"/>
    </row>
    <row r="41" spans="1:11" ht="15">
      <c r="A41" s="780"/>
      <c r="B41" s="781"/>
      <c r="C41" s="780"/>
      <c r="D41" s="773"/>
      <c r="E41" s="783"/>
      <c r="F41" s="784"/>
      <c r="G41" s="736"/>
      <c r="H41" s="780"/>
      <c r="I41" s="780"/>
      <c r="J41" s="780"/>
      <c r="K41" s="780"/>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1" customWidth="1"/>
    <col min="2" max="2" width="26.85546875" style="789" customWidth="1"/>
    <col min="3" max="3" width="5.85546875" style="789" customWidth="1"/>
    <col min="4" max="4" width="8" style="789" customWidth="1"/>
    <col min="5" max="5" width="25.42578125" style="789" customWidth="1"/>
    <col min="6" max="6" width="10.7109375" style="789" bestFit="1" customWidth="1"/>
    <col min="7" max="7" width="16.42578125" style="789" customWidth="1"/>
    <col min="8" max="8" width="7.85546875" style="793" customWidth="1"/>
    <col min="9" max="9" width="9" style="793" customWidth="1"/>
    <col min="10" max="10" width="13.140625" style="789" customWidth="1"/>
    <col min="11" max="12" width="6.7109375" style="789" customWidth="1"/>
    <col min="13" max="13" width="7.140625" style="790" customWidth="1"/>
    <col min="14" max="14" width="18.7109375" style="790" customWidth="1"/>
    <col min="15" max="85" width="10.28515625" style="790" customWidth="1"/>
    <col min="86" max="16384" width="9.140625" style="789"/>
  </cols>
  <sheetData>
    <row r="1" spans="1:86" ht="15.95" customHeight="1">
      <c r="A1" s="1242" t="s">
        <v>681</v>
      </c>
      <c r="B1" s="1242"/>
      <c r="C1" s="1242"/>
      <c r="D1" s="1242"/>
      <c r="E1" s="1242"/>
      <c r="F1" s="1242"/>
      <c r="G1" s="1242"/>
      <c r="H1" s="1242"/>
      <c r="I1" s="1242"/>
      <c r="J1" s="1243" t="s">
        <v>682</v>
      </c>
      <c r="K1" s="1244"/>
      <c r="M1" s="789"/>
      <c r="CH1" s="790"/>
    </row>
    <row r="2" spans="1:86" ht="15.95" customHeight="1">
      <c r="A2" s="1242"/>
      <c r="B2" s="1242"/>
      <c r="C2" s="1242"/>
      <c r="D2" s="1242"/>
      <c r="E2" s="1242"/>
      <c r="F2" s="1242"/>
      <c r="G2" s="1242"/>
      <c r="H2" s="1242"/>
      <c r="I2" s="1242"/>
      <c r="J2" s="1245"/>
      <c r="K2" s="1246"/>
      <c r="M2" s="789"/>
      <c r="CH2" s="790"/>
    </row>
    <row r="3" spans="1:86" ht="12.75" customHeight="1">
      <c r="A3" s="1242"/>
      <c r="B3" s="1242"/>
      <c r="C3" s="1242"/>
      <c r="D3" s="1242"/>
      <c r="E3" s="1242"/>
      <c r="F3" s="1242"/>
      <c r="G3" s="1242"/>
      <c r="H3" s="1242"/>
      <c r="I3" s="1242"/>
      <c r="J3" s="1245"/>
      <c r="K3" s="1246"/>
      <c r="M3" s="789"/>
      <c r="CH3" s="790"/>
    </row>
    <row r="4" spans="1:86" ht="18" customHeight="1">
      <c r="A4" s="1249" t="str">
        <f>"( " &amp; IF(OR($M$11=1,$M$11=4,$M$11=6,$M$11=9,$M$11=11),"Ngày  30  tháng  "&amp;$M$11&amp;"  năm 2016",IF(OR($M$11=3,$M$11=5,$M$11=7,$M$11=8,$M$11=10,$M$11=12),"Ngày  31  tháng  "&amp;$M$11&amp;"  năm 2016","Ngày  29  tháng  "&amp;$M$11&amp;"  năm 2016")) &amp; " ) "</f>
        <v xml:space="preserve">( Ngày  30  tháng  1  năm 2016 ) </v>
      </c>
      <c r="B4" s="1249"/>
      <c r="C4" s="1249"/>
      <c r="D4" s="1249"/>
      <c r="E4" s="1249"/>
      <c r="F4" s="1249"/>
      <c r="G4" s="1249"/>
      <c r="H4" s="1249"/>
      <c r="I4" s="1249"/>
      <c r="J4" s="1247"/>
      <c r="K4" s="1248"/>
      <c r="M4" s="789"/>
      <c r="CH4" s="790"/>
    </row>
    <row r="5" spans="1:86" ht="15" hidden="1" customHeight="1">
      <c r="E5" s="792"/>
      <c r="F5" s="792"/>
    </row>
    <row r="6" spans="1:86" ht="18" customHeight="1">
      <c r="A6" s="791" t="s">
        <v>683</v>
      </c>
      <c r="G6" s="789" t="s">
        <v>684</v>
      </c>
    </row>
    <row r="7" spans="1:86" ht="18" customHeight="1">
      <c r="A7" s="791" t="s">
        <v>685</v>
      </c>
    </row>
    <row r="8" spans="1:86" ht="18" hidden="1" customHeight="1">
      <c r="A8" s="791" t="s">
        <v>686</v>
      </c>
    </row>
    <row r="9" spans="1:86" ht="18" hidden="1" customHeight="1">
      <c r="A9" s="791" t="s">
        <v>687</v>
      </c>
    </row>
    <row r="10" spans="1:86" ht="10.5" hidden="1" customHeight="1">
      <c r="M10" s="794"/>
    </row>
    <row r="11" spans="1:86" s="795" customFormat="1" ht="17.25" customHeight="1">
      <c r="A11" s="1250" t="s">
        <v>754</v>
      </c>
      <c r="B11" s="1252" t="s">
        <v>688</v>
      </c>
      <c r="C11" s="1253"/>
      <c r="D11" s="1253"/>
      <c r="E11" s="1253"/>
      <c r="F11" s="1254"/>
      <c r="G11" s="1255" t="s">
        <v>689</v>
      </c>
      <c r="H11" s="1255"/>
      <c r="I11" s="1255"/>
      <c r="J11" s="1255"/>
      <c r="K11" s="1256" t="s">
        <v>232</v>
      </c>
      <c r="M11" s="796">
        <v>1</v>
      </c>
      <c r="N11" s="797"/>
      <c r="O11" s="797"/>
      <c r="P11" s="797"/>
      <c r="Q11" s="797"/>
      <c r="R11" s="797"/>
      <c r="S11" s="797"/>
      <c r="T11" s="797"/>
      <c r="U11" s="797"/>
      <c r="V11" s="797"/>
      <c r="W11" s="797"/>
      <c r="X11" s="797"/>
      <c r="Y11" s="797"/>
      <c r="Z11" s="797"/>
      <c r="AA11" s="797"/>
      <c r="AB11" s="797"/>
      <c r="AC11" s="797"/>
      <c r="AD11" s="797"/>
      <c r="AE11" s="797"/>
      <c r="AF11" s="797"/>
      <c r="AG11" s="797"/>
      <c r="AH11" s="797"/>
      <c r="AI11" s="797"/>
      <c r="AJ11" s="797"/>
      <c r="AK11" s="797"/>
      <c r="AL11" s="797"/>
      <c r="AM11" s="797"/>
      <c r="AN11" s="797"/>
      <c r="AO11" s="797"/>
      <c r="AP11" s="797"/>
      <c r="AQ11" s="797"/>
      <c r="AR11" s="797"/>
      <c r="AS11" s="797"/>
      <c r="AT11" s="797"/>
      <c r="AU11" s="797"/>
      <c r="AV11" s="797"/>
      <c r="AW11" s="797"/>
      <c r="AX11" s="797"/>
      <c r="AY11" s="797"/>
      <c r="AZ11" s="797"/>
      <c r="BA11" s="797"/>
      <c r="BB11" s="797"/>
      <c r="BC11" s="797"/>
      <c r="BD11" s="797"/>
      <c r="BE11" s="797"/>
      <c r="BF11" s="797"/>
      <c r="BG11" s="797"/>
      <c r="BH11" s="797"/>
      <c r="BI11" s="797"/>
      <c r="BJ11" s="797"/>
      <c r="BK11" s="797"/>
      <c r="BL11" s="797"/>
      <c r="BM11" s="797"/>
      <c r="BN11" s="797"/>
      <c r="BO11" s="797"/>
      <c r="BP11" s="797"/>
      <c r="BQ11" s="797"/>
      <c r="BR11" s="797"/>
      <c r="BS11" s="797"/>
      <c r="BT11" s="797"/>
      <c r="BU11" s="797"/>
      <c r="BV11" s="797"/>
      <c r="BW11" s="797"/>
      <c r="BX11" s="797"/>
      <c r="BY11" s="797"/>
      <c r="BZ11" s="797"/>
      <c r="CA11" s="797"/>
      <c r="CB11" s="797"/>
      <c r="CC11" s="797"/>
      <c r="CD11" s="797"/>
      <c r="CE11" s="797"/>
      <c r="CF11" s="797"/>
      <c r="CG11" s="797"/>
    </row>
    <row r="12" spans="1:86" s="800" customFormat="1" ht="36" customHeight="1">
      <c r="A12" s="1251"/>
      <c r="B12" s="798" t="s">
        <v>690</v>
      </c>
      <c r="C12" s="798"/>
      <c r="D12" s="798" t="s">
        <v>691</v>
      </c>
      <c r="E12" s="798" t="s">
        <v>692</v>
      </c>
      <c r="F12" s="798" t="s">
        <v>693</v>
      </c>
      <c r="G12" s="798" t="s">
        <v>694</v>
      </c>
      <c r="H12" s="799" t="s">
        <v>643</v>
      </c>
      <c r="I12" s="799" t="s">
        <v>644</v>
      </c>
      <c r="J12" s="798" t="s">
        <v>695</v>
      </c>
      <c r="K12" s="1257"/>
      <c r="M12" s="801"/>
      <c r="N12" s="801"/>
      <c r="O12" s="801"/>
      <c r="P12" s="801"/>
      <c r="Q12" s="801"/>
      <c r="R12" s="801"/>
      <c r="S12" s="801"/>
      <c r="T12" s="801"/>
      <c r="U12" s="801"/>
      <c r="V12" s="801"/>
      <c r="W12" s="801"/>
      <c r="X12" s="801"/>
      <c r="Y12" s="801"/>
      <c r="Z12" s="801"/>
      <c r="AA12" s="801"/>
      <c r="AB12" s="801"/>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c r="BC12" s="801"/>
      <c r="BD12" s="801"/>
      <c r="BE12" s="801"/>
      <c r="BF12" s="801"/>
      <c r="BG12" s="801"/>
      <c r="BH12" s="801"/>
      <c r="BI12" s="801"/>
      <c r="BJ12" s="801"/>
      <c r="BK12" s="801"/>
      <c r="BL12" s="801"/>
      <c r="BM12" s="801"/>
      <c r="BN12" s="801"/>
      <c r="BO12" s="801"/>
      <c r="BP12" s="801"/>
      <c r="BQ12" s="801"/>
      <c r="BR12" s="801"/>
      <c r="BS12" s="801"/>
      <c r="BT12" s="801"/>
      <c r="BU12" s="801"/>
      <c r="BV12" s="801"/>
      <c r="BW12" s="801"/>
      <c r="BX12" s="801"/>
      <c r="BY12" s="801"/>
      <c r="BZ12" s="801"/>
      <c r="CA12" s="801"/>
      <c r="CB12" s="801"/>
      <c r="CC12" s="801"/>
      <c r="CD12" s="801"/>
      <c r="CE12" s="801"/>
      <c r="CF12" s="801"/>
      <c r="CG12" s="801"/>
    </row>
    <row r="13" spans="1:86" s="806" customFormat="1" ht="9.75" customHeight="1">
      <c r="A13" s="802" t="s">
        <v>260</v>
      </c>
      <c r="B13" s="803">
        <v>2</v>
      </c>
      <c r="C13" s="803"/>
      <c r="D13" s="803"/>
      <c r="E13" s="803">
        <v>3</v>
      </c>
      <c r="F13" s="803">
        <v>4</v>
      </c>
      <c r="G13" s="803">
        <v>5</v>
      </c>
      <c r="H13" s="804" t="s">
        <v>696</v>
      </c>
      <c r="I13" s="804" t="s">
        <v>697</v>
      </c>
      <c r="J13" s="803">
        <v>8</v>
      </c>
      <c r="K13" s="803">
        <v>9</v>
      </c>
      <c r="L13" s="805"/>
      <c r="M13" s="805"/>
      <c r="N13" s="805"/>
      <c r="O13" s="805"/>
      <c r="P13" s="805"/>
      <c r="Q13" s="805"/>
      <c r="R13" s="805"/>
      <c r="S13" s="805"/>
      <c r="T13" s="805"/>
      <c r="U13" s="805"/>
      <c r="V13" s="805"/>
      <c r="W13" s="805"/>
      <c r="X13" s="805"/>
      <c r="Y13" s="805"/>
      <c r="Z13" s="805"/>
      <c r="AA13" s="805"/>
      <c r="AB13" s="805"/>
      <c r="AC13" s="805"/>
      <c r="AD13" s="805"/>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c r="BC13" s="805"/>
      <c r="BD13" s="805"/>
      <c r="BE13" s="805"/>
      <c r="BF13" s="805"/>
      <c r="BG13" s="805"/>
      <c r="BH13" s="805"/>
      <c r="BI13" s="805"/>
      <c r="BJ13" s="805"/>
      <c r="BK13" s="805"/>
      <c r="BL13" s="805"/>
      <c r="BM13" s="805"/>
      <c r="BN13" s="805"/>
      <c r="BO13" s="805"/>
      <c r="BP13" s="805"/>
      <c r="BQ13" s="805"/>
      <c r="BR13" s="805"/>
      <c r="BS13" s="805"/>
      <c r="BT13" s="805"/>
      <c r="BU13" s="805"/>
      <c r="BV13" s="805"/>
      <c r="BW13" s="805"/>
      <c r="BX13" s="805"/>
      <c r="BY13" s="805"/>
      <c r="BZ13" s="805"/>
      <c r="CA13" s="805"/>
      <c r="CB13" s="805"/>
      <c r="CC13" s="805"/>
      <c r="CD13" s="805"/>
      <c r="CE13" s="805"/>
      <c r="CF13" s="805"/>
      <c r="CG13" s="805"/>
    </row>
    <row r="14" spans="1:86" s="813" customFormat="1" ht="21.75" customHeight="1">
      <c r="A14" s="254" t="str">
        <f ca="1">IF(ROWS($1:1)&gt;COUNT(Dong13),"",OFFSET(TH!E$1,SMALL(Dong13,ROWS($1:1)),))</f>
        <v/>
      </c>
      <c r="B14" s="264" t="str">
        <f ca="1">IF(ROWS($1:1)&gt;COUNT(Dong13),"",OFFSET(TH!H$1,SMALL(Dong13,ROWS($1:1)),))</f>
        <v/>
      </c>
      <c r="C14" s="807" t="str">
        <f t="shared" ref="C14:C40" ca="1" si="0">IF(ISNA(VLOOKUP($B14,DSNL,6,0)),"",VLOOKUP($B14,DSNL,6,0))</f>
        <v/>
      </c>
      <c r="D14" s="807" t="str">
        <f ca="1">IF(ROWS($1:1)&gt;COUNT(Dong13),"",OFFSET(TH!D$1,SMALL(Dong13,ROWS($1:1)),))</f>
        <v/>
      </c>
      <c r="E14" s="808" t="str">
        <f t="shared" ref="E14:E40" ca="1" si="1">IF(ISNA(VLOOKUP($B14,DSNL,4,0)),"",VLOOKUP($B14,DSNL,4,0))</f>
        <v/>
      </c>
      <c r="F14" s="808" t="str">
        <f t="shared" ref="F14:F40" ca="1" si="2">IF(ISNA(VLOOKUP($B14,DSNL,3,0)),"",VLOOKUP($B14,DSNL,3,0))</f>
        <v/>
      </c>
      <c r="G14" s="809" t="str">
        <f ca="1">IF(ROWS($1:1)&gt;COUNT(Dong13),"",OFFSET(TH!F$1,SMALL(Dong13,ROWS($1:1)),))</f>
        <v/>
      </c>
      <c r="H14" s="810" t="str">
        <f ca="1">IF(ROWS($1:1)&gt;COUNT(Dong13),"",OFFSET(TH!I$1,SMALL(Dong13,ROWS($1:1)),))</f>
        <v/>
      </c>
      <c r="I14" s="810" t="str">
        <f ca="1">IF(ROWS($1:1)&gt;COUNT(Dong13),"",OFFSET(TH!J$1,SMALL(Dong13,ROWS($1:1)),))</f>
        <v/>
      </c>
      <c r="J14" s="811">
        <f ca="1">IF(B14&lt;&gt;"",H14*I14,0)</f>
        <v>0</v>
      </c>
      <c r="K14" s="811"/>
      <c r="L14" s="812"/>
      <c r="M14" s="790"/>
      <c r="N14" s="790"/>
      <c r="O14" s="790"/>
      <c r="P14" s="790"/>
      <c r="Q14" s="790"/>
      <c r="R14" s="790"/>
      <c r="S14" s="790"/>
      <c r="T14" s="790"/>
      <c r="U14" s="790"/>
      <c r="V14" s="790"/>
      <c r="W14" s="790"/>
      <c r="X14" s="790"/>
      <c r="Y14" s="790"/>
      <c r="Z14" s="790"/>
      <c r="AA14" s="790"/>
      <c r="AB14" s="790"/>
      <c r="AC14" s="790"/>
      <c r="AD14" s="790"/>
      <c r="AE14" s="790"/>
      <c r="AF14" s="790"/>
      <c r="AG14" s="790"/>
      <c r="AH14" s="790"/>
      <c r="AI14" s="790"/>
      <c r="AJ14" s="790"/>
      <c r="AK14" s="790"/>
      <c r="AL14" s="790"/>
      <c r="AM14" s="790"/>
      <c r="AN14" s="790"/>
      <c r="AO14" s="790"/>
      <c r="AP14" s="790"/>
      <c r="AQ14" s="790"/>
      <c r="AR14" s="790"/>
      <c r="AS14" s="790"/>
      <c r="AT14" s="790"/>
      <c r="AU14" s="790"/>
      <c r="AV14" s="790"/>
      <c r="AW14" s="790"/>
      <c r="AX14" s="790"/>
      <c r="AY14" s="790"/>
      <c r="AZ14" s="790"/>
      <c r="BA14" s="790"/>
      <c r="BB14" s="790"/>
      <c r="BC14" s="790"/>
      <c r="BD14" s="790"/>
      <c r="BE14" s="790"/>
      <c r="BF14" s="790"/>
      <c r="BG14" s="790"/>
      <c r="BH14" s="790"/>
      <c r="BI14" s="790"/>
      <c r="BJ14" s="790"/>
      <c r="BK14" s="790"/>
      <c r="BL14" s="790"/>
      <c r="BM14" s="790"/>
      <c r="BN14" s="790"/>
      <c r="BO14" s="790"/>
      <c r="BP14" s="790"/>
      <c r="BQ14" s="790"/>
      <c r="BR14" s="790"/>
      <c r="BS14" s="790"/>
      <c r="BT14" s="790"/>
      <c r="BU14" s="790"/>
      <c r="BV14" s="790"/>
      <c r="BW14" s="790"/>
      <c r="BX14" s="790"/>
      <c r="BY14" s="790"/>
      <c r="BZ14" s="790"/>
      <c r="CA14" s="790"/>
      <c r="CB14" s="790"/>
      <c r="CC14" s="790"/>
      <c r="CD14" s="790"/>
      <c r="CE14" s="790"/>
      <c r="CF14" s="790"/>
      <c r="CG14" s="790"/>
    </row>
    <row r="15" spans="1:86" s="813" customFormat="1" ht="21.75" customHeight="1">
      <c r="A15" s="254" t="str">
        <f ca="1">IF(ROWS($1:2)&gt;COUNT(Dong13),"",OFFSET(TH!E$1,SMALL(Dong13,ROWS($1:2)),))</f>
        <v/>
      </c>
      <c r="B15" s="264" t="str">
        <f ca="1">IF(ROWS($1:2)&gt;COUNT(Dong13),"",OFFSET(TH!H$1,SMALL(Dong13,ROWS($1:2)),))</f>
        <v/>
      </c>
      <c r="C15" s="807" t="str">
        <f t="shared" ca="1" si="0"/>
        <v/>
      </c>
      <c r="D15" s="807" t="str">
        <f ca="1">IF(ROWS($1:2)&gt;COUNT(Dong13),"",OFFSET(TH!D$1,SMALL(Dong13,ROWS($1:2)),))</f>
        <v/>
      </c>
      <c r="E15" s="808" t="str">
        <f t="shared" ca="1" si="1"/>
        <v/>
      </c>
      <c r="F15" s="808" t="str">
        <f t="shared" ca="1" si="2"/>
        <v/>
      </c>
      <c r="G15" s="809" t="str">
        <f ca="1">IF(ROWS($1:2)&gt;COUNT(Dong13),"",OFFSET(TH!F$1,SMALL(Dong13,ROWS($1:2)),))</f>
        <v/>
      </c>
      <c r="H15" s="810" t="str">
        <f ca="1">IF(ROWS($1:2)&gt;COUNT(Dong13),"",OFFSET(TH!I$1,SMALL(Dong13,ROWS($1:2)),))</f>
        <v/>
      </c>
      <c r="I15" s="810" t="str">
        <f ca="1">IF(ROWS($1:2)&gt;COUNT(Dong13),"",OFFSET(TH!J$1,SMALL(Dong13,ROWS($1:2)),))</f>
        <v/>
      </c>
      <c r="J15" s="811">
        <f t="shared" ref="J15:J40" ca="1" si="3">IF(B15&lt;&gt;"",H15*I15,0)</f>
        <v>0</v>
      </c>
      <c r="K15" s="814"/>
      <c r="L15" s="812"/>
      <c r="M15" s="790"/>
      <c r="N15" s="790"/>
      <c r="O15" s="790"/>
      <c r="P15" s="790"/>
      <c r="Q15" s="790"/>
      <c r="R15" s="790"/>
      <c r="S15" s="790"/>
      <c r="T15" s="790"/>
      <c r="U15" s="790"/>
      <c r="V15" s="790"/>
      <c r="W15" s="790"/>
      <c r="X15" s="790"/>
      <c r="Y15" s="790"/>
      <c r="Z15" s="790"/>
      <c r="AA15" s="790"/>
      <c r="AB15" s="790"/>
      <c r="AC15" s="790"/>
      <c r="AD15" s="790"/>
      <c r="AE15" s="790"/>
      <c r="AF15" s="790"/>
      <c r="AG15" s="790"/>
      <c r="AH15" s="790"/>
      <c r="AI15" s="790"/>
      <c r="AJ15" s="790"/>
      <c r="AK15" s="790"/>
      <c r="AL15" s="790"/>
      <c r="AM15" s="790"/>
      <c r="AN15" s="790"/>
      <c r="AO15" s="790"/>
      <c r="AP15" s="790"/>
      <c r="AQ15" s="790"/>
      <c r="AR15" s="790"/>
      <c r="AS15" s="790"/>
      <c r="AT15" s="790"/>
      <c r="AU15" s="790"/>
      <c r="AV15" s="790"/>
      <c r="AW15" s="790"/>
      <c r="AX15" s="790"/>
      <c r="AY15" s="790"/>
      <c r="AZ15" s="790"/>
      <c r="BA15" s="790"/>
      <c r="BB15" s="790"/>
      <c r="BC15" s="790"/>
      <c r="BD15" s="790"/>
      <c r="BE15" s="790"/>
      <c r="BF15" s="790"/>
      <c r="BG15" s="790"/>
      <c r="BH15" s="790"/>
      <c r="BI15" s="790"/>
      <c r="BJ15" s="790"/>
      <c r="BK15" s="790"/>
      <c r="BL15" s="790"/>
      <c r="BM15" s="790"/>
      <c r="BN15" s="790"/>
      <c r="BO15" s="790"/>
      <c r="BP15" s="790"/>
      <c r="BQ15" s="790"/>
      <c r="BR15" s="790"/>
      <c r="BS15" s="790"/>
      <c r="BT15" s="790"/>
      <c r="BU15" s="790"/>
      <c r="BV15" s="790"/>
      <c r="BW15" s="790"/>
      <c r="BX15" s="790"/>
      <c r="BY15" s="790"/>
      <c r="BZ15" s="790"/>
      <c r="CA15" s="790"/>
      <c r="CB15" s="790"/>
      <c r="CC15" s="790"/>
      <c r="CD15" s="790"/>
      <c r="CE15" s="790"/>
      <c r="CF15" s="790"/>
      <c r="CG15" s="790"/>
    </row>
    <row r="16" spans="1:86" s="813" customFormat="1" ht="21.75" customHeight="1">
      <c r="A16" s="254" t="str">
        <f ca="1">IF(ROWS($1:3)&gt;COUNT(Dong13),"",OFFSET(TH!E$1,SMALL(Dong13,ROWS($1:3)),))</f>
        <v/>
      </c>
      <c r="B16" s="264" t="str">
        <f ca="1">IF(ROWS($1:3)&gt;COUNT(Dong13),"",OFFSET(TH!H$1,SMALL(Dong13,ROWS($1:3)),))</f>
        <v/>
      </c>
      <c r="C16" s="807" t="str">
        <f t="shared" ca="1" si="0"/>
        <v/>
      </c>
      <c r="D16" s="807" t="str">
        <f ca="1">IF(ROWS($1:3)&gt;COUNT(Dong13),"",OFFSET(TH!D$1,SMALL(Dong13,ROWS($1:3)),))</f>
        <v/>
      </c>
      <c r="E16" s="808" t="str">
        <f t="shared" ca="1" si="1"/>
        <v/>
      </c>
      <c r="F16" s="808" t="str">
        <f t="shared" ca="1" si="2"/>
        <v/>
      </c>
      <c r="G16" s="809" t="str">
        <f ca="1">IF(ROWS($1:3)&gt;COUNT(Dong13),"",OFFSET(TH!F$1,SMALL(Dong13,ROWS($1:3)),))</f>
        <v/>
      </c>
      <c r="H16" s="810" t="str">
        <f ca="1">IF(ROWS($1:3)&gt;COUNT(Dong13),"",OFFSET(TH!I$1,SMALL(Dong13,ROWS($1:3)),))</f>
        <v/>
      </c>
      <c r="I16" s="810" t="str">
        <f ca="1">IF(ROWS($1:3)&gt;COUNT(Dong13),"",OFFSET(TH!J$1,SMALL(Dong13,ROWS($1:3)),))</f>
        <v/>
      </c>
      <c r="J16" s="811">
        <f t="shared" ca="1" si="3"/>
        <v>0</v>
      </c>
      <c r="K16" s="814"/>
      <c r="L16" s="812"/>
      <c r="M16" s="790"/>
      <c r="N16" s="790"/>
      <c r="O16" s="790"/>
      <c r="P16" s="790"/>
      <c r="Q16" s="790"/>
      <c r="R16" s="790"/>
      <c r="S16" s="790"/>
      <c r="T16" s="790"/>
      <c r="U16" s="790"/>
      <c r="V16" s="790"/>
      <c r="W16" s="790"/>
      <c r="X16" s="790"/>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c r="BC16" s="790"/>
      <c r="BD16" s="790"/>
      <c r="BE16" s="790"/>
      <c r="BF16" s="790"/>
      <c r="BG16" s="790"/>
      <c r="BH16" s="790"/>
      <c r="BI16" s="790"/>
      <c r="BJ16" s="790"/>
      <c r="BK16" s="790"/>
      <c r="BL16" s="790"/>
      <c r="BM16" s="790"/>
      <c r="BN16" s="790"/>
      <c r="BO16" s="790"/>
      <c r="BP16" s="790"/>
      <c r="BQ16" s="790"/>
      <c r="BR16" s="790"/>
      <c r="BS16" s="790"/>
      <c r="BT16" s="790"/>
      <c r="BU16" s="790"/>
      <c r="BV16" s="790"/>
      <c r="BW16" s="790"/>
      <c r="BX16" s="790"/>
      <c r="BY16" s="790"/>
      <c r="BZ16" s="790"/>
      <c r="CA16" s="790"/>
      <c r="CB16" s="790"/>
      <c r="CC16" s="790"/>
      <c r="CD16" s="790"/>
      <c r="CE16" s="790"/>
      <c r="CF16" s="790"/>
      <c r="CG16" s="790"/>
    </row>
    <row r="17" spans="1:85" s="813" customFormat="1" ht="21.75" customHeight="1">
      <c r="A17" s="254" t="str">
        <f ca="1">IF(ROWS($1:4)&gt;COUNT(Dong13),"",OFFSET(TH!E$1,SMALL(Dong13,ROWS($1:4)),))</f>
        <v/>
      </c>
      <c r="B17" s="264" t="str">
        <f ca="1">IF(ROWS($1:4)&gt;COUNT(Dong13),"",OFFSET(TH!H$1,SMALL(Dong13,ROWS($1:4)),))</f>
        <v/>
      </c>
      <c r="C17" s="807" t="str">
        <f t="shared" ca="1" si="0"/>
        <v/>
      </c>
      <c r="D17" s="807" t="str">
        <f ca="1">IF(ROWS($1:4)&gt;COUNT(Dong13),"",OFFSET(TH!D$1,SMALL(Dong13,ROWS($1:4)),))</f>
        <v/>
      </c>
      <c r="E17" s="808" t="str">
        <f t="shared" ca="1" si="1"/>
        <v/>
      </c>
      <c r="F17" s="808" t="str">
        <f t="shared" ca="1" si="2"/>
        <v/>
      </c>
      <c r="G17" s="809" t="str">
        <f ca="1">IF(ROWS($1:4)&gt;COUNT(Dong13),"",OFFSET(TH!F$1,SMALL(Dong13,ROWS($1:4)),))</f>
        <v/>
      </c>
      <c r="H17" s="810" t="str">
        <f ca="1">IF(ROWS($1:4)&gt;COUNT(Dong13),"",OFFSET(TH!I$1,SMALL(Dong13,ROWS($1:4)),))</f>
        <v/>
      </c>
      <c r="I17" s="810" t="str">
        <f ca="1">IF(ROWS($1:4)&gt;COUNT(Dong13),"",OFFSET(TH!J$1,SMALL(Dong13,ROWS($1:4)),))</f>
        <v/>
      </c>
      <c r="J17" s="811">
        <f t="shared" ca="1" si="3"/>
        <v>0</v>
      </c>
      <c r="K17" s="814"/>
      <c r="L17" s="812"/>
      <c r="M17" s="790"/>
      <c r="N17" s="790"/>
      <c r="O17" s="790"/>
      <c r="P17" s="790"/>
      <c r="Q17" s="790"/>
      <c r="R17" s="790"/>
      <c r="S17" s="790"/>
      <c r="T17" s="790"/>
      <c r="U17" s="790"/>
      <c r="V17" s="790"/>
      <c r="W17" s="790"/>
      <c r="X17" s="790"/>
      <c r="Y17" s="790"/>
      <c r="Z17" s="790"/>
      <c r="AA17" s="790"/>
      <c r="AB17" s="790"/>
      <c r="AC17" s="790"/>
      <c r="AD17" s="790"/>
      <c r="AE17" s="790"/>
      <c r="AF17" s="790"/>
      <c r="AG17" s="790"/>
      <c r="AH17" s="790"/>
      <c r="AI17" s="790"/>
      <c r="AJ17" s="790"/>
      <c r="AK17" s="790"/>
      <c r="AL17" s="790"/>
      <c r="AM17" s="790"/>
      <c r="AN17" s="790"/>
      <c r="AO17" s="790"/>
      <c r="AP17" s="790"/>
      <c r="AQ17" s="790"/>
      <c r="AR17" s="790"/>
      <c r="AS17" s="790"/>
      <c r="AT17" s="790"/>
      <c r="AU17" s="790"/>
      <c r="AV17" s="790"/>
      <c r="AW17" s="790"/>
      <c r="AX17" s="790"/>
      <c r="AY17" s="790"/>
      <c r="AZ17" s="790"/>
      <c r="BA17" s="790"/>
      <c r="BB17" s="790"/>
      <c r="BC17" s="790"/>
      <c r="BD17" s="790"/>
      <c r="BE17" s="790"/>
      <c r="BF17" s="790"/>
      <c r="BG17" s="790"/>
      <c r="BH17" s="790"/>
      <c r="BI17" s="790"/>
      <c r="BJ17" s="790"/>
      <c r="BK17" s="790"/>
      <c r="BL17" s="790"/>
      <c r="BM17" s="790"/>
      <c r="BN17" s="790"/>
      <c r="BO17" s="790"/>
      <c r="BP17" s="790"/>
      <c r="BQ17" s="790"/>
      <c r="BR17" s="790"/>
      <c r="BS17" s="790"/>
      <c r="BT17" s="790"/>
      <c r="BU17" s="790"/>
      <c r="BV17" s="790"/>
      <c r="BW17" s="790"/>
      <c r="BX17" s="790"/>
      <c r="BY17" s="790"/>
      <c r="BZ17" s="790"/>
      <c r="CA17" s="790"/>
      <c r="CB17" s="790"/>
      <c r="CC17" s="790"/>
      <c r="CD17" s="790"/>
      <c r="CE17" s="790"/>
      <c r="CF17" s="790"/>
      <c r="CG17" s="790"/>
    </row>
    <row r="18" spans="1:85" s="813" customFormat="1" ht="21.75" customHeight="1">
      <c r="A18" s="254" t="str">
        <f ca="1">IF(ROWS($1:5)&gt;COUNT(Dong13),"",OFFSET(TH!E$1,SMALL(Dong13,ROWS($1:5)),))</f>
        <v/>
      </c>
      <c r="B18" s="264" t="str">
        <f ca="1">IF(ROWS($1:5)&gt;COUNT(Dong13),"",OFFSET(TH!H$1,SMALL(Dong13,ROWS($1:5)),))</f>
        <v/>
      </c>
      <c r="C18" s="807" t="str">
        <f t="shared" ca="1" si="0"/>
        <v/>
      </c>
      <c r="D18" s="807" t="str">
        <f ca="1">IF(ROWS($1:5)&gt;COUNT(Dong13),"",OFFSET(TH!D$1,SMALL(Dong13,ROWS($1:5)),))</f>
        <v/>
      </c>
      <c r="E18" s="808" t="str">
        <f t="shared" ca="1" si="1"/>
        <v/>
      </c>
      <c r="F18" s="808" t="str">
        <f t="shared" ca="1" si="2"/>
        <v/>
      </c>
      <c r="G18" s="809" t="str">
        <f ca="1">IF(ROWS($1:5)&gt;COUNT(Dong13),"",OFFSET(TH!F$1,SMALL(Dong13,ROWS($1:5)),))</f>
        <v/>
      </c>
      <c r="H18" s="810" t="str">
        <f ca="1">IF(ROWS($1:5)&gt;COUNT(Dong13),"",OFFSET(TH!I$1,SMALL(Dong13,ROWS($1:5)),))</f>
        <v/>
      </c>
      <c r="I18" s="810" t="str">
        <f ca="1">IF(ROWS($1:5)&gt;COUNT(Dong13),"",OFFSET(TH!J$1,SMALL(Dong13,ROWS($1:5)),))</f>
        <v/>
      </c>
      <c r="J18" s="811">
        <f t="shared" ca="1" si="3"/>
        <v>0</v>
      </c>
      <c r="K18" s="814"/>
      <c r="L18" s="812"/>
      <c r="M18" s="790"/>
      <c r="N18" s="790"/>
      <c r="O18" s="790"/>
      <c r="P18" s="790"/>
      <c r="Q18" s="790"/>
      <c r="R18" s="790"/>
      <c r="S18" s="790"/>
      <c r="T18" s="790"/>
      <c r="U18" s="790"/>
      <c r="V18" s="790"/>
      <c r="W18" s="790"/>
      <c r="X18" s="790"/>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c r="BC18" s="790"/>
      <c r="BD18" s="790"/>
      <c r="BE18" s="790"/>
      <c r="BF18" s="790"/>
      <c r="BG18" s="790"/>
      <c r="BH18" s="790"/>
      <c r="BI18" s="790"/>
      <c r="BJ18" s="790"/>
      <c r="BK18" s="790"/>
      <c r="BL18" s="790"/>
      <c r="BM18" s="790"/>
      <c r="BN18" s="790"/>
      <c r="BO18" s="790"/>
      <c r="BP18" s="790"/>
      <c r="BQ18" s="790"/>
      <c r="BR18" s="790"/>
      <c r="BS18" s="790"/>
      <c r="BT18" s="790"/>
      <c r="BU18" s="790"/>
      <c r="BV18" s="790"/>
      <c r="BW18" s="790"/>
      <c r="BX18" s="790"/>
      <c r="BY18" s="790"/>
      <c r="BZ18" s="790"/>
      <c r="CA18" s="790"/>
      <c r="CB18" s="790"/>
      <c r="CC18" s="790"/>
      <c r="CD18" s="790"/>
      <c r="CE18" s="790"/>
      <c r="CF18" s="790"/>
      <c r="CG18" s="790"/>
    </row>
    <row r="19" spans="1:85" s="813" customFormat="1" ht="21.75" customHeight="1">
      <c r="A19" s="254" t="str">
        <f ca="1">IF(ROWS($1:6)&gt;COUNT(Dong13),"",OFFSET(TH!E$1,SMALL(Dong13,ROWS($1:6)),))</f>
        <v/>
      </c>
      <c r="B19" s="264" t="str">
        <f ca="1">IF(ROWS($1:6)&gt;COUNT(Dong13),"",OFFSET(TH!H$1,SMALL(Dong13,ROWS($1:6)),))</f>
        <v/>
      </c>
      <c r="C19" s="807" t="str">
        <f t="shared" ca="1" si="0"/>
        <v/>
      </c>
      <c r="D19" s="807" t="str">
        <f ca="1">IF(ROWS($1:6)&gt;COUNT(Dong13),"",OFFSET(TH!D$1,SMALL(Dong13,ROWS($1:6)),))</f>
        <v/>
      </c>
      <c r="E19" s="808" t="str">
        <f t="shared" ca="1" si="1"/>
        <v/>
      </c>
      <c r="F19" s="808" t="str">
        <f t="shared" ca="1" si="2"/>
        <v/>
      </c>
      <c r="G19" s="809" t="str">
        <f ca="1">IF(ROWS($1:6)&gt;COUNT(Dong13),"",OFFSET(TH!F$1,SMALL(Dong13,ROWS($1:6)),))</f>
        <v/>
      </c>
      <c r="H19" s="810" t="str">
        <f ca="1">IF(ROWS($1:6)&gt;COUNT(Dong13),"",OFFSET(TH!I$1,SMALL(Dong13,ROWS($1:6)),))</f>
        <v/>
      </c>
      <c r="I19" s="810" t="str">
        <f ca="1">IF(ROWS($1:6)&gt;COUNT(Dong13),"",OFFSET(TH!J$1,SMALL(Dong13,ROWS($1:6)),))</f>
        <v/>
      </c>
      <c r="J19" s="811">
        <f t="shared" ca="1" si="3"/>
        <v>0</v>
      </c>
      <c r="K19" s="814"/>
      <c r="L19" s="812"/>
      <c r="M19" s="790"/>
      <c r="N19" s="790"/>
      <c r="O19" s="790"/>
      <c r="P19" s="790"/>
      <c r="Q19" s="790"/>
      <c r="R19" s="790"/>
      <c r="S19" s="790"/>
      <c r="T19" s="790"/>
      <c r="U19" s="790"/>
      <c r="V19" s="790"/>
      <c r="W19" s="790"/>
      <c r="X19" s="790"/>
      <c r="Y19" s="790"/>
      <c r="Z19" s="790"/>
      <c r="AA19" s="790"/>
      <c r="AB19" s="790"/>
      <c r="AC19" s="790"/>
      <c r="AD19" s="790"/>
      <c r="AE19" s="790"/>
      <c r="AF19" s="790"/>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c r="BC19" s="790"/>
      <c r="BD19" s="790"/>
      <c r="BE19" s="790"/>
      <c r="BF19" s="790"/>
      <c r="BG19" s="790"/>
      <c r="BH19" s="790"/>
      <c r="BI19" s="790"/>
      <c r="BJ19" s="790"/>
      <c r="BK19" s="790"/>
      <c r="BL19" s="790"/>
      <c r="BM19" s="790"/>
      <c r="BN19" s="790"/>
      <c r="BO19" s="790"/>
      <c r="BP19" s="790"/>
      <c r="BQ19" s="790"/>
      <c r="BR19" s="790"/>
      <c r="BS19" s="790"/>
      <c r="BT19" s="790"/>
      <c r="BU19" s="790"/>
      <c r="BV19" s="790"/>
      <c r="BW19" s="790"/>
      <c r="BX19" s="790"/>
      <c r="BY19" s="790"/>
      <c r="BZ19" s="790"/>
      <c r="CA19" s="790"/>
      <c r="CB19" s="790"/>
      <c r="CC19" s="790"/>
      <c r="CD19" s="790"/>
      <c r="CE19" s="790"/>
      <c r="CF19" s="790"/>
      <c r="CG19" s="790"/>
    </row>
    <row r="20" spans="1:85" s="813" customFormat="1" ht="21.75" customHeight="1">
      <c r="A20" s="254" t="str">
        <f ca="1">IF(ROWS($1:7)&gt;COUNT(Dong13),"",OFFSET(TH!E$1,SMALL(Dong13,ROWS($1:7)),))</f>
        <v/>
      </c>
      <c r="B20" s="264" t="str">
        <f ca="1">IF(ROWS($1:7)&gt;COUNT(Dong13),"",OFFSET(TH!H$1,SMALL(Dong13,ROWS($1:7)),))</f>
        <v/>
      </c>
      <c r="C20" s="807" t="str">
        <f t="shared" ca="1" si="0"/>
        <v/>
      </c>
      <c r="D20" s="807" t="str">
        <f ca="1">IF(ROWS($1:7)&gt;COUNT(Dong13),"",OFFSET(TH!D$1,SMALL(Dong13,ROWS($1:7)),))</f>
        <v/>
      </c>
      <c r="E20" s="808" t="str">
        <f t="shared" ca="1" si="1"/>
        <v/>
      </c>
      <c r="F20" s="808" t="str">
        <f t="shared" ca="1" si="2"/>
        <v/>
      </c>
      <c r="G20" s="809" t="str">
        <f ca="1">IF(ROWS($1:7)&gt;COUNT(Dong13),"",OFFSET(TH!F$1,SMALL(Dong13,ROWS($1:7)),))</f>
        <v/>
      </c>
      <c r="H20" s="810" t="str">
        <f ca="1">IF(ROWS($1:7)&gt;COUNT(Dong13),"",OFFSET(TH!I$1,SMALL(Dong13,ROWS($1:7)),))</f>
        <v/>
      </c>
      <c r="I20" s="810" t="str">
        <f ca="1">IF(ROWS($1:7)&gt;COUNT(Dong13),"",OFFSET(TH!J$1,SMALL(Dong13,ROWS($1:7)),))</f>
        <v/>
      </c>
      <c r="J20" s="811">
        <f t="shared" ca="1" si="3"/>
        <v>0</v>
      </c>
      <c r="K20" s="814"/>
      <c r="L20" s="812"/>
      <c r="M20" s="790"/>
      <c r="N20" s="790"/>
      <c r="O20" s="790"/>
      <c r="P20" s="790"/>
      <c r="Q20" s="790"/>
      <c r="R20" s="790"/>
      <c r="S20" s="790"/>
      <c r="T20" s="790"/>
      <c r="U20" s="790"/>
      <c r="V20" s="790"/>
      <c r="W20" s="790"/>
      <c r="X20" s="790"/>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c r="BC20" s="790"/>
      <c r="BD20" s="790"/>
      <c r="BE20" s="790"/>
      <c r="BF20" s="790"/>
      <c r="BG20" s="790"/>
      <c r="BH20" s="790"/>
      <c r="BI20" s="790"/>
      <c r="BJ20" s="790"/>
      <c r="BK20" s="790"/>
      <c r="BL20" s="790"/>
      <c r="BM20" s="790"/>
      <c r="BN20" s="790"/>
      <c r="BO20" s="790"/>
      <c r="BP20" s="790"/>
      <c r="BQ20" s="790"/>
      <c r="BR20" s="790"/>
      <c r="BS20" s="790"/>
      <c r="BT20" s="790"/>
      <c r="BU20" s="790"/>
      <c r="BV20" s="790"/>
      <c r="BW20" s="790"/>
      <c r="BX20" s="790"/>
      <c r="BY20" s="790"/>
      <c r="BZ20" s="790"/>
      <c r="CA20" s="790"/>
      <c r="CB20" s="790"/>
      <c r="CC20" s="790"/>
      <c r="CD20" s="790"/>
      <c r="CE20" s="790"/>
      <c r="CF20" s="790"/>
      <c r="CG20" s="790"/>
    </row>
    <row r="21" spans="1:85" s="813" customFormat="1" ht="21.75" customHeight="1">
      <c r="A21" s="254" t="str">
        <f ca="1">IF(ROWS($1:8)&gt;COUNT(Dong13),"",OFFSET(TH!E$1,SMALL(Dong13,ROWS($1:8)),))</f>
        <v/>
      </c>
      <c r="B21" s="264" t="str">
        <f ca="1">IF(ROWS($1:8)&gt;COUNT(Dong13),"",OFFSET(TH!H$1,SMALL(Dong13,ROWS($1:8)),))</f>
        <v/>
      </c>
      <c r="C21" s="807" t="str">
        <f t="shared" ca="1" si="0"/>
        <v/>
      </c>
      <c r="D21" s="807" t="str">
        <f ca="1">IF(ROWS($1:8)&gt;COUNT(Dong13),"",OFFSET(TH!D$1,SMALL(Dong13,ROWS($1:8)),))</f>
        <v/>
      </c>
      <c r="E21" s="808" t="str">
        <f t="shared" ca="1" si="1"/>
        <v/>
      </c>
      <c r="F21" s="808" t="str">
        <f t="shared" ca="1" si="2"/>
        <v/>
      </c>
      <c r="G21" s="809" t="str">
        <f ca="1">IF(ROWS($1:8)&gt;COUNT(Dong13),"",OFFSET(TH!F$1,SMALL(Dong13,ROWS($1:8)),))</f>
        <v/>
      </c>
      <c r="H21" s="810" t="str">
        <f ca="1">IF(ROWS($1:8)&gt;COUNT(Dong13),"",OFFSET(TH!I$1,SMALL(Dong13,ROWS($1:8)),))</f>
        <v/>
      </c>
      <c r="I21" s="810" t="str">
        <f ca="1">IF(ROWS($1:8)&gt;COUNT(Dong13),"",OFFSET(TH!J$1,SMALL(Dong13,ROWS($1:8)),))</f>
        <v/>
      </c>
      <c r="J21" s="811">
        <f t="shared" ca="1" si="3"/>
        <v>0</v>
      </c>
      <c r="K21" s="814"/>
      <c r="L21" s="812"/>
      <c r="M21" s="790"/>
      <c r="N21" s="790"/>
      <c r="O21" s="790"/>
      <c r="P21" s="790"/>
      <c r="Q21" s="790"/>
      <c r="R21" s="790"/>
      <c r="S21" s="790"/>
      <c r="T21" s="790"/>
      <c r="U21" s="790"/>
      <c r="V21" s="790"/>
      <c r="W21" s="790"/>
      <c r="X21" s="790"/>
      <c r="Y21" s="790"/>
      <c r="Z21" s="790"/>
      <c r="AA21" s="790"/>
      <c r="AB21" s="790"/>
      <c r="AC21" s="790"/>
      <c r="AD21" s="790"/>
      <c r="AE21" s="790"/>
      <c r="AF21" s="790"/>
      <c r="AG21" s="790"/>
      <c r="AH21" s="790"/>
      <c r="AI21" s="790"/>
      <c r="AJ21" s="790"/>
      <c r="AK21" s="790"/>
      <c r="AL21" s="790"/>
      <c r="AM21" s="790"/>
      <c r="AN21" s="790"/>
      <c r="AO21" s="790"/>
      <c r="AP21" s="790"/>
      <c r="AQ21" s="790"/>
      <c r="AR21" s="790"/>
      <c r="AS21" s="790"/>
      <c r="AT21" s="790"/>
      <c r="AU21" s="790"/>
      <c r="AV21" s="790"/>
      <c r="AW21" s="790"/>
      <c r="AX21" s="790"/>
      <c r="AY21" s="790"/>
      <c r="AZ21" s="790"/>
      <c r="BA21" s="790"/>
      <c r="BB21" s="790"/>
      <c r="BC21" s="790"/>
      <c r="BD21" s="790"/>
      <c r="BE21" s="790"/>
      <c r="BF21" s="790"/>
      <c r="BG21" s="790"/>
      <c r="BH21" s="790"/>
      <c r="BI21" s="790"/>
      <c r="BJ21" s="790"/>
      <c r="BK21" s="790"/>
      <c r="BL21" s="790"/>
      <c r="BM21" s="790"/>
      <c r="BN21" s="790"/>
      <c r="BO21" s="790"/>
      <c r="BP21" s="790"/>
      <c r="BQ21" s="790"/>
      <c r="BR21" s="790"/>
      <c r="BS21" s="790"/>
      <c r="BT21" s="790"/>
      <c r="BU21" s="790"/>
      <c r="BV21" s="790"/>
      <c r="BW21" s="790"/>
      <c r="BX21" s="790"/>
      <c r="BY21" s="790"/>
      <c r="BZ21" s="790"/>
      <c r="CA21" s="790"/>
      <c r="CB21" s="790"/>
      <c r="CC21" s="790"/>
      <c r="CD21" s="790"/>
      <c r="CE21" s="790"/>
      <c r="CF21" s="790"/>
      <c r="CG21" s="790"/>
    </row>
    <row r="22" spans="1:85" s="813" customFormat="1" ht="21.75" customHeight="1">
      <c r="A22" s="254" t="str">
        <f ca="1">IF(ROWS($1:9)&gt;COUNT(Dong13),"",OFFSET(TH!E$1,SMALL(Dong13,ROWS($1:9)),))</f>
        <v/>
      </c>
      <c r="B22" s="264" t="str">
        <f ca="1">IF(ROWS($1:9)&gt;COUNT(Dong13),"",OFFSET(TH!H$1,SMALL(Dong13,ROWS($1:9)),))</f>
        <v/>
      </c>
      <c r="C22" s="807" t="str">
        <f t="shared" ca="1" si="0"/>
        <v/>
      </c>
      <c r="D22" s="807" t="str">
        <f ca="1">IF(ROWS($1:9)&gt;COUNT(Dong13),"",OFFSET(TH!D$1,SMALL(Dong13,ROWS($1:9)),))</f>
        <v/>
      </c>
      <c r="E22" s="808" t="str">
        <f t="shared" ca="1" si="1"/>
        <v/>
      </c>
      <c r="F22" s="808" t="str">
        <f t="shared" ca="1" si="2"/>
        <v/>
      </c>
      <c r="G22" s="809" t="str">
        <f ca="1">IF(ROWS($1:9)&gt;COUNT(Dong13),"",OFFSET(TH!F$1,SMALL(Dong13,ROWS($1:9)),))</f>
        <v/>
      </c>
      <c r="H22" s="810" t="str">
        <f ca="1">IF(ROWS($1:9)&gt;COUNT(Dong13),"",OFFSET(TH!I$1,SMALL(Dong13,ROWS($1:9)),))</f>
        <v/>
      </c>
      <c r="I22" s="810" t="str">
        <f ca="1">IF(ROWS($1:9)&gt;COUNT(Dong13),"",OFFSET(TH!J$1,SMALL(Dong13,ROWS($1:9)),))</f>
        <v/>
      </c>
      <c r="J22" s="811">
        <f t="shared" ca="1" si="3"/>
        <v>0</v>
      </c>
      <c r="K22" s="814"/>
      <c r="L22" s="812"/>
      <c r="M22" s="790"/>
      <c r="N22" s="790"/>
      <c r="O22" s="790"/>
      <c r="P22" s="790"/>
      <c r="Q22" s="790"/>
      <c r="R22" s="790"/>
      <c r="S22" s="790"/>
      <c r="T22" s="790"/>
      <c r="U22" s="790"/>
      <c r="V22" s="790"/>
      <c r="W22" s="790"/>
      <c r="X22" s="790"/>
      <c r="Y22" s="790"/>
      <c r="Z22" s="790"/>
      <c r="AA22" s="790"/>
      <c r="AB22" s="790"/>
      <c r="AC22" s="790"/>
      <c r="AD22" s="790"/>
      <c r="AE22" s="790"/>
      <c r="AF22" s="790"/>
      <c r="AG22" s="790"/>
      <c r="AH22" s="790"/>
      <c r="AI22" s="790"/>
      <c r="AJ22" s="790"/>
      <c r="AK22" s="790"/>
      <c r="AL22" s="790"/>
      <c r="AM22" s="790"/>
      <c r="AN22" s="790"/>
      <c r="AO22" s="790"/>
      <c r="AP22" s="790"/>
      <c r="AQ22" s="790"/>
      <c r="AR22" s="790"/>
      <c r="AS22" s="790"/>
      <c r="AT22" s="790"/>
      <c r="AU22" s="790"/>
      <c r="AV22" s="790"/>
      <c r="AW22" s="790"/>
      <c r="AX22" s="790"/>
      <c r="AY22" s="790"/>
      <c r="AZ22" s="790"/>
      <c r="BA22" s="790"/>
      <c r="BB22" s="790"/>
      <c r="BC22" s="790"/>
      <c r="BD22" s="790"/>
      <c r="BE22" s="790"/>
      <c r="BF22" s="790"/>
      <c r="BG22" s="790"/>
      <c r="BH22" s="790"/>
      <c r="BI22" s="790"/>
      <c r="BJ22" s="790"/>
      <c r="BK22" s="790"/>
      <c r="BL22" s="790"/>
      <c r="BM22" s="790"/>
      <c r="BN22" s="790"/>
      <c r="BO22" s="790"/>
      <c r="BP22" s="790"/>
      <c r="BQ22" s="790"/>
      <c r="BR22" s="790"/>
      <c r="BS22" s="790"/>
      <c r="BT22" s="790"/>
      <c r="BU22" s="790"/>
      <c r="BV22" s="790"/>
      <c r="BW22" s="790"/>
      <c r="BX22" s="790"/>
      <c r="BY22" s="790"/>
      <c r="BZ22" s="790"/>
      <c r="CA22" s="790"/>
      <c r="CB22" s="790"/>
      <c r="CC22" s="790"/>
      <c r="CD22" s="790"/>
      <c r="CE22" s="790"/>
      <c r="CF22" s="790"/>
      <c r="CG22" s="790"/>
    </row>
    <row r="23" spans="1:85" s="813" customFormat="1" ht="21.75" customHeight="1">
      <c r="A23" s="254" t="str">
        <f ca="1">IF(ROWS($1:10)&gt;COUNT(Dong13),"",OFFSET(TH!E$1,SMALL(Dong13,ROWS($1:10)),))</f>
        <v/>
      </c>
      <c r="B23" s="264" t="str">
        <f ca="1">IF(ROWS($1:10)&gt;COUNT(Dong13),"",OFFSET(TH!H$1,SMALL(Dong13,ROWS($1:10)),))</f>
        <v/>
      </c>
      <c r="C23" s="807" t="str">
        <f t="shared" ca="1" si="0"/>
        <v/>
      </c>
      <c r="D23" s="807" t="str">
        <f ca="1">IF(ROWS($1:10)&gt;COUNT(Dong13),"",OFFSET(TH!D$1,SMALL(Dong13,ROWS($1:10)),))</f>
        <v/>
      </c>
      <c r="E23" s="808" t="str">
        <f t="shared" ca="1" si="1"/>
        <v/>
      </c>
      <c r="F23" s="808" t="str">
        <f t="shared" ca="1" si="2"/>
        <v/>
      </c>
      <c r="G23" s="809" t="str">
        <f ca="1">IF(ROWS($1:10)&gt;COUNT(Dong13),"",OFFSET(TH!F$1,SMALL(Dong13,ROWS($1:10)),))</f>
        <v/>
      </c>
      <c r="H23" s="810" t="str">
        <f ca="1">IF(ROWS($1:10)&gt;COUNT(Dong13),"",OFFSET(TH!I$1,SMALL(Dong13,ROWS($1:10)),))</f>
        <v/>
      </c>
      <c r="I23" s="810" t="str">
        <f ca="1">IF(ROWS($1:10)&gt;COUNT(Dong13),"",OFFSET(TH!J$1,SMALL(Dong13,ROWS($1:10)),))</f>
        <v/>
      </c>
      <c r="J23" s="811">
        <f t="shared" ca="1" si="3"/>
        <v>0</v>
      </c>
      <c r="K23" s="814"/>
      <c r="L23" s="812"/>
      <c r="M23" s="790"/>
      <c r="N23" s="790"/>
      <c r="O23" s="790"/>
      <c r="P23" s="790"/>
      <c r="Q23" s="790"/>
      <c r="R23" s="790"/>
      <c r="S23" s="790"/>
      <c r="T23" s="790"/>
      <c r="U23" s="790"/>
      <c r="V23" s="790"/>
      <c r="W23" s="790"/>
      <c r="X23" s="790"/>
      <c r="Y23" s="790"/>
      <c r="Z23" s="790"/>
      <c r="AA23" s="790"/>
      <c r="AB23" s="790"/>
      <c r="AC23" s="790"/>
      <c r="AD23" s="790"/>
      <c r="AE23" s="790"/>
      <c r="AF23" s="790"/>
      <c r="AG23" s="790"/>
      <c r="AH23" s="790"/>
      <c r="AI23" s="790"/>
      <c r="AJ23" s="790"/>
      <c r="AK23" s="790"/>
      <c r="AL23" s="790"/>
      <c r="AM23" s="790"/>
      <c r="AN23" s="790"/>
      <c r="AO23" s="790"/>
      <c r="AP23" s="790"/>
      <c r="AQ23" s="790"/>
      <c r="AR23" s="790"/>
      <c r="AS23" s="790"/>
      <c r="AT23" s="790"/>
      <c r="AU23" s="790"/>
      <c r="AV23" s="790"/>
      <c r="AW23" s="790"/>
      <c r="AX23" s="790"/>
      <c r="AY23" s="790"/>
      <c r="AZ23" s="790"/>
      <c r="BA23" s="790"/>
      <c r="BB23" s="790"/>
      <c r="BC23" s="790"/>
      <c r="BD23" s="790"/>
      <c r="BE23" s="790"/>
      <c r="BF23" s="790"/>
      <c r="BG23" s="790"/>
      <c r="BH23" s="790"/>
      <c r="BI23" s="790"/>
      <c r="BJ23" s="790"/>
      <c r="BK23" s="790"/>
      <c r="BL23" s="790"/>
      <c r="BM23" s="790"/>
      <c r="BN23" s="790"/>
      <c r="BO23" s="790"/>
      <c r="BP23" s="790"/>
      <c r="BQ23" s="790"/>
      <c r="BR23" s="790"/>
      <c r="BS23" s="790"/>
      <c r="BT23" s="790"/>
      <c r="BU23" s="790"/>
      <c r="BV23" s="790"/>
      <c r="BW23" s="790"/>
      <c r="BX23" s="790"/>
      <c r="BY23" s="790"/>
      <c r="BZ23" s="790"/>
      <c r="CA23" s="790"/>
      <c r="CB23" s="790"/>
      <c r="CC23" s="790"/>
      <c r="CD23" s="790"/>
      <c r="CE23" s="790"/>
      <c r="CF23" s="790"/>
      <c r="CG23" s="790"/>
    </row>
    <row r="24" spans="1:85" s="813" customFormat="1" ht="21.75" customHeight="1">
      <c r="A24" s="254" t="str">
        <f ca="1">IF(ROWS($1:11)&gt;COUNT(Dong13),"",OFFSET(TH!E$1,SMALL(Dong13,ROWS($1:11)),))</f>
        <v/>
      </c>
      <c r="B24" s="264" t="str">
        <f ca="1">IF(ROWS($1:11)&gt;COUNT(Dong13),"",OFFSET(TH!H$1,SMALL(Dong13,ROWS($1:11)),))</f>
        <v/>
      </c>
      <c r="C24" s="807" t="str">
        <f t="shared" ca="1" si="0"/>
        <v/>
      </c>
      <c r="D24" s="807" t="str">
        <f ca="1">IF(ROWS($1:11)&gt;COUNT(Dong13),"",OFFSET(TH!D$1,SMALL(Dong13,ROWS($1:11)),))</f>
        <v/>
      </c>
      <c r="E24" s="808" t="str">
        <f t="shared" ca="1" si="1"/>
        <v/>
      </c>
      <c r="F24" s="808" t="str">
        <f t="shared" ca="1" si="2"/>
        <v/>
      </c>
      <c r="G24" s="809" t="str">
        <f ca="1">IF(ROWS($1:11)&gt;COUNT(Dong13),"",OFFSET(TH!F$1,SMALL(Dong13,ROWS($1:11)),))</f>
        <v/>
      </c>
      <c r="H24" s="810" t="str">
        <f ca="1">IF(ROWS($1:11)&gt;COUNT(Dong13),"",OFFSET(TH!I$1,SMALL(Dong13,ROWS($1:11)),))</f>
        <v/>
      </c>
      <c r="I24" s="810" t="str">
        <f ca="1">IF(ROWS($1:11)&gt;COUNT(Dong13),"",OFFSET(TH!J$1,SMALL(Dong13,ROWS($1:11)),))</f>
        <v/>
      </c>
      <c r="J24" s="811">
        <f t="shared" ca="1" si="3"/>
        <v>0</v>
      </c>
      <c r="K24" s="814"/>
      <c r="L24" s="812"/>
      <c r="M24" s="790"/>
      <c r="N24" s="790"/>
      <c r="O24" s="790"/>
      <c r="P24" s="790"/>
      <c r="Q24" s="790"/>
      <c r="R24" s="790"/>
      <c r="S24" s="790"/>
      <c r="T24" s="790"/>
      <c r="U24" s="790"/>
      <c r="V24" s="790"/>
      <c r="W24" s="790"/>
      <c r="X24" s="790"/>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c r="BC24" s="790"/>
      <c r="BD24" s="790"/>
      <c r="BE24" s="790"/>
      <c r="BF24" s="790"/>
      <c r="BG24" s="790"/>
      <c r="BH24" s="790"/>
      <c r="BI24" s="790"/>
      <c r="BJ24" s="790"/>
      <c r="BK24" s="790"/>
      <c r="BL24" s="790"/>
      <c r="BM24" s="790"/>
      <c r="BN24" s="790"/>
      <c r="BO24" s="790"/>
      <c r="BP24" s="790"/>
      <c r="BQ24" s="790"/>
      <c r="BR24" s="790"/>
      <c r="BS24" s="790"/>
      <c r="BT24" s="790"/>
      <c r="BU24" s="790"/>
      <c r="BV24" s="790"/>
      <c r="BW24" s="790"/>
      <c r="BX24" s="790"/>
      <c r="BY24" s="790"/>
      <c r="BZ24" s="790"/>
      <c r="CA24" s="790"/>
      <c r="CB24" s="790"/>
      <c r="CC24" s="790"/>
      <c r="CD24" s="790"/>
      <c r="CE24" s="790"/>
      <c r="CF24" s="790"/>
      <c r="CG24" s="790"/>
    </row>
    <row r="25" spans="1:85" s="813" customFormat="1" ht="21.75" customHeight="1">
      <c r="A25" s="254" t="str">
        <f ca="1">IF(ROWS($1:12)&gt;COUNT(Dong13),"",OFFSET(TH!E$1,SMALL(Dong13,ROWS($1:12)),))</f>
        <v/>
      </c>
      <c r="B25" s="264" t="str">
        <f ca="1">IF(ROWS($1:12)&gt;COUNT(Dong13),"",OFFSET(TH!H$1,SMALL(Dong13,ROWS($1:12)),))</f>
        <v/>
      </c>
      <c r="C25" s="807" t="str">
        <f t="shared" ca="1" si="0"/>
        <v/>
      </c>
      <c r="D25" s="807" t="str">
        <f ca="1">IF(ROWS($1:12)&gt;COUNT(Dong13),"",OFFSET(TH!D$1,SMALL(Dong13,ROWS($1:12)),))</f>
        <v/>
      </c>
      <c r="E25" s="808" t="str">
        <f t="shared" ca="1" si="1"/>
        <v/>
      </c>
      <c r="F25" s="808" t="str">
        <f t="shared" ca="1" si="2"/>
        <v/>
      </c>
      <c r="G25" s="809" t="str">
        <f ca="1">IF(ROWS($1:12)&gt;COUNT(Dong13),"",OFFSET(TH!F$1,SMALL(Dong13,ROWS($1:12)),))</f>
        <v/>
      </c>
      <c r="H25" s="810" t="str">
        <f ca="1">IF(ROWS($1:12)&gt;COUNT(Dong13),"",OFFSET(TH!I$1,SMALL(Dong13,ROWS($1:12)),))</f>
        <v/>
      </c>
      <c r="I25" s="810" t="str">
        <f ca="1">IF(ROWS($1:12)&gt;COUNT(Dong13),"",OFFSET(TH!J$1,SMALL(Dong13,ROWS($1:12)),))</f>
        <v/>
      </c>
      <c r="J25" s="811">
        <f t="shared" ca="1" si="3"/>
        <v>0</v>
      </c>
      <c r="K25" s="814"/>
      <c r="L25" s="812"/>
      <c r="M25" s="790"/>
      <c r="N25" s="790"/>
      <c r="O25" s="790"/>
      <c r="P25" s="790"/>
      <c r="Q25" s="790"/>
      <c r="R25" s="790"/>
      <c r="S25" s="790"/>
      <c r="T25" s="790"/>
      <c r="U25" s="790"/>
      <c r="V25" s="790"/>
      <c r="W25" s="790"/>
      <c r="X25" s="790"/>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c r="BC25" s="790"/>
      <c r="BD25" s="790"/>
      <c r="BE25" s="790"/>
      <c r="BF25" s="790"/>
      <c r="BG25" s="790"/>
      <c r="BH25" s="790"/>
      <c r="BI25" s="790"/>
      <c r="BJ25" s="790"/>
      <c r="BK25" s="790"/>
      <c r="BL25" s="790"/>
      <c r="BM25" s="790"/>
      <c r="BN25" s="790"/>
      <c r="BO25" s="790"/>
      <c r="BP25" s="790"/>
      <c r="BQ25" s="790"/>
      <c r="BR25" s="790"/>
      <c r="BS25" s="790"/>
      <c r="BT25" s="790"/>
      <c r="BU25" s="790"/>
      <c r="BV25" s="790"/>
      <c r="BW25" s="790"/>
      <c r="BX25" s="790"/>
      <c r="BY25" s="790"/>
      <c r="BZ25" s="790"/>
      <c r="CA25" s="790"/>
      <c r="CB25" s="790"/>
      <c r="CC25" s="790"/>
      <c r="CD25" s="790"/>
      <c r="CE25" s="790"/>
      <c r="CF25" s="790"/>
      <c r="CG25" s="790"/>
    </row>
    <row r="26" spans="1:85" s="813" customFormat="1" ht="21.75" customHeight="1">
      <c r="A26" s="254" t="str">
        <f ca="1">IF(ROWS($1:13)&gt;COUNT(Dong13),"",OFFSET(TH!E$1,SMALL(Dong13,ROWS($1:13)),))</f>
        <v/>
      </c>
      <c r="B26" s="264" t="str">
        <f ca="1">IF(ROWS($1:13)&gt;COUNT(Dong13),"",OFFSET(TH!H$1,SMALL(Dong13,ROWS($1:13)),))</f>
        <v/>
      </c>
      <c r="C26" s="807" t="str">
        <f t="shared" ca="1" si="0"/>
        <v/>
      </c>
      <c r="D26" s="807" t="str">
        <f ca="1">IF(ROWS($1:13)&gt;COUNT(Dong13),"",OFFSET(TH!D$1,SMALL(Dong13,ROWS($1:13)),))</f>
        <v/>
      </c>
      <c r="E26" s="808" t="str">
        <f t="shared" ca="1" si="1"/>
        <v/>
      </c>
      <c r="F26" s="808" t="str">
        <f t="shared" ca="1" si="2"/>
        <v/>
      </c>
      <c r="G26" s="809" t="str">
        <f ca="1">IF(ROWS($1:13)&gt;COUNT(Dong13),"",OFFSET(TH!F$1,SMALL(Dong13,ROWS($1:13)),))</f>
        <v/>
      </c>
      <c r="H26" s="810" t="str">
        <f ca="1">IF(ROWS($1:13)&gt;COUNT(Dong13),"",OFFSET(TH!I$1,SMALL(Dong13,ROWS($1:13)),))</f>
        <v/>
      </c>
      <c r="I26" s="810" t="str">
        <f ca="1">IF(ROWS($1:13)&gt;COUNT(Dong13),"",OFFSET(TH!J$1,SMALL(Dong13,ROWS($1:13)),))</f>
        <v/>
      </c>
      <c r="J26" s="811">
        <f t="shared" ca="1" si="3"/>
        <v>0</v>
      </c>
      <c r="K26" s="814"/>
      <c r="L26" s="812"/>
      <c r="M26" s="790"/>
      <c r="N26" s="790"/>
      <c r="O26" s="790"/>
      <c r="P26" s="790"/>
      <c r="Q26" s="790"/>
      <c r="R26" s="790"/>
      <c r="S26" s="790"/>
      <c r="T26" s="790"/>
      <c r="U26" s="790"/>
      <c r="V26" s="790"/>
      <c r="W26" s="790"/>
      <c r="X26" s="790"/>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c r="BC26" s="790"/>
      <c r="BD26" s="790"/>
      <c r="BE26" s="790"/>
      <c r="BF26" s="790"/>
      <c r="BG26" s="790"/>
      <c r="BH26" s="790"/>
      <c r="BI26" s="790"/>
      <c r="BJ26" s="790"/>
      <c r="BK26" s="790"/>
      <c r="BL26" s="790"/>
      <c r="BM26" s="790"/>
      <c r="BN26" s="790"/>
      <c r="BO26" s="790"/>
      <c r="BP26" s="790"/>
      <c r="BQ26" s="790"/>
      <c r="BR26" s="790"/>
      <c r="BS26" s="790"/>
      <c r="BT26" s="790"/>
      <c r="BU26" s="790"/>
      <c r="BV26" s="790"/>
      <c r="BW26" s="790"/>
      <c r="BX26" s="790"/>
      <c r="BY26" s="790"/>
      <c r="BZ26" s="790"/>
      <c r="CA26" s="790"/>
      <c r="CB26" s="790"/>
      <c r="CC26" s="790"/>
      <c r="CD26" s="790"/>
      <c r="CE26" s="790"/>
      <c r="CF26" s="790"/>
      <c r="CG26" s="790"/>
    </row>
    <row r="27" spans="1:85" s="813" customFormat="1" ht="21.75" customHeight="1">
      <c r="A27" s="254" t="str">
        <f ca="1">IF(ROWS($1:14)&gt;COUNT(Dong13),"",OFFSET(TH!E$1,SMALL(Dong13,ROWS($1:14)),))</f>
        <v/>
      </c>
      <c r="B27" s="264" t="str">
        <f ca="1">IF(ROWS($1:14)&gt;COUNT(Dong13),"",OFFSET(TH!H$1,SMALL(Dong13,ROWS($1:14)),))</f>
        <v/>
      </c>
      <c r="C27" s="807" t="str">
        <f t="shared" ca="1" si="0"/>
        <v/>
      </c>
      <c r="D27" s="807" t="str">
        <f ca="1">IF(ROWS($1:14)&gt;COUNT(Dong13),"",OFFSET(TH!D$1,SMALL(Dong13,ROWS($1:14)),))</f>
        <v/>
      </c>
      <c r="E27" s="808" t="str">
        <f t="shared" ca="1" si="1"/>
        <v/>
      </c>
      <c r="F27" s="808" t="str">
        <f t="shared" ca="1" si="2"/>
        <v/>
      </c>
      <c r="G27" s="809" t="str">
        <f ca="1">IF(ROWS($1:14)&gt;COUNT(Dong13),"",OFFSET(TH!F$1,SMALL(Dong13,ROWS($1:14)),))</f>
        <v/>
      </c>
      <c r="H27" s="810" t="str">
        <f ca="1">IF(ROWS($1:14)&gt;COUNT(Dong13),"",OFFSET(TH!I$1,SMALL(Dong13,ROWS($1:14)),))</f>
        <v/>
      </c>
      <c r="I27" s="810" t="str">
        <f ca="1">IF(ROWS($1:14)&gt;COUNT(Dong13),"",OFFSET(TH!J$1,SMALL(Dong13,ROWS($1:14)),))</f>
        <v/>
      </c>
      <c r="J27" s="811">
        <f t="shared" ca="1" si="3"/>
        <v>0</v>
      </c>
      <c r="K27" s="814"/>
      <c r="L27" s="812"/>
      <c r="M27" s="790"/>
      <c r="N27" s="790"/>
      <c r="O27" s="790"/>
      <c r="P27" s="790"/>
      <c r="Q27" s="790"/>
      <c r="R27" s="790"/>
      <c r="S27" s="790"/>
      <c r="T27" s="790"/>
      <c r="U27" s="790"/>
      <c r="V27" s="790"/>
      <c r="W27" s="790"/>
      <c r="X27" s="790"/>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c r="BC27" s="790"/>
      <c r="BD27" s="790"/>
      <c r="BE27" s="790"/>
      <c r="BF27" s="790"/>
      <c r="BG27" s="790"/>
      <c r="BH27" s="790"/>
      <c r="BI27" s="790"/>
      <c r="BJ27" s="790"/>
      <c r="BK27" s="790"/>
      <c r="BL27" s="790"/>
      <c r="BM27" s="790"/>
      <c r="BN27" s="790"/>
      <c r="BO27" s="790"/>
      <c r="BP27" s="790"/>
      <c r="BQ27" s="790"/>
      <c r="BR27" s="790"/>
      <c r="BS27" s="790"/>
      <c r="BT27" s="790"/>
      <c r="BU27" s="790"/>
      <c r="BV27" s="790"/>
      <c r="BW27" s="790"/>
      <c r="BX27" s="790"/>
      <c r="BY27" s="790"/>
      <c r="BZ27" s="790"/>
      <c r="CA27" s="790"/>
      <c r="CB27" s="790"/>
      <c r="CC27" s="790"/>
      <c r="CD27" s="790"/>
      <c r="CE27" s="790"/>
      <c r="CF27" s="790"/>
      <c r="CG27" s="790"/>
    </row>
    <row r="28" spans="1:85" s="813" customFormat="1" ht="21.75" customHeight="1">
      <c r="A28" s="254" t="str">
        <f ca="1">IF(ROWS($1:15)&gt;COUNT(Dong13),"",OFFSET(TH!E$1,SMALL(Dong13,ROWS($1:15)),))</f>
        <v/>
      </c>
      <c r="B28" s="264" t="str">
        <f ca="1">IF(ROWS($1:15)&gt;COUNT(Dong13),"",OFFSET(TH!H$1,SMALL(Dong13,ROWS($1:15)),))</f>
        <v/>
      </c>
      <c r="C28" s="807" t="str">
        <f t="shared" ca="1" si="0"/>
        <v/>
      </c>
      <c r="D28" s="807" t="str">
        <f ca="1">IF(ROWS($1:15)&gt;COUNT(Dong13),"",OFFSET(TH!D$1,SMALL(Dong13,ROWS($1:15)),))</f>
        <v/>
      </c>
      <c r="E28" s="808" t="str">
        <f t="shared" ca="1" si="1"/>
        <v/>
      </c>
      <c r="F28" s="808" t="str">
        <f t="shared" ca="1" si="2"/>
        <v/>
      </c>
      <c r="G28" s="809" t="str">
        <f ca="1">IF(ROWS($1:15)&gt;COUNT(Dong13),"",OFFSET(TH!F$1,SMALL(Dong13,ROWS($1:15)),))</f>
        <v/>
      </c>
      <c r="H28" s="810" t="str">
        <f ca="1">IF(ROWS($1:15)&gt;COUNT(Dong13),"",OFFSET(TH!I$1,SMALL(Dong13,ROWS($1:15)),))</f>
        <v/>
      </c>
      <c r="I28" s="810" t="str">
        <f ca="1">IF(ROWS($1:15)&gt;COUNT(Dong13),"",OFFSET(TH!J$1,SMALL(Dong13,ROWS($1:15)),))</f>
        <v/>
      </c>
      <c r="J28" s="811">
        <f t="shared" ca="1" si="3"/>
        <v>0</v>
      </c>
      <c r="K28" s="814"/>
      <c r="L28" s="812"/>
      <c r="M28" s="790"/>
      <c r="N28" s="790"/>
      <c r="O28" s="790"/>
      <c r="P28" s="790"/>
      <c r="Q28" s="790"/>
      <c r="R28" s="790"/>
      <c r="S28" s="790"/>
      <c r="T28" s="790"/>
      <c r="U28" s="790"/>
      <c r="V28" s="790"/>
      <c r="W28" s="790"/>
      <c r="X28" s="790"/>
      <c r="Y28" s="790"/>
      <c r="Z28" s="790"/>
      <c r="AA28" s="790"/>
      <c r="AB28" s="790"/>
      <c r="AC28" s="790"/>
      <c r="AD28" s="790"/>
      <c r="AE28" s="790"/>
      <c r="AF28" s="790"/>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c r="BC28" s="790"/>
      <c r="BD28" s="790"/>
      <c r="BE28" s="790"/>
      <c r="BF28" s="790"/>
      <c r="BG28" s="790"/>
      <c r="BH28" s="790"/>
      <c r="BI28" s="790"/>
      <c r="BJ28" s="790"/>
      <c r="BK28" s="790"/>
      <c r="BL28" s="790"/>
      <c r="BM28" s="790"/>
      <c r="BN28" s="790"/>
      <c r="BO28" s="790"/>
      <c r="BP28" s="790"/>
      <c r="BQ28" s="790"/>
      <c r="BR28" s="790"/>
      <c r="BS28" s="790"/>
      <c r="BT28" s="790"/>
      <c r="BU28" s="790"/>
      <c r="BV28" s="790"/>
      <c r="BW28" s="790"/>
      <c r="BX28" s="790"/>
      <c r="BY28" s="790"/>
      <c r="BZ28" s="790"/>
      <c r="CA28" s="790"/>
      <c r="CB28" s="790"/>
      <c r="CC28" s="790"/>
      <c r="CD28" s="790"/>
      <c r="CE28" s="790"/>
      <c r="CF28" s="790"/>
      <c r="CG28" s="790"/>
    </row>
    <row r="29" spans="1:85" s="813" customFormat="1" ht="21.75" customHeight="1">
      <c r="A29" s="254" t="str">
        <f ca="1">IF(ROWS($1:16)&gt;COUNT(Dong13),"",OFFSET(TH!E$1,SMALL(Dong13,ROWS($1:16)),))</f>
        <v/>
      </c>
      <c r="B29" s="264" t="str">
        <f ca="1">IF(ROWS($1:16)&gt;COUNT(Dong13),"",OFFSET(TH!H$1,SMALL(Dong13,ROWS($1:16)),))</f>
        <v/>
      </c>
      <c r="C29" s="807" t="str">
        <f t="shared" ca="1" si="0"/>
        <v/>
      </c>
      <c r="D29" s="807" t="str">
        <f ca="1">IF(ROWS($1:16)&gt;COUNT(Dong13),"",OFFSET(TH!D$1,SMALL(Dong13,ROWS($1:16)),))</f>
        <v/>
      </c>
      <c r="E29" s="808" t="str">
        <f t="shared" ca="1" si="1"/>
        <v/>
      </c>
      <c r="F29" s="808" t="str">
        <f t="shared" ca="1" si="2"/>
        <v/>
      </c>
      <c r="G29" s="809" t="str">
        <f ca="1">IF(ROWS($1:16)&gt;COUNT(Dong13),"",OFFSET(TH!F$1,SMALL(Dong13,ROWS($1:16)),))</f>
        <v/>
      </c>
      <c r="H29" s="810" t="str">
        <f ca="1">IF(ROWS($1:16)&gt;COUNT(Dong13),"",OFFSET(TH!I$1,SMALL(Dong13,ROWS($1:16)),))</f>
        <v/>
      </c>
      <c r="I29" s="810" t="str">
        <f ca="1">IF(ROWS($1:16)&gt;COUNT(Dong13),"",OFFSET(TH!J$1,SMALL(Dong13,ROWS($1:16)),))</f>
        <v/>
      </c>
      <c r="J29" s="811">
        <f t="shared" ca="1" si="3"/>
        <v>0</v>
      </c>
      <c r="K29" s="814"/>
      <c r="L29" s="812"/>
      <c r="M29" s="790"/>
      <c r="N29" s="790"/>
      <c r="O29" s="790"/>
      <c r="P29" s="790"/>
      <c r="Q29" s="790"/>
      <c r="R29" s="790"/>
      <c r="S29" s="790"/>
      <c r="T29" s="790"/>
      <c r="U29" s="790"/>
      <c r="V29" s="790"/>
      <c r="W29" s="790"/>
      <c r="X29" s="790"/>
      <c r="Y29" s="790"/>
      <c r="Z29" s="790"/>
      <c r="AA29" s="790"/>
      <c r="AB29" s="790"/>
      <c r="AC29" s="790"/>
      <c r="AD29" s="790"/>
      <c r="AE29" s="790"/>
      <c r="AF29" s="790"/>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c r="BC29" s="790"/>
      <c r="BD29" s="790"/>
      <c r="BE29" s="790"/>
      <c r="BF29" s="790"/>
      <c r="BG29" s="790"/>
      <c r="BH29" s="790"/>
      <c r="BI29" s="790"/>
      <c r="BJ29" s="790"/>
      <c r="BK29" s="790"/>
      <c r="BL29" s="790"/>
      <c r="BM29" s="790"/>
      <c r="BN29" s="790"/>
      <c r="BO29" s="790"/>
      <c r="BP29" s="790"/>
      <c r="BQ29" s="790"/>
      <c r="BR29" s="790"/>
      <c r="BS29" s="790"/>
      <c r="BT29" s="790"/>
      <c r="BU29" s="790"/>
      <c r="BV29" s="790"/>
      <c r="BW29" s="790"/>
      <c r="BX29" s="790"/>
      <c r="BY29" s="790"/>
      <c r="BZ29" s="790"/>
      <c r="CA29" s="790"/>
      <c r="CB29" s="790"/>
      <c r="CC29" s="790"/>
      <c r="CD29" s="790"/>
      <c r="CE29" s="790"/>
      <c r="CF29" s="790"/>
      <c r="CG29" s="790"/>
    </row>
    <row r="30" spans="1:85" s="813" customFormat="1" ht="21.75" customHeight="1">
      <c r="A30" s="254" t="str">
        <f ca="1">IF(ROWS($1:17)&gt;COUNT(Dong13),"",OFFSET(TH!E$1,SMALL(Dong13,ROWS($1:17)),))</f>
        <v/>
      </c>
      <c r="B30" s="264" t="str">
        <f ca="1">IF(ROWS($1:17)&gt;COUNT(Dong13),"",OFFSET(TH!H$1,SMALL(Dong13,ROWS($1:17)),))</f>
        <v/>
      </c>
      <c r="C30" s="807" t="str">
        <f t="shared" ca="1" si="0"/>
        <v/>
      </c>
      <c r="D30" s="807" t="str">
        <f ca="1">IF(ROWS($1:17)&gt;COUNT(Dong13),"",OFFSET(TH!D$1,SMALL(Dong13,ROWS($1:17)),))</f>
        <v/>
      </c>
      <c r="E30" s="808" t="str">
        <f t="shared" ca="1" si="1"/>
        <v/>
      </c>
      <c r="F30" s="808" t="str">
        <f t="shared" ca="1" si="2"/>
        <v/>
      </c>
      <c r="G30" s="809" t="str">
        <f ca="1">IF(ROWS($1:17)&gt;COUNT(Dong13),"",OFFSET(TH!F$1,SMALL(Dong13,ROWS($1:17)),))</f>
        <v/>
      </c>
      <c r="H30" s="810" t="str">
        <f ca="1">IF(ROWS($1:17)&gt;COUNT(Dong13),"",OFFSET(TH!I$1,SMALL(Dong13,ROWS($1:17)),))</f>
        <v/>
      </c>
      <c r="I30" s="810" t="str">
        <f ca="1">IF(ROWS($1:17)&gt;COUNT(Dong13),"",OFFSET(TH!J$1,SMALL(Dong13,ROWS($1:17)),))</f>
        <v/>
      </c>
      <c r="J30" s="811">
        <f t="shared" ca="1" si="3"/>
        <v>0</v>
      </c>
      <c r="K30" s="814"/>
      <c r="L30" s="812"/>
      <c r="M30" s="790"/>
      <c r="N30" s="790"/>
      <c r="O30" s="790"/>
      <c r="P30" s="790"/>
      <c r="Q30" s="790"/>
      <c r="R30" s="790"/>
      <c r="S30" s="790"/>
      <c r="T30" s="790"/>
      <c r="U30" s="790"/>
      <c r="V30" s="790"/>
      <c r="W30" s="790"/>
      <c r="X30" s="790"/>
      <c r="Y30" s="790"/>
      <c r="Z30" s="790"/>
      <c r="AA30" s="790"/>
      <c r="AB30" s="790"/>
      <c r="AC30" s="790"/>
      <c r="AD30" s="790"/>
      <c r="AE30" s="790"/>
      <c r="AF30" s="790"/>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c r="BC30" s="790"/>
      <c r="BD30" s="790"/>
      <c r="BE30" s="790"/>
      <c r="BF30" s="790"/>
      <c r="BG30" s="790"/>
      <c r="BH30" s="790"/>
      <c r="BI30" s="790"/>
      <c r="BJ30" s="790"/>
      <c r="BK30" s="790"/>
      <c r="BL30" s="790"/>
      <c r="BM30" s="790"/>
      <c r="BN30" s="790"/>
      <c r="BO30" s="790"/>
      <c r="BP30" s="790"/>
      <c r="BQ30" s="790"/>
      <c r="BR30" s="790"/>
      <c r="BS30" s="790"/>
      <c r="BT30" s="790"/>
      <c r="BU30" s="790"/>
      <c r="BV30" s="790"/>
      <c r="BW30" s="790"/>
      <c r="BX30" s="790"/>
      <c r="BY30" s="790"/>
      <c r="BZ30" s="790"/>
      <c r="CA30" s="790"/>
      <c r="CB30" s="790"/>
      <c r="CC30" s="790"/>
      <c r="CD30" s="790"/>
      <c r="CE30" s="790"/>
      <c r="CF30" s="790"/>
      <c r="CG30" s="790"/>
    </row>
    <row r="31" spans="1:85" s="813" customFormat="1" ht="21.75" customHeight="1">
      <c r="A31" s="254" t="str">
        <f ca="1">IF(ROWS($1:18)&gt;COUNT(Dong13),"",OFFSET(TH!E$1,SMALL(Dong13,ROWS($1:18)),))</f>
        <v/>
      </c>
      <c r="B31" s="264" t="str">
        <f ca="1">IF(ROWS($1:18)&gt;COUNT(Dong13),"",OFFSET(TH!H$1,SMALL(Dong13,ROWS($1:18)),))</f>
        <v/>
      </c>
      <c r="C31" s="807" t="str">
        <f t="shared" ca="1" si="0"/>
        <v/>
      </c>
      <c r="D31" s="807" t="str">
        <f ca="1">IF(ROWS($1:18)&gt;COUNT(Dong13),"",OFFSET(TH!D$1,SMALL(Dong13,ROWS($1:18)),))</f>
        <v/>
      </c>
      <c r="E31" s="808" t="str">
        <f t="shared" ca="1" si="1"/>
        <v/>
      </c>
      <c r="F31" s="808" t="str">
        <f t="shared" ca="1" si="2"/>
        <v/>
      </c>
      <c r="G31" s="809" t="str">
        <f ca="1">IF(ROWS($1:18)&gt;COUNT(Dong13),"",OFFSET(TH!F$1,SMALL(Dong13,ROWS($1:18)),))</f>
        <v/>
      </c>
      <c r="H31" s="810" t="str">
        <f ca="1">IF(ROWS($1:18)&gt;COUNT(Dong13),"",OFFSET(TH!I$1,SMALL(Dong13,ROWS($1:18)),))</f>
        <v/>
      </c>
      <c r="I31" s="810" t="str">
        <f ca="1">IF(ROWS($1:18)&gt;COUNT(Dong13),"",OFFSET(TH!J$1,SMALL(Dong13,ROWS($1:18)),))</f>
        <v/>
      </c>
      <c r="J31" s="811">
        <f t="shared" ca="1" si="3"/>
        <v>0</v>
      </c>
      <c r="K31" s="814"/>
      <c r="L31" s="812"/>
      <c r="M31" s="790"/>
      <c r="N31" s="790"/>
      <c r="O31" s="790"/>
      <c r="P31" s="790"/>
      <c r="Q31" s="790"/>
      <c r="R31" s="790"/>
      <c r="S31" s="790"/>
      <c r="T31" s="790"/>
      <c r="U31" s="790"/>
      <c r="V31" s="790"/>
      <c r="W31" s="790"/>
      <c r="X31" s="790"/>
      <c r="Y31" s="790"/>
      <c r="Z31" s="790"/>
      <c r="AA31" s="790"/>
      <c r="AB31" s="790"/>
      <c r="AC31" s="790"/>
      <c r="AD31" s="790"/>
      <c r="AE31" s="790"/>
      <c r="AF31" s="790"/>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c r="BC31" s="790"/>
      <c r="BD31" s="790"/>
      <c r="BE31" s="790"/>
      <c r="BF31" s="790"/>
      <c r="BG31" s="790"/>
      <c r="BH31" s="790"/>
      <c r="BI31" s="790"/>
      <c r="BJ31" s="790"/>
      <c r="BK31" s="790"/>
      <c r="BL31" s="790"/>
      <c r="BM31" s="790"/>
      <c r="BN31" s="790"/>
      <c r="BO31" s="790"/>
      <c r="BP31" s="790"/>
      <c r="BQ31" s="790"/>
      <c r="BR31" s="790"/>
      <c r="BS31" s="790"/>
      <c r="BT31" s="790"/>
      <c r="BU31" s="790"/>
      <c r="BV31" s="790"/>
      <c r="BW31" s="790"/>
      <c r="BX31" s="790"/>
      <c r="BY31" s="790"/>
      <c r="BZ31" s="790"/>
      <c r="CA31" s="790"/>
      <c r="CB31" s="790"/>
      <c r="CC31" s="790"/>
      <c r="CD31" s="790"/>
      <c r="CE31" s="790"/>
      <c r="CF31" s="790"/>
      <c r="CG31" s="790"/>
    </row>
    <row r="32" spans="1:85" s="813" customFormat="1" ht="21.75" customHeight="1">
      <c r="A32" s="254" t="str">
        <f ca="1">IF(ROWS($1:19)&gt;COUNT(Dong13),"",OFFSET(TH!E$1,SMALL(Dong13,ROWS($1:19)),))</f>
        <v/>
      </c>
      <c r="B32" s="264" t="str">
        <f ca="1">IF(ROWS($1:19)&gt;COUNT(Dong13),"",OFFSET(TH!H$1,SMALL(Dong13,ROWS($1:19)),))</f>
        <v/>
      </c>
      <c r="C32" s="807" t="str">
        <f t="shared" ca="1" si="0"/>
        <v/>
      </c>
      <c r="D32" s="807" t="str">
        <f ca="1">IF(ROWS($1:19)&gt;COUNT(Dong13),"",OFFSET(TH!D$1,SMALL(Dong13,ROWS($1:19)),))</f>
        <v/>
      </c>
      <c r="E32" s="808" t="str">
        <f t="shared" ca="1" si="1"/>
        <v/>
      </c>
      <c r="F32" s="808" t="str">
        <f t="shared" ca="1" si="2"/>
        <v/>
      </c>
      <c r="G32" s="809" t="str">
        <f ca="1">IF(ROWS($1:19)&gt;COUNT(Dong13),"",OFFSET(TH!F$1,SMALL(Dong13,ROWS($1:19)),))</f>
        <v/>
      </c>
      <c r="H32" s="810" t="str">
        <f ca="1">IF(ROWS($1:19)&gt;COUNT(Dong13),"",OFFSET(TH!I$1,SMALL(Dong13,ROWS($1:19)),))</f>
        <v/>
      </c>
      <c r="I32" s="810" t="str">
        <f ca="1">IF(ROWS($1:19)&gt;COUNT(Dong13),"",OFFSET(TH!J$1,SMALL(Dong13,ROWS($1:19)),))</f>
        <v/>
      </c>
      <c r="J32" s="811">
        <f t="shared" ca="1" si="3"/>
        <v>0</v>
      </c>
      <c r="K32" s="814"/>
      <c r="L32" s="812"/>
      <c r="M32" s="790"/>
      <c r="N32" s="790"/>
      <c r="O32" s="790"/>
      <c r="P32" s="790"/>
      <c r="Q32" s="790"/>
      <c r="R32" s="790"/>
      <c r="S32" s="790"/>
      <c r="T32" s="790"/>
      <c r="U32" s="790"/>
      <c r="V32" s="790"/>
      <c r="W32" s="790"/>
      <c r="X32" s="790"/>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c r="BC32" s="790"/>
      <c r="BD32" s="790"/>
      <c r="BE32" s="790"/>
      <c r="BF32" s="790"/>
      <c r="BG32" s="790"/>
      <c r="BH32" s="790"/>
      <c r="BI32" s="790"/>
      <c r="BJ32" s="790"/>
      <c r="BK32" s="790"/>
      <c r="BL32" s="790"/>
      <c r="BM32" s="790"/>
      <c r="BN32" s="790"/>
      <c r="BO32" s="790"/>
      <c r="BP32" s="790"/>
      <c r="BQ32" s="790"/>
      <c r="BR32" s="790"/>
      <c r="BS32" s="790"/>
      <c r="BT32" s="790"/>
      <c r="BU32" s="790"/>
      <c r="BV32" s="790"/>
      <c r="BW32" s="790"/>
      <c r="BX32" s="790"/>
      <c r="BY32" s="790"/>
      <c r="BZ32" s="790"/>
      <c r="CA32" s="790"/>
      <c r="CB32" s="790"/>
      <c r="CC32" s="790"/>
      <c r="CD32" s="790"/>
      <c r="CE32" s="790"/>
      <c r="CF32" s="790"/>
      <c r="CG32" s="790"/>
    </row>
    <row r="33" spans="1:85" s="813" customFormat="1" ht="21.75" customHeight="1">
      <c r="A33" s="254" t="str">
        <f ca="1">IF(ROWS($1:20)&gt;COUNT(Dong13),"",OFFSET(TH!E$1,SMALL(Dong13,ROWS($1:20)),))</f>
        <v/>
      </c>
      <c r="B33" s="264" t="str">
        <f ca="1">IF(ROWS($1:20)&gt;COUNT(Dong13),"",OFFSET(TH!H$1,SMALL(Dong13,ROWS($1:20)),))</f>
        <v/>
      </c>
      <c r="C33" s="807" t="str">
        <f t="shared" ca="1" si="0"/>
        <v/>
      </c>
      <c r="D33" s="807" t="str">
        <f ca="1">IF(ROWS($1:20)&gt;COUNT(Dong13),"",OFFSET(TH!D$1,SMALL(Dong13,ROWS($1:20)),))</f>
        <v/>
      </c>
      <c r="E33" s="808" t="str">
        <f t="shared" ca="1" si="1"/>
        <v/>
      </c>
      <c r="F33" s="808" t="str">
        <f t="shared" ca="1" si="2"/>
        <v/>
      </c>
      <c r="G33" s="809" t="str">
        <f ca="1">IF(ROWS($1:20)&gt;COUNT(Dong13),"",OFFSET(TH!F$1,SMALL(Dong13,ROWS($1:20)),))</f>
        <v/>
      </c>
      <c r="H33" s="810" t="str">
        <f ca="1">IF(ROWS($1:20)&gt;COUNT(Dong13),"",OFFSET(TH!I$1,SMALL(Dong13,ROWS($1:20)),))</f>
        <v/>
      </c>
      <c r="I33" s="810" t="str">
        <f ca="1">IF(ROWS($1:20)&gt;COUNT(Dong13),"",OFFSET(TH!J$1,SMALL(Dong13,ROWS($1:20)),))</f>
        <v/>
      </c>
      <c r="J33" s="811">
        <f t="shared" ca="1" si="3"/>
        <v>0</v>
      </c>
      <c r="K33" s="814"/>
      <c r="L33" s="812"/>
      <c r="M33" s="790"/>
      <c r="N33" s="790"/>
      <c r="O33" s="790"/>
      <c r="P33" s="790"/>
      <c r="Q33" s="790"/>
      <c r="R33" s="790"/>
      <c r="S33" s="790"/>
      <c r="T33" s="790"/>
      <c r="U33" s="790"/>
      <c r="V33" s="790"/>
      <c r="W33" s="790"/>
      <c r="X33" s="790"/>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c r="BC33" s="790"/>
      <c r="BD33" s="790"/>
      <c r="BE33" s="790"/>
      <c r="BF33" s="790"/>
      <c r="BG33" s="790"/>
      <c r="BH33" s="790"/>
      <c r="BI33" s="790"/>
      <c r="BJ33" s="790"/>
      <c r="BK33" s="790"/>
      <c r="BL33" s="790"/>
      <c r="BM33" s="790"/>
      <c r="BN33" s="790"/>
      <c r="BO33" s="790"/>
      <c r="BP33" s="790"/>
      <c r="BQ33" s="790"/>
      <c r="BR33" s="790"/>
      <c r="BS33" s="790"/>
      <c r="BT33" s="790"/>
      <c r="BU33" s="790"/>
      <c r="BV33" s="790"/>
      <c r="BW33" s="790"/>
      <c r="BX33" s="790"/>
      <c r="BY33" s="790"/>
      <c r="BZ33" s="790"/>
      <c r="CA33" s="790"/>
      <c r="CB33" s="790"/>
      <c r="CC33" s="790"/>
      <c r="CD33" s="790"/>
      <c r="CE33" s="790"/>
      <c r="CF33" s="790"/>
      <c r="CG33" s="790"/>
    </row>
    <row r="34" spans="1:85" s="813" customFormat="1" ht="21.75" customHeight="1">
      <c r="A34" s="254" t="str">
        <f ca="1">IF(ROWS($1:21)&gt;COUNT(Dong13),"",OFFSET(TH!E$1,SMALL(Dong13,ROWS($1:21)),))</f>
        <v/>
      </c>
      <c r="B34" s="264" t="str">
        <f ca="1">IF(ROWS($1:21)&gt;COUNT(Dong13),"",OFFSET(TH!H$1,SMALL(Dong13,ROWS($1:21)),))</f>
        <v/>
      </c>
      <c r="C34" s="807" t="str">
        <f t="shared" ca="1" si="0"/>
        <v/>
      </c>
      <c r="D34" s="807" t="str">
        <f ca="1">IF(ROWS($1:21)&gt;COUNT(Dong13),"",OFFSET(TH!D$1,SMALL(Dong13,ROWS($1:21)),))</f>
        <v/>
      </c>
      <c r="E34" s="808" t="str">
        <f t="shared" ca="1" si="1"/>
        <v/>
      </c>
      <c r="F34" s="808" t="str">
        <f t="shared" ca="1" si="2"/>
        <v/>
      </c>
      <c r="G34" s="809" t="str">
        <f ca="1">IF(ROWS($1:21)&gt;COUNT(Dong13),"",OFFSET(TH!F$1,SMALL(Dong13,ROWS($1:21)),))</f>
        <v/>
      </c>
      <c r="H34" s="810" t="str">
        <f ca="1">IF(ROWS($1:21)&gt;COUNT(Dong13),"",OFFSET(TH!I$1,SMALL(Dong13,ROWS($1:21)),))</f>
        <v/>
      </c>
      <c r="I34" s="810" t="str">
        <f ca="1">IF(ROWS($1:21)&gt;COUNT(Dong13),"",OFFSET(TH!J$1,SMALL(Dong13,ROWS($1:21)),))</f>
        <v/>
      </c>
      <c r="J34" s="811">
        <f t="shared" ca="1" si="3"/>
        <v>0</v>
      </c>
      <c r="K34" s="814"/>
      <c r="L34" s="812"/>
      <c r="M34" s="790"/>
      <c r="N34" s="790"/>
      <c r="O34" s="790"/>
      <c r="P34" s="790"/>
      <c r="Q34" s="790"/>
      <c r="R34" s="790"/>
      <c r="S34" s="790"/>
      <c r="T34" s="790"/>
      <c r="U34" s="790"/>
      <c r="V34" s="790"/>
      <c r="W34" s="790"/>
      <c r="X34" s="790"/>
      <c r="Y34" s="790"/>
      <c r="Z34" s="790"/>
      <c r="AA34" s="790"/>
      <c r="AB34" s="790"/>
      <c r="AC34" s="790"/>
      <c r="AD34" s="790"/>
      <c r="AE34" s="790"/>
      <c r="AF34" s="790"/>
      <c r="AG34" s="790"/>
      <c r="AH34" s="790"/>
      <c r="AI34" s="790"/>
      <c r="AJ34" s="790"/>
      <c r="AK34" s="790"/>
      <c r="AL34" s="790"/>
      <c r="AM34" s="790"/>
      <c r="AN34" s="790"/>
      <c r="AO34" s="790"/>
      <c r="AP34" s="790"/>
      <c r="AQ34" s="790"/>
      <c r="AR34" s="790"/>
      <c r="AS34" s="790"/>
      <c r="AT34" s="790"/>
      <c r="AU34" s="790"/>
      <c r="AV34" s="790"/>
      <c r="AW34" s="790"/>
      <c r="AX34" s="790"/>
      <c r="AY34" s="790"/>
      <c r="AZ34" s="790"/>
      <c r="BA34" s="790"/>
      <c r="BB34" s="790"/>
      <c r="BC34" s="790"/>
      <c r="BD34" s="790"/>
      <c r="BE34" s="790"/>
      <c r="BF34" s="790"/>
      <c r="BG34" s="790"/>
      <c r="BH34" s="790"/>
      <c r="BI34" s="790"/>
      <c r="BJ34" s="790"/>
      <c r="BK34" s="790"/>
      <c r="BL34" s="790"/>
      <c r="BM34" s="790"/>
      <c r="BN34" s="790"/>
      <c r="BO34" s="790"/>
      <c r="BP34" s="790"/>
      <c r="BQ34" s="790"/>
      <c r="BR34" s="790"/>
      <c r="BS34" s="790"/>
      <c r="BT34" s="790"/>
      <c r="BU34" s="790"/>
      <c r="BV34" s="790"/>
      <c r="BW34" s="790"/>
      <c r="BX34" s="790"/>
      <c r="BY34" s="790"/>
      <c r="BZ34" s="790"/>
      <c r="CA34" s="790"/>
      <c r="CB34" s="790"/>
      <c r="CC34" s="790"/>
      <c r="CD34" s="790"/>
      <c r="CE34" s="790"/>
      <c r="CF34" s="790"/>
      <c r="CG34" s="790"/>
    </row>
    <row r="35" spans="1:85" s="813" customFormat="1" ht="21.75" customHeight="1">
      <c r="A35" s="254" t="str">
        <f ca="1">IF(ROWS($1:22)&gt;COUNT(Dong13),"",OFFSET(TH!E$1,SMALL(Dong13,ROWS($1:22)),))</f>
        <v/>
      </c>
      <c r="B35" s="264" t="str">
        <f ca="1">IF(ROWS($1:22)&gt;COUNT(Dong13),"",OFFSET(TH!H$1,SMALL(Dong13,ROWS($1:22)),))</f>
        <v/>
      </c>
      <c r="C35" s="807" t="str">
        <f t="shared" ca="1" si="0"/>
        <v/>
      </c>
      <c r="D35" s="807" t="str">
        <f ca="1">IF(ROWS($1:22)&gt;COUNT(Dong13),"",OFFSET(TH!D$1,SMALL(Dong13,ROWS($1:22)),))</f>
        <v/>
      </c>
      <c r="E35" s="808" t="str">
        <f t="shared" ca="1" si="1"/>
        <v/>
      </c>
      <c r="F35" s="808" t="str">
        <f t="shared" ca="1" si="2"/>
        <v/>
      </c>
      <c r="G35" s="809" t="str">
        <f ca="1">IF(ROWS($1:22)&gt;COUNT(Dong13),"",OFFSET(TH!F$1,SMALL(Dong13,ROWS($1:22)),))</f>
        <v/>
      </c>
      <c r="H35" s="810" t="str">
        <f ca="1">IF(ROWS($1:22)&gt;COUNT(Dong13),"",OFFSET(TH!I$1,SMALL(Dong13,ROWS($1:22)),))</f>
        <v/>
      </c>
      <c r="I35" s="810" t="str">
        <f ca="1">IF(ROWS($1:22)&gt;COUNT(Dong13),"",OFFSET(TH!J$1,SMALL(Dong13,ROWS($1:22)),))</f>
        <v/>
      </c>
      <c r="J35" s="811">
        <f t="shared" ca="1" si="3"/>
        <v>0</v>
      </c>
      <c r="K35" s="814"/>
      <c r="L35" s="812"/>
      <c r="M35" s="790"/>
      <c r="N35" s="790"/>
      <c r="O35" s="790"/>
      <c r="P35" s="790"/>
      <c r="Q35" s="790"/>
      <c r="R35" s="790"/>
      <c r="S35" s="790"/>
      <c r="T35" s="790"/>
      <c r="U35" s="790"/>
      <c r="V35" s="790"/>
      <c r="W35" s="790"/>
      <c r="X35" s="790"/>
      <c r="Y35" s="790"/>
      <c r="Z35" s="790"/>
      <c r="AA35" s="790"/>
      <c r="AB35" s="790"/>
      <c r="AC35" s="790"/>
      <c r="AD35" s="790"/>
      <c r="AE35" s="790"/>
      <c r="AF35" s="790"/>
      <c r="AG35" s="790"/>
      <c r="AH35" s="790"/>
      <c r="AI35" s="790"/>
      <c r="AJ35" s="790"/>
      <c r="AK35" s="790"/>
      <c r="AL35" s="790"/>
      <c r="AM35" s="790"/>
      <c r="AN35" s="790"/>
      <c r="AO35" s="790"/>
      <c r="AP35" s="790"/>
      <c r="AQ35" s="790"/>
      <c r="AR35" s="790"/>
      <c r="AS35" s="790"/>
      <c r="AT35" s="790"/>
      <c r="AU35" s="790"/>
      <c r="AV35" s="790"/>
      <c r="AW35" s="790"/>
      <c r="AX35" s="790"/>
      <c r="AY35" s="790"/>
      <c r="AZ35" s="790"/>
      <c r="BA35" s="790"/>
      <c r="BB35" s="790"/>
      <c r="BC35" s="790"/>
      <c r="BD35" s="790"/>
      <c r="BE35" s="790"/>
      <c r="BF35" s="790"/>
      <c r="BG35" s="790"/>
      <c r="BH35" s="790"/>
      <c r="BI35" s="790"/>
      <c r="BJ35" s="790"/>
      <c r="BK35" s="790"/>
      <c r="BL35" s="790"/>
      <c r="BM35" s="790"/>
      <c r="BN35" s="790"/>
      <c r="BO35" s="790"/>
      <c r="BP35" s="790"/>
      <c r="BQ35" s="790"/>
      <c r="BR35" s="790"/>
      <c r="BS35" s="790"/>
      <c r="BT35" s="790"/>
      <c r="BU35" s="790"/>
      <c r="BV35" s="790"/>
      <c r="BW35" s="790"/>
      <c r="BX35" s="790"/>
      <c r="BY35" s="790"/>
      <c r="BZ35" s="790"/>
      <c r="CA35" s="790"/>
      <c r="CB35" s="790"/>
      <c r="CC35" s="790"/>
      <c r="CD35" s="790"/>
      <c r="CE35" s="790"/>
      <c r="CF35" s="790"/>
      <c r="CG35" s="790"/>
    </row>
    <row r="36" spans="1:85" s="813" customFormat="1" ht="21.75" customHeight="1">
      <c r="A36" s="254" t="str">
        <f ca="1">IF(ROWS($1:23)&gt;COUNT(Dong13),"",OFFSET(TH!E$1,SMALL(Dong13,ROWS($1:23)),))</f>
        <v/>
      </c>
      <c r="B36" s="264" t="str">
        <f ca="1">IF(ROWS($1:23)&gt;COUNT(Dong13),"",OFFSET(TH!H$1,SMALL(Dong13,ROWS($1:23)),))</f>
        <v/>
      </c>
      <c r="C36" s="807" t="str">
        <f t="shared" ca="1" si="0"/>
        <v/>
      </c>
      <c r="D36" s="807" t="str">
        <f ca="1">IF(ROWS($1:23)&gt;COUNT(Dong13),"",OFFSET(TH!D$1,SMALL(Dong13,ROWS($1:23)),))</f>
        <v/>
      </c>
      <c r="E36" s="808" t="str">
        <f t="shared" ca="1" si="1"/>
        <v/>
      </c>
      <c r="F36" s="808" t="str">
        <f t="shared" ca="1" si="2"/>
        <v/>
      </c>
      <c r="G36" s="809" t="str">
        <f ca="1">IF(ROWS($1:23)&gt;COUNT(Dong13),"",OFFSET(TH!F$1,SMALL(Dong13,ROWS($1:23)),))</f>
        <v/>
      </c>
      <c r="H36" s="810" t="str">
        <f ca="1">IF(ROWS($1:23)&gt;COUNT(Dong13),"",OFFSET(TH!I$1,SMALL(Dong13,ROWS($1:23)),))</f>
        <v/>
      </c>
      <c r="I36" s="810" t="str">
        <f ca="1">IF(ROWS($1:23)&gt;COUNT(Dong13),"",OFFSET(TH!J$1,SMALL(Dong13,ROWS($1:23)),))</f>
        <v/>
      </c>
      <c r="J36" s="811">
        <f t="shared" ca="1" si="3"/>
        <v>0</v>
      </c>
      <c r="K36" s="814"/>
      <c r="L36" s="812"/>
      <c r="M36" s="790"/>
      <c r="N36" s="790"/>
      <c r="O36" s="790"/>
      <c r="P36" s="790"/>
      <c r="Q36" s="790"/>
      <c r="R36" s="790"/>
      <c r="S36" s="790"/>
      <c r="T36" s="790"/>
      <c r="U36" s="790"/>
      <c r="V36" s="790"/>
      <c r="W36" s="790"/>
      <c r="X36" s="790"/>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c r="BC36" s="790"/>
      <c r="BD36" s="790"/>
      <c r="BE36" s="790"/>
      <c r="BF36" s="790"/>
      <c r="BG36" s="790"/>
      <c r="BH36" s="790"/>
      <c r="BI36" s="790"/>
      <c r="BJ36" s="790"/>
      <c r="BK36" s="790"/>
      <c r="BL36" s="790"/>
      <c r="BM36" s="790"/>
      <c r="BN36" s="790"/>
      <c r="BO36" s="790"/>
      <c r="BP36" s="790"/>
      <c r="BQ36" s="790"/>
      <c r="BR36" s="790"/>
      <c r="BS36" s="790"/>
      <c r="BT36" s="790"/>
      <c r="BU36" s="790"/>
      <c r="BV36" s="790"/>
      <c r="BW36" s="790"/>
      <c r="BX36" s="790"/>
      <c r="BY36" s="790"/>
      <c r="BZ36" s="790"/>
      <c r="CA36" s="790"/>
      <c r="CB36" s="790"/>
      <c r="CC36" s="790"/>
      <c r="CD36" s="790"/>
      <c r="CE36" s="790"/>
      <c r="CF36" s="790"/>
      <c r="CG36" s="790"/>
    </row>
    <row r="37" spans="1:85" s="813" customFormat="1" ht="21.75" customHeight="1">
      <c r="A37" s="254" t="str">
        <f ca="1">IF(ROWS($1:24)&gt;COUNT(Dong13),"",OFFSET(TH!E$1,SMALL(Dong13,ROWS($1:24)),))</f>
        <v/>
      </c>
      <c r="B37" s="264" t="str">
        <f ca="1">IF(ROWS($1:24)&gt;COUNT(Dong13),"",OFFSET(TH!H$1,SMALL(Dong13,ROWS($1:24)),))</f>
        <v/>
      </c>
      <c r="C37" s="807" t="str">
        <f t="shared" ca="1" si="0"/>
        <v/>
      </c>
      <c r="D37" s="807" t="str">
        <f ca="1">IF(ROWS($1:24)&gt;COUNT(Dong13),"",OFFSET(TH!D$1,SMALL(Dong13,ROWS($1:24)),))</f>
        <v/>
      </c>
      <c r="E37" s="808" t="str">
        <f t="shared" ca="1" si="1"/>
        <v/>
      </c>
      <c r="F37" s="808" t="str">
        <f t="shared" ca="1" si="2"/>
        <v/>
      </c>
      <c r="G37" s="809" t="str">
        <f ca="1">IF(ROWS($1:24)&gt;COUNT(Dong13),"",OFFSET(TH!F$1,SMALL(Dong13,ROWS($1:24)),))</f>
        <v/>
      </c>
      <c r="H37" s="810" t="str">
        <f ca="1">IF(ROWS($1:24)&gt;COUNT(Dong13),"",OFFSET(TH!I$1,SMALL(Dong13,ROWS($1:24)),))</f>
        <v/>
      </c>
      <c r="I37" s="810" t="str">
        <f ca="1">IF(ROWS($1:24)&gt;COUNT(Dong13),"",OFFSET(TH!J$1,SMALL(Dong13,ROWS($1:24)),))</f>
        <v/>
      </c>
      <c r="J37" s="811">
        <f t="shared" ca="1" si="3"/>
        <v>0</v>
      </c>
      <c r="K37" s="814"/>
      <c r="L37" s="812"/>
      <c r="M37" s="790"/>
      <c r="N37" s="790"/>
      <c r="O37" s="790"/>
      <c r="P37" s="790"/>
      <c r="Q37" s="790"/>
      <c r="R37" s="790"/>
      <c r="S37" s="790"/>
      <c r="T37" s="790"/>
      <c r="U37" s="790"/>
      <c r="V37" s="790"/>
      <c r="W37" s="790"/>
      <c r="X37" s="790"/>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c r="BC37" s="790"/>
      <c r="BD37" s="790"/>
      <c r="BE37" s="790"/>
      <c r="BF37" s="790"/>
      <c r="BG37" s="790"/>
      <c r="BH37" s="790"/>
      <c r="BI37" s="790"/>
      <c r="BJ37" s="790"/>
      <c r="BK37" s="790"/>
      <c r="BL37" s="790"/>
      <c r="BM37" s="790"/>
      <c r="BN37" s="790"/>
      <c r="BO37" s="790"/>
      <c r="BP37" s="790"/>
      <c r="BQ37" s="790"/>
      <c r="BR37" s="790"/>
      <c r="BS37" s="790"/>
      <c r="BT37" s="790"/>
      <c r="BU37" s="790"/>
      <c r="BV37" s="790"/>
      <c r="BW37" s="790"/>
      <c r="BX37" s="790"/>
      <c r="BY37" s="790"/>
      <c r="BZ37" s="790"/>
      <c r="CA37" s="790"/>
      <c r="CB37" s="790"/>
      <c r="CC37" s="790"/>
      <c r="CD37" s="790"/>
      <c r="CE37" s="790"/>
      <c r="CF37" s="790"/>
      <c r="CG37" s="790"/>
    </row>
    <row r="38" spans="1:85" s="813" customFormat="1" ht="21.75" customHeight="1">
      <c r="A38" s="254" t="str">
        <f ca="1">IF(ROWS($1:25)&gt;COUNT(Dong13),"",OFFSET(TH!E$1,SMALL(Dong13,ROWS($1:25)),))</f>
        <v/>
      </c>
      <c r="B38" s="264" t="str">
        <f ca="1">IF(ROWS($1:25)&gt;COUNT(Dong13),"",OFFSET(TH!H$1,SMALL(Dong13,ROWS($1:25)),))</f>
        <v/>
      </c>
      <c r="C38" s="807" t="str">
        <f t="shared" ca="1" si="0"/>
        <v/>
      </c>
      <c r="D38" s="807" t="str">
        <f ca="1">IF(ROWS($1:25)&gt;COUNT(Dong13),"",OFFSET(TH!D$1,SMALL(Dong13,ROWS($1:25)),))</f>
        <v/>
      </c>
      <c r="E38" s="808" t="str">
        <f t="shared" ca="1" si="1"/>
        <v/>
      </c>
      <c r="F38" s="808" t="str">
        <f t="shared" ca="1" si="2"/>
        <v/>
      </c>
      <c r="G38" s="809" t="str">
        <f ca="1">IF(ROWS($1:25)&gt;COUNT(Dong13),"",OFFSET(TH!F$1,SMALL(Dong13,ROWS($1:25)),))</f>
        <v/>
      </c>
      <c r="H38" s="810" t="str">
        <f ca="1">IF(ROWS($1:25)&gt;COUNT(Dong13),"",OFFSET(TH!I$1,SMALL(Dong13,ROWS($1:25)),))</f>
        <v/>
      </c>
      <c r="I38" s="810" t="str">
        <f ca="1">IF(ROWS($1:25)&gt;COUNT(Dong13),"",OFFSET(TH!J$1,SMALL(Dong13,ROWS($1:25)),))</f>
        <v/>
      </c>
      <c r="J38" s="811">
        <f t="shared" ca="1" si="3"/>
        <v>0</v>
      </c>
      <c r="K38" s="814"/>
      <c r="L38" s="812"/>
      <c r="M38" s="790"/>
      <c r="N38" s="790"/>
      <c r="O38" s="790"/>
      <c r="P38" s="790"/>
      <c r="Q38" s="790"/>
      <c r="R38" s="790"/>
      <c r="S38" s="790"/>
      <c r="T38" s="790"/>
      <c r="U38" s="790"/>
      <c r="V38" s="790"/>
      <c r="W38" s="790"/>
      <c r="X38" s="790"/>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c r="BC38" s="790"/>
      <c r="BD38" s="790"/>
      <c r="BE38" s="790"/>
      <c r="BF38" s="790"/>
      <c r="BG38" s="790"/>
      <c r="BH38" s="790"/>
      <c r="BI38" s="790"/>
      <c r="BJ38" s="790"/>
      <c r="BK38" s="790"/>
      <c r="BL38" s="790"/>
      <c r="BM38" s="790"/>
      <c r="BN38" s="790"/>
      <c r="BO38" s="790"/>
      <c r="BP38" s="790"/>
      <c r="BQ38" s="790"/>
      <c r="BR38" s="790"/>
      <c r="BS38" s="790"/>
      <c r="BT38" s="790"/>
      <c r="BU38" s="790"/>
      <c r="BV38" s="790"/>
      <c r="BW38" s="790"/>
      <c r="BX38" s="790"/>
      <c r="BY38" s="790"/>
      <c r="BZ38" s="790"/>
      <c r="CA38" s="790"/>
      <c r="CB38" s="790"/>
      <c r="CC38" s="790"/>
      <c r="CD38" s="790"/>
      <c r="CE38" s="790"/>
      <c r="CF38" s="790"/>
      <c r="CG38" s="790"/>
    </row>
    <row r="39" spans="1:85" s="813" customFormat="1" ht="21.75" customHeight="1">
      <c r="A39" s="254" t="str">
        <f ca="1">IF(ROWS($1:26)&gt;COUNT(Dong13),"",OFFSET(TH!E$1,SMALL(Dong13,ROWS($1:26)),))</f>
        <v/>
      </c>
      <c r="B39" s="264" t="str">
        <f ca="1">IF(ROWS($1:26)&gt;COUNT(Dong13),"",OFFSET(TH!H$1,SMALL(Dong13,ROWS($1:26)),))</f>
        <v/>
      </c>
      <c r="C39" s="807" t="str">
        <f t="shared" ca="1" si="0"/>
        <v/>
      </c>
      <c r="D39" s="807" t="str">
        <f ca="1">IF(ROWS($1:26)&gt;COUNT(Dong13),"",OFFSET(TH!D$1,SMALL(Dong13,ROWS($1:26)),))</f>
        <v/>
      </c>
      <c r="E39" s="808" t="str">
        <f t="shared" ca="1" si="1"/>
        <v/>
      </c>
      <c r="F39" s="808" t="str">
        <f t="shared" ca="1" si="2"/>
        <v/>
      </c>
      <c r="G39" s="809" t="str">
        <f ca="1">IF(ROWS($1:26)&gt;COUNT(Dong13),"",OFFSET(TH!F$1,SMALL(Dong13,ROWS($1:26)),))</f>
        <v/>
      </c>
      <c r="H39" s="810" t="str">
        <f ca="1">IF(ROWS($1:26)&gt;COUNT(Dong13),"",OFFSET(TH!I$1,SMALL(Dong13,ROWS($1:26)),))</f>
        <v/>
      </c>
      <c r="I39" s="810" t="str">
        <f ca="1">IF(ROWS($1:26)&gt;COUNT(Dong13),"",OFFSET(TH!J$1,SMALL(Dong13,ROWS($1:26)),))</f>
        <v/>
      </c>
      <c r="J39" s="811">
        <f t="shared" ca="1" si="3"/>
        <v>0</v>
      </c>
      <c r="K39" s="814"/>
      <c r="L39" s="812"/>
      <c r="M39" s="790"/>
      <c r="N39" s="790"/>
      <c r="O39" s="790"/>
      <c r="P39" s="790"/>
      <c r="Q39" s="790"/>
      <c r="R39" s="790"/>
      <c r="S39" s="790"/>
      <c r="T39" s="790"/>
      <c r="U39" s="790"/>
      <c r="V39" s="790"/>
      <c r="W39" s="790"/>
      <c r="X39" s="790"/>
      <c r="Y39" s="790"/>
      <c r="Z39" s="790"/>
      <c r="AA39" s="790"/>
      <c r="AB39" s="790"/>
      <c r="AC39" s="790"/>
      <c r="AD39" s="790"/>
      <c r="AE39" s="790"/>
      <c r="AF39" s="790"/>
      <c r="AG39" s="790"/>
      <c r="AH39" s="790"/>
      <c r="AI39" s="790"/>
      <c r="AJ39" s="790"/>
      <c r="AK39" s="790"/>
      <c r="AL39" s="790"/>
      <c r="AM39" s="790"/>
      <c r="AN39" s="790"/>
      <c r="AO39" s="790"/>
      <c r="AP39" s="790"/>
      <c r="AQ39" s="790"/>
      <c r="AR39" s="790"/>
      <c r="AS39" s="790"/>
      <c r="AT39" s="790"/>
      <c r="AU39" s="790"/>
      <c r="AV39" s="790"/>
      <c r="AW39" s="790"/>
      <c r="AX39" s="790"/>
      <c r="AY39" s="790"/>
      <c r="AZ39" s="790"/>
      <c r="BA39" s="790"/>
      <c r="BB39" s="790"/>
      <c r="BC39" s="790"/>
      <c r="BD39" s="790"/>
      <c r="BE39" s="790"/>
      <c r="BF39" s="790"/>
      <c r="BG39" s="790"/>
      <c r="BH39" s="790"/>
      <c r="BI39" s="790"/>
      <c r="BJ39" s="790"/>
      <c r="BK39" s="790"/>
      <c r="BL39" s="790"/>
      <c r="BM39" s="790"/>
      <c r="BN39" s="790"/>
      <c r="BO39" s="790"/>
      <c r="BP39" s="790"/>
      <c r="BQ39" s="790"/>
      <c r="BR39" s="790"/>
      <c r="BS39" s="790"/>
      <c r="BT39" s="790"/>
      <c r="BU39" s="790"/>
      <c r="BV39" s="790"/>
      <c r="BW39" s="790"/>
      <c r="BX39" s="790"/>
      <c r="BY39" s="790"/>
      <c r="BZ39" s="790"/>
      <c r="CA39" s="790"/>
      <c r="CB39" s="790"/>
      <c r="CC39" s="790"/>
      <c r="CD39" s="790"/>
      <c r="CE39" s="790"/>
      <c r="CF39" s="790"/>
      <c r="CG39" s="790"/>
    </row>
    <row r="40" spans="1:85" s="813" customFormat="1" ht="21.75" customHeight="1">
      <c r="A40" s="254" t="str">
        <f ca="1">IF(ROWS($1:27)&gt;COUNT(Dong13),"",OFFSET(TH!E$1,SMALL(Dong13,ROWS($1:27)),))</f>
        <v/>
      </c>
      <c r="B40" s="264" t="str">
        <f ca="1">IF(ROWS($1:27)&gt;COUNT(Dong13),"",OFFSET(TH!H$1,SMALL(Dong13,ROWS($1:27)),))</f>
        <v/>
      </c>
      <c r="C40" s="807" t="str">
        <f t="shared" ca="1" si="0"/>
        <v/>
      </c>
      <c r="D40" s="807" t="str">
        <f ca="1">IF(ROWS($1:27)&gt;COUNT(Dong13),"",OFFSET(TH!D$1,SMALL(Dong13,ROWS($1:27)),))</f>
        <v/>
      </c>
      <c r="E40" s="808" t="str">
        <f t="shared" ca="1" si="1"/>
        <v/>
      </c>
      <c r="F40" s="808" t="str">
        <f t="shared" ca="1" si="2"/>
        <v/>
      </c>
      <c r="G40" s="809" t="str">
        <f ca="1">IF(ROWS($1:27)&gt;COUNT(Dong13),"",OFFSET(TH!F$1,SMALL(Dong13,ROWS($1:27)),))</f>
        <v/>
      </c>
      <c r="H40" s="810" t="str">
        <f ca="1">IF(ROWS($1:27)&gt;COUNT(Dong13),"",OFFSET(TH!I$1,SMALL(Dong13,ROWS($1:27)),))</f>
        <v/>
      </c>
      <c r="I40" s="810" t="str">
        <f ca="1">IF(ROWS($1:27)&gt;COUNT(Dong13),"",OFFSET(TH!J$1,SMALL(Dong13,ROWS($1:27)),))</f>
        <v/>
      </c>
      <c r="J40" s="811">
        <f t="shared" ca="1" si="3"/>
        <v>0</v>
      </c>
      <c r="K40" s="814"/>
      <c r="L40" s="812"/>
      <c r="M40" s="790"/>
      <c r="N40" s="790"/>
      <c r="O40" s="790"/>
      <c r="P40" s="790"/>
      <c r="Q40" s="790"/>
      <c r="R40" s="790"/>
      <c r="S40" s="790"/>
      <c r="T40" s="790"/>
      <c r="U40" s="790"/>
      <c r="V40" s="790"/>
      <c r="W40" s="790"/>
      <c r="X40" s="790"/>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c r="BC40" s="790"/>
      <c r="BD40" s="790"/>
      <c r="BE40" s="790"/>
      <c r="BF40" s="790"/>
      <c r="BG40" s="790"/>
      <c r="BH40" s="790"/>
      <c r="BI40" s="790"/>
      <c r="BJ40" s="790"/>
      <c r="BK40" s="790"/>
      <c r="BL40" s="790"/>
      <c r="BM40" s="790"/>
      <c r="BN40" s="790"/>
      <c r="BO40" s="790"/>
      <c r="BP40" s="790"/>
      <c r="BQ40" s="790"/>
      <c r="BR40" s="790"/>
      <c r="BS40" s="790"/>
      <c r="BT40" s="790"/>
      <c r="BU40" s="790"/>
      <c r="BV40" s="790"/>
      <c r="BW40" s="790"/>
      <c r="BX40" s="790"/>
      <c r="BY40" s="790"/>
      <c r="BZ40" s="790"/>
      <c r="CA40" s="790"/>
      <c r="CB40" s="790"/>
      <c r="CC40" s="790"/>
      <c r="CD40" s="790"/>
      <c r="CE40" s="790"/>
      <c r="CF40" s="790"/>
      <c r="CG40" s="790"/>
    </row>
    <row r="41" spans="1:85" ht="24" customHeight="1">
      <c r="A41" s="791" t="s">
        <v>698</v>
      </c>
      <c r="E41" s="815">
        <f ca="1">SUM(J14:J40)</f>
        <v>0</v>
      </c>
      <c r="F41" s="815"/>
      <c r="J41" s="816"/>
      <c r="N41" s="817">
        <f ca="1">SUBTOTAL(9,J14:J40)</f>
        <v>0</v>
      </c>
    </row>
    <row r="42" spans="1:85">
      <c r="E42" s="818"/>
      <c r="F42" s="793"/>
      <c r="J42" s="819" t="str">
        <f xml:space="preserve"> IF(OR($M$11=1,$M$11=4,$M$11=6,$M$11=9,$M$11=11),"Ngày  30  tháng  "&amp;$M$11&amp;"  năm 2016",IF(OR($M$11=3,$M$11=5,$M$11=7,$M$11=8,$M$11=10,$M$11=12),"Ngày  31  tháng  "&amp;$M$11&amp;"  năm 2016","Ngày  29  tháng  "&amp;$M$11&amp;"  năm 2016"))</f>
        <v>Ngày  30  tháng  1  năm 2016</v>
      </c>
      <c r="K42" s="820"/>
    </row>
    <row r="43" spans="1:85">
      <c r="B43" s="821" t="s">
        <v>699</v>
      </c>
      <c r="C43" s="821"/>
      <c r="D43" s="821"/>
      <c r="J43" s="822" t="s">
        <v>700</v>
      </c>
    </row>
    <row r="44" spans="1:85">
      <c r="B44" s="823" t="s">
        <v>701</v>
      </c>
      <c r="C44" s="823"/>
      <c r="D44" s="823"/>
      <c r="F44" s="824"/>
      <c r="J44" s="825" t="s">
        <v>702</v>
      </c>
    </row>
    <row r="45" spans="1:85">
      <c r="B45" s="823"/>
      <c r="C45" s="823"/>
      <c r="D45" s="823"/>
      <c r="F45" s="824"/>
      <c r="I45" s="825"/>
    </row>
    <row r="46" spans="1:85">
      <c r="B46" s="823"/>
      <c r="C46" s="823"/>
      <c r="D46" s="823"/>
      <c r="F46" s="824"/>
      <c r="I46" s="825"/>
    </row>
    <row r="47" spans="1:85">
      <c r="B47" s="818"/>
      <c r="F47" s="818"/>
      <c r="J47" s="579">
        <f ca="1">SUBTOTAL(9,J14:J46)</f>
        <v>0</v>
      </c>
    </row>
    <row r="48" spans="1:85" ht="36.75" customHeight="1">
      <c r="B48" s="826"/>
      <c r="C48" s="826"/>
      <c r="D48" s="826"/>
      <c r="E48" s="827"/>
      <c r="H48" s="1239"/>
      <c r="I48" s="1239"/>
      <c r="J48" s="1239"/>
    </row>
    <row r="50" spans="1:11">
      <c r="A50" s="828" t="s">
        <v>703</v>
      </c>
    </row>
    <row r="51" spans="1:11" ht="33.75" customHeight="1">
      <c r="A51" s="1240" t="s">
        <v>704</v>
      </c>
      <c r="B51" s="1241"/>
      <c r="C51" s="1241"/>
      <c r="D51" s="1241"/>
      <c r="E51" s="1241"/>
      <c r="F51" s="1241"/>
      <c r="G51" s="1241"/>
      <c r="H51" s="1241"/>
      <c r="I51" s="1241"/>
      <c r="J51" s="1241"/>
      <c r="K51" s="1241"/>
    </row>
    <row r="52" spans="1:11" ht="33.75" customHeight="1">
      <c r="A52" s="1240" t="s">
        <v>705</v>
      </c>
      <c r="B52" s="1240"/>
      <c r="C52" s="1240"/>
      <c r="D52" s="1240"/>
      <c r="E52" s="1240"/>
      <c r="F52" s="1240"/>
      <c r="G52" s="1240"/>
      <c r="H52" s="1240"/>
      <c r="I52" s="1240"/>
      <c r="J52" s="1240"/>
      <c r="K52" s="1240"/>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29" customWidth="1"/>
    <col min="2" max="2" width="23" style="829" customWidth="1"/>
    <col min="3" max="3" width="6.7109375" style="829" customWidth="1"/>
    <col min="4" max="5" width="8.85546875" style="829" customWidth="1"/>
    <col min="6" max="6" width="9.140625" style="829" customWidth="1"/>
    <col min="7" max="7" width="14.28515625" style="829" customWidth="1"/>
    <col min="8" max="11" width="13.7109375" style="829" customWidth="1"/>
    <col min="12" max="12" width="11.85546875" style="829" customWidth="1"/>
    <col min="13" max="13" width="13.7109375" style="829" hidden="1" customWidth="1"/>
    <col min="14" max="14" width="14.5703125" style="829" customWidth="1"/>
    <col min="15" max="15" width="7.28515625" style="829" customWidth="1"/>
    <col min="16" max="16" width="7.7109375" style="829" customWidth="1"/>
    <col min="17" max="17" width="3.42578125" style="830" customWidth="1"/>
    <col min="18" max="18" width="23" style="829" customWidth="1"/>
    <col min="19" max="19" width="10.140625" style="831" customWidth="1"/>
    <col min="20" max="21" width="7.5703125" style="832" customWidth="1"/>
    <col min="22" max="22" width="12.140625" style="829" customWidth="1"/>
    <col min="23" max="23" width="7.7109375" style="829" customWidth="1"/>
    <col min="24" max="16384" width="10.28515625" style="829"/>
  </cols>
  <sheetData>
    <row r="1" spans="1:25">
      <c r="B1" s="829">
        <v>1</v>
      </c>
      <c r="C1" s="829">
        <v>2</v>
      </c>
      <c r="D1" s="829">
        <v>3</v>
      </c>
      <c r="E1" s="829">
        <v>4</v>
      </c>
      <c r="F1" s="829">
        <v>5</v>
      </c>
      <c r="G1" s="829">
        <v>6</v>
      </c>
      <c r="H1" s="829">
        <v>8</v>
      </c>
      <c r="I1" s="829">
        <v>7</v>
      </c>
      <c r="J1" s="829">
        <v>9</v>
      </c>
      <c r="K1" s="829">
        <v>10</v>
      </c>
      <c r="L1" s="829">
        <v>11</v>
      </c>
      <c r="M1" s="829">
        <v>12</v>
      </c>
      <c r="N1" s="829">
        <v>13</v>
      </c>
      <c r="O1" s="829">
        <v>14</v>
      </c>
      <c r="P1" s="829">
        <v>15</v>
      </c>
    </row>
    <row r="2" spans="1:25" ht="18" customHeight="1">
      <c r="A2" s="833" t="s">
        <v>706</v>
      </c>
      <c r="B2" s="833"/>
      <c r="C2" s="834"/>
      <c r="D2" s="835"/>
      <c r="E2" s="835"/>
      <c r="F2" s="835"/>
      <c r="G2" s="832"/>
      <c r="H2" s="832"/>
      <c r="I2" s="832"/>
      <c r="J2" s="832"/>
      <c r="K2" s="832"/>
      <c r="L2" s="836"/>
      <c r="M2" s="832"/>
      <c r="N2" s="832"/>
      <c r="O2" s="837"/>
      <c r="P2" s="832"/>
      <c r="Q2" s="838"/>
      <c r="R2" s="832"/>
      <c r="S2" s="839"/>
    </row>
    <row r="3" spans="1:25" ht="18.75" customHeight="1">
      <c r="A3" s="840" t="s">
        <v>707</v>
      </c>
      <c r="B3" s="840"/>
      <c r="C3" s="840"/>
      <c r="D3" s="840"/>
      <c r="E3" s="840"/>
      <c r="F3" s="840"/>
      <c r="G3" s="840"/>
      <c r="H3" s="840"/>
      <c r="I3" s="840"/>
      <c r="J3" s="840"/>
      <c r="K3" s="840"/>
      <c r="L3" s="840"/>
      <c r="M3" s="840"/>
      <c r="N3" s="840"/>
      <c r="O3" s="840"/>
      <c r="P3" s="840"/>
      <c r="Q3" s="838"/>
      <c r="R3" s="832"/>
      <c r="S3" s="839"/>
    </row>
    <row r="4" spans="1:25" ht="18.75" customHeight="1">
      <c r="A4" s="841"/>
      <c r="B4" s="841"/>
      <c r="C4" s="842"/>
      <c r="D4" s="841"/>
      <c r="E4" s="841"/>
      <c r="F4" s="841"/>
      <c r="G4" s="841"/>
      <c r="H4" s="841"/>
      <c r="I4" s="841"/>
      <c r="J4" s="841"/>
      <c r="K4" s="841"/>
      <c r="L4" s="840"/>
      <c r="M4" s="841"/>
      <c r="N4" s="841"/>
      <c r="O4" s="843"/>
      <c r="P4" s="841"/>
      <c r="Q4" s="838"/>
      <c r="R4" s="832"/>
      <c r="S4" s="839"/>
    </row>
    <row r="5" spans="1:25" ht="12.75" customHeight="1">
      <c r="A5" s="844"/>
      <c r="B5" s="844"/>
      <c r="C5" s="845"/>
      <c r="D5" s="844"/>
      <c r="E5" s="844"/>
      <c r="F5" s="844"/>
      <c r="G5" s="844"/>
      <c r="H5" s="844"/>
      <c r="I5" s="844"/>
      <c r="J5" s="844"/>
      <c r="K5" s="844"/>
      <c r="L5" s="844"/>
      <c r="M5" s="844"/>
      <c r="N5" s="844"/>
      <c r="O5" s="846"/>
      <c r="P5" s="844"/>
      <c r="Q5" s="838"/>
      <c r="R5" s="847"/>
      <c r="S5" s="1258"/>
      <c r="T5" s="1258"/>
      <c r="U5" s="848"/>
      <c r="V5" s="1258"/>
      <c r="W5" s="1258"/>
      <c r="X5" s="847"/>
      <c r="Y5" s="847"/>
    </row>
    <row r="6" spans="1:25" s="855" customFormat="1" ht="30.75" customHeight="1">
      <c r="A6" s="849" t="s">
        <v>46</v>
      </c>
      <c r="B6" s="849" t="s">
        <v>708</v>
      </c>
      <c r="C6" s="850" t="s">
        <v>709</v>
      </c>
      <c r="D6" s="851" t="s">
        <v>710</v>
      </c>
      <c r="E6" s="851" t="s">
        <v>711</v>
      </c>
      <c r="F6" s="851" t="s">
        <v>712</v>
      </c>
      <c r="G6" s="851" t="s">
        <v>713</v>
      </c>
      <c r="H6" s="851" t="s">
        <v>714</v>
      </c>
      <c r="I6" s="851" t="s">
        <v>715</v>
      </c>
      <c r="J6" s="851" t="s">
        <v>716</v>
      </c>
      <c r="K6" s="852" t="s">
        <v>717</v>
      </c>
      <c r="L6" s="851" t="s">
        <v>718</v>
      </c>
      <c r="M6" s="852" t="s">
        <v>719</v>
      </c>
      <c r="N6" s="851" t="s">
        <v>720</v>
      </c>
      <c r="O6" s="853" t="s">
        <v>711</v>
      </c>
      <c r="P6" s="851" t="s">
        <v>721</v>
      </c>
      <c r="Q6" s="854"/>
      <c r="R6" s="849" t="s">
        <v>708</v>
      </c>
      <c r="S6" s="851" t="s">
        <v>675</v>
      </c>
      <c r="T6" s="851" t="s">
        <v>533</v>
      </c>
      <c r="U6" s="851" t="s">
        <v>712</v>
      </c>
      <c r="V6" s="851" t="s">
        <v>722</v>
      </c>
      <c r="W6" s="849" t="s">
        <v>722</v>
      </c>
    </row>
    <row r="7" spans="1:25">
      <c r="A7" s="856" t="str">
        <f>IF(B7&lt;&gt;"",ROW()-(ROW()-1),"")</f>
        <v/>
      </c>
      <c r="B7" s="586"/>
      <c r="C7" s="857"/>
      <c r="D7" s="706">
        <f>ROUND(C7*O7,0)</f>
        <v>0</v>
      </c>
      <c r="E7" s="706"/>
      <c r="F7" s="706"/>
      <c r="G7" s="858">
        <f>(D7+E7)*F7</f>
        <v>0</v>
      </c>
      <c r="H7" s="706">
        <f>IF($D$11&lt;&gt;0,H$11/($D$11+$E$11/5)*($D7+$E7/5),0)</f>
        <v>0</v>
      </c>
      <c r="I7" s="706">
        <f>IF($D$11&lt;&gt;0,I$11/$D$11*$D7,0)</f>
        <v>0</v>
      </c>
      <c r="J7" s="706">
        <f t="shared" ref="J7:K9" si="0">IF($D$11&lt;&gt;0,J$11/$D$11*$D7,0)</f>
        <v>0</v>
      </c>
      <c r="K7" s="706">
        <f t="shared" si="0"/>
        <v>0</v>
      </c>
      <c r="L7" s="706">
        <f>V18+V19</f>
        <v>0</v>
      </c>
      <c r="M7" s="706"/>
      <c r="N7" s="858">
        <f>G7+I7+H7+J7+L7+K7+M7</f>
        <v>0</v>
      </c>
      <c r="O7" s="706"/>
      <c r="P7" s="706" t="str">
        <f>IF(O7&lt;&gt;"",N7/O7,"")</f>
        <v/>
      </c>
      <c r="Q7" s="859"/>
      <c r="R7" s="860"/>
      <c r="S7" s="861"/>
      <c r="T7" s="271"/>
      <c r="U7" s="862"/>
      <c r="V7" s="858">
        <f>ROUND(T7*U7,0)</f>
        <v>0</v>
      </c>
      <c r="W7" s="863"/>
    </row>
    <row r="8" spans="1:25">
      <c r="A8" s="856" t="str">
        <f>IF(B8&lt;&gt;"",A7+1,"")</f>
        <v/>
      </c>
      <c r="B8" s="586"/>
      <c r="C8" s="857"/>
      <c r="D8" s="706">
        <f>ROUND(C8*O8,0)</f>
        <v>0</v>
      </c>
      <c r="E8" s="706"/>
      <c r="F8" s="706"/>
      <c r="G8" s="858">
        <f>(D8+E8)*F8</f>
        <v>0</v>
      </c>
      <c r="H8" s="706">
        <f>IF($D$11&lt;&gt;0,H$11/($D$11+$E$11/5)*($D8+$E8/5),0)</f>
        <v>0</v>
      </c>
      <c r="I8" s="706">
        <f>IF($D$11&lt;&gt;0,I$11/$D$11*$D8,0)</f>
        <v>0</v>
      </c>
      <c r="J8" s="706">
        <f t="shared" si="0"/>
        <v>0</v>
      </c>
      <c r="K8" s="706">
        <f t="shared" si="0"/>
        <v>0</v>
      </c>
      <c r="L8" s="706">
        <f>V20</f>
        <v>0</v>
      </c>
      <c r="M8" s="706"/>
      <c r="N8" s="858">
        <f>G8+I8+H8+J8+L8+K8+M8</f>
        <v>0</v>
      </c>
      <c r="O8" s="864"/>
      <c r="P8" s="706" t="str">
        <f>IF(O8&lt;&gt;"",N8/O8,"")</f>
        <v/>
      </c>
      <c r="Q8" s="859"/>
      <c r="R8" s="865"/>
      <c r="S8" s="861"/>
      <c r="T8" s="271"/>
      <c r="U8" s="866"/>
      <c r="V8" s="858">
        <f t="shared" ref="V8:V15" si="1">ROUND(T8*U8,0)</f>
        <v>0</v>
      </c>
      <c r="W8" s="867"/>
    </row>
    <row r="9" spans="1:25">
      <c r="A9" s="856" t="str">
        <f>IF(B9&lt;&gt;"",A8+1,"")</f>
        <v/>
      </c>
      <c r="B9" s="868"/>
      <c r="C9" s="857"/>
      <c r="D9" s="706">
        <f>ROUND(C9*O9,0)</f>
        <v>0</v>
      </c>
      <c r="E9" s="706"/>
      <c r="F9" s="706"/>
      <c r="G9" s="858">
        <f>(D9+E9)*F9</f>
        <v>0</v>
      </c>
      <c r="H9" s="706">
        <f>IF($D$11&lt;&gt;0,H$11/($D$11+$E$11/5)*($D9+$E9/5),0)</f>
        <v>0</v>
      </c>
      <c r="I9" s="706">
        <f>IF($D$11&lt;&gt;0,I$11/$D$11*$D9,0)</f>
        <v>0</v>
      </c>
      <c r="J9" s="706">
        <f t="shared" si="0"/>
        <v>0</v>
      </c>
      <c r="K9" s="706">
        <f t="shared" si="0"/>
        <v>0</v>
      </c>
      <c r="L9" s="706">
        <f>V21+V22</f>
        <v>0</v>
      </c>
      <c r="M9" s="706"/>
      <c r="N9" s="858">
        <f>G9+I9+H9+J9+L9+K9+M9</f>
        <v>0</v>
      </c>
      <c r="O9" s="864"/>
      <c r="P9" s="706" t="str">
        <f>IF(O9&lt;&gt;"",N9/O9,"")</f>
        <v/>
      </c>
      <c r="Q9" s="859"/>
      <c r="R9" s="865"/>
      <c r="S9" s="861"/>
      <c r="T9" s="271"/>
      <c r="U9" s="866"/>
      <c r="V9" s="858">
        <f t="shared" si="1"/>
        <v>0</v>
      </c>
      <c r="W9" s="867"/>
    </row>
    <row r="10" spans="1:25" s="878" customFormat="1">
      <c r="A10" s="856" t="str">
        <f>IF(B10&lt;&gt;"",#REF!+1,"")</f>
        <v/>
      </c>
      <c r="B10" s="869"/>
      <c r="C10" s="870"/>
      <c r="D10" s="706"/>
      <c r="E10" s="871"/>
      <c r="F10" s="872"/>
      <c r="G10" s="873"/>
      <c r="H10" s="706"/>
      <c r="I10" s="872"/>
      <c r="J10" s="874"/>
      <c r="K10" s="872"/>
      <c r="L10" s="875"/>
      <c r="M10" s="872"/>
      <c r="N10" s="858"/>
      <c r="O10" s="876"/>
      <c r="P10" s="706" t="str">
        <f>IF(B10&lt;&gt;"",N10/O10,"")</f>
        <v/>
      </c>
      <c r="Q10" s="877"/>
      <c r="R10" s="865"/>
      <c r="S10" s="861"/>
      <c r="T10" s="271"/>
      <c r="U10" s="866"/>
      <c r="V10" s="858">
        <f t="shared" si="1"/>
        <v>0</v>
      </c>
      <c r="W10" s="867"/>
    </row>
    <row r="11" spans="1:25" s="833" customFormat="1">
      <c r="A11" s="879"/>
      <c r="B11" s="880" t="s">
        <v>723</v>
      </c>
      <c r="C11" s="881"/>
      <c r="D11" s="882">
        <f>SUM(D7:D10)</f>
        <v>0</v>
      </c>
      <c r="E11" s="882"/>
      <c r="F11" s="882"/>
      <c r="G11" s="882">
        <f>SUM(G7:G10)</f>
        <v>0</v>
      </c>
      <c r="H11" s="883"/>
      <c r="I11" s="883">
        <f>V17</f>
        <v>0</v>
      </c>
      <c r="J11" s="883"/>
      <c r="K11" s="883"/>
      <c r="L11" s="882">
        <f>ROUND(SUM(L7:L10),0)</f>
        <v>0</v>
      </c>
      <c r="M11" s="882">
        <f>ROUND(SUM(M7:M10),0)</f>
        <v>0</v>
      </c>
      <c r="N11" s="882">
        <f>ROUND(SUM(N7:N10),0)</f>
        <v>0</v>
      </c>
      <c r="O11" s="882">
        <f>ROUND(SUM(O7:O10),0)</f>
        <v>0</v>
      </c>
      <c r="P11" s="882"/>
      <c r="Q11" s="838"/>
      <c r="R11" s="865"/>
      <c r="S11" s="861"/>
      <c r="T11" s="271"/>
      <c r="U11" s="866"/>
      <c r="V11" s="858">
        <f t="shared" si="1"/>
        <v>0</v>
      </c>
      <c r="W11" s="867"/>
    </row>
    <row r="12" spans="1:25" s="833" customFormat="1">
      <c r="A12" s="884"/>
      <c r="B12" s="885"/>
      <c r="C12" s="842"/>
      <c r="D12" s="886"/>
      <c r="E12" s="886"/>
      <c r="F12" s="886"/>
      <c r="G12" s="886"/>
      <c r="H12" s="886"/>
      <c r="I12" s="840"/>
      <c r="J12" s="886"/>
      <c r="K12" s="886"/>
      <c r="L12" s="886"/>
      <c r="M12" s="886"/>
      <c r="N12" s="886"/>
      <c r="O12" s="886"/>
      <c r="P12" s="886"/>
      <c r="Q12" s="838"/>
      <c r="R12" s="865"/>
      <c r="S12" s="861"/>
      <c r="T12" s="271"/>
      <c r="U12" s="866"/>
      <c r="V12" s="858">
        <f t="shared" si="1"/>
        <v>0</v>
      </c>
      <c r="W12" s="867"/>
    </row>
    <row r="13" spans="1:25" s="833" customFormat="1">
      <c r="A13" s="884"/>
      <c r="B13" s="885"/>
      <c r="C13" s="842"/>
      <c r="D13" s="886"/>
      <c r="E13" s="886"/>
      <c r="F13" s="886"/>
      <c r="G13" s="887"/>
      <c r="H13" s="886"/>
      <c r="I13" s="840"/>
      <c r="J13" s="886"/>
      <c r="K13" s="886"/>
      <c r="L13" s="886"/>
      <c r="M13" s="886"/>
      <c r="N13" s="886"/>
      <c r="O13" s="886"/>
      <c r="P13" s="886"/>
      <c r="Q13" s="838"/>
      <c r="R13" s="589"/>
      <c r="S13" s="861"/>
      <c r="T13" s="589"/>
      <c r="U13" s="515"/>
      <c r="V13" s="858">
        <f t="shared" si="1"/>
        <v>0</v>
      </c>
      <c r="W13" s="867"/>
    </row>
    <row r="14" spans="1:25" s="833" customFormat="1">
      <c r="A14" s="884"/>
      <c r="B14" s="885"/>
      <c r="C14" s="842"/>
      <c r="D14" s="886"/>
      <c r="E14" s="886"/>
      <c r="F14" s="886"/>
      <c r="G14" s="887"/>
      <c r="H14" s="886"/>
      <c r="I14" s="840"/>
      <c r="J14" s="886"/>
      <c r="K14" s="886"/>
      <c r="L14" s="886"/>
      <c r="M14" s="886"/>
      <c r="N14" s="886"/>
      <c r="O14" s="886"/>
      <c r="P14" s="886"/>
      <c r="Q14" s="838"/>
      <c r="R14" s="865"/>
      <c r="S14" s="861"/>
      <c r="T14" s="271"/>
      <c r="U14" s="866"/>
      <c r="V14" s="858">
        <f t="shared" si="1"/>
        <v>0</v>
      </c>
      <c r="W14" s="867"/>
    </row>
    <row r="15" spans="1:25" s="833" customFormat="1">
      <c r="A15" s="884"/>
      <c r="B15" s="885"/>
      <c r="C15" s="842"/>
      <c r="D15" s="886"/>
      <c r="E15" s="886"/>
      <c r="F15" s="886"/>
      <c r="G15" s="887"/>
      <c r="H15" s="886"/>
      <c r="I15" s="840"/>
      <c r="J15" s="886"/>
      <c r="K15" s="886"/>
      <c r="L15" s="886"/>
      <c r="M15" s="886"/>
      <c r="N15" s="886"/>
      <c r="O15" s="886"/>
      <c r="P15" s="886"/>
      <c r="Q15" s="829"/>
      <c r="R15" s="865"/>
      <c r="S15" s="861"/>
      <c r="T15" s="888"/>
      <c r="U15" s="888"/>
      <c r="V15" s="858">
        <f t="shared" si="1"/>
        <v>0</v>
      </c>
      <c r="W15" s="867"/>
    </row>
    <row r="16" spans="1:25" s="833" customFormat="1">
      <c r="A16" s="884"/>
      <c r="B16" s="885"/>
      <c r="C16" s="842"/>
      <c r="D16" s="886"/>
      <c r="E16" s="886"/>
      <c r="F16" s="886"/>
      <c r="G16" s="887"/>
      <c r="H16" s="886"/>
      <c r="I16" s="840"/>
      <c r="J16" s="886"/>
      <c r="K16" s="886"/>
      <c r="L16" s="886"/>
      <c r="M16" s="886"/>
      <c r="N16" s="886"/>
      <c r="O16" s="886"/>
      <c r="P16" s="886"/>
      <c r="Q16" s="829"/>
      <c r="R16" s="889"/>
      <c r="S16" s="861"/>
      <c r="T16" s="890"/>
      <c r="U16" s="890"/>
      <c r="V16" s="890"/>
      <c r="W16" s="867"/>
    </row>
    <row r="17" spans="1:24" s="833" customFormat="1">
      <c r="A17" s="884"/>
      <c r="B17" s="885"/>
      <c r="C17" s="842"/>
      <c r="D17" s="886"/>
      <c r="E17" s="886"/>
      <c r="F17" s="886"/>
      <c r="G17" s="886"/>
      <c r="H17" s="886"/>
      <c r="I17" s="840"/>
      <c r="J17" s="886"/>
      <c r="K17" s="886"/>
      <c r="L17" s="886"/>
      <c r="M17" s="886"/>
      <c r="N17" s="886"/>
      <c r="O17" s="886"/>
      <c r="P17" s="886"/>
      <c r="Q17" s="829"/>
      <c r="R17" s="1259"/>
      <c r="S17" s="1259"/>
      <c r="T17" s="1259"/>
      <c r="U17" s="891"/>
      <c r="V17" s="892">
        <f>SUM(V7:V16)</f>
        <v>0</v>
      </c>
      <c r="W17" s="892">
        <f>SUM(W7:W16)</f>
        <v>0</v>
      </c>
    </row>
    <row r="18" spans="1:24">
      <c r="G18" s="847"/>
      <c r="H18" s="847"/>
      <c r="I18" s="893"/>
      <c r="N18" s="894"/>
      <c r="O18" s="886"/>
      <c r="R18" s="888"/>
      <c r="S18" s="861"/>
      <c r="T18" s="271"/>
      <c r="U18" s="271"/>
      <c r="V18" s="858">
        <f>ROUND(T18*U18,0)</f>
        <v>0</v>
      </c>
      <c r="W18" s="874"/>
    </row>
    <row r="19" spans="1:24">
      <c r="G19" s="847"/>
      <c r="H19" s="847"/>
      <c r="I19" s="893"/>
      <c r="N19" s="894"/>
      <c r="O19" s="886"/>
      <c r="R19" s="888"/>
      <c r="S19" s="861"/>
      <c r="T19" s="271"/>
      <c r="U19" s="866"/>
      <c r="V19" s="858">
        <f>ROUND(T19*U19,0)</f>
        <v>0</v>
      </c>
      <c r="W19" s="874"/>
    </row>
    <row r="20" spans="1:24">
      <c r="G20" s="847"/>
      <c r="H20" s="847"/>
      <c r="I20" s="893"/>
      <c r="N20" s="894"/>
      <c r="O20" s="886"/>
      <c r="R20" s="888"/>
      <c r="S20" s="861"/>
      <c r="T20" s="866"/>
      <c r="U20" s="866"/>
      <c r="V20" s="858">
        <f>ROUND(T20*U20,0)</f>
        <v>0</v>
      </c>
      <c r="W20" s="874"/>
    </row>
    <row r="21" spans="1:24">
      <c r="G21" s="847"/>
      <c r="H21" s="847"/>
      <c r="I21" s="893"/>
      <c r="N21" s="894"/>
      <c r="O21" s="886"/>
      <c r="R21" s="865"/>
      <c r="S21" s="861"/>
      <c r="T21" s="866"/>
      <c r="U21" s="866"/>
      <c r="V21" s="858">
        <f>ROUND(T21*U21,0)</f>
        <v>0</v>
      </c>
      <c r="W21" s="874"/>
    </row>
    <row r="22" spans="1:24">
      <c r="G22" s="847"/>
      <c r="H22" s="847"/>
      <c r="I22" s="893"/>
      <c r="N22" s="894"/>
      <c r="O22" s="886"/>
      <c r="R22" s="888"/>
      <c r="S22" s="861"/>
      <c r="T22" s="866"/>
      <c r="U22" s="866"/>
      <c r="V22" s="858">
        <f>ROUND(T22*U22,0)</f>
        <v>0</v>
      </c>
      <c r="W22" s="874"/>
    </row>
    <row r="23" spans="1:24" ht="18" customHeight="1">
      <c r="A23" s="833" t="s">
        <v>706</v>
      </c>
      <c r="B23" s="833"/>
      <c r="C23" s="834"/>
      <c r="D23" s="835"/>
      <c r="E23" s="835"/>
      <c r="F23" s="835"/>
      <c r="G23" s="832"/>
      <c r="H23" s="832"/>
      <c r="I23" s="832"/>
      <c r="J23" s="832"/>
      <c r="K23" s="832"/>
      <c r="L23" s="836"/>
      <c r="M23" s="832"/>
      <c r="N23" s="832"/>
      <c r="O23" s="837"/>
      <c r="P23" s="832"/>
      <c r="Q23" s="838"/>
      <c r="R23" s="895"/>
      <c r="S23" s="896"/>
      <c r="T23" s="897"/>
      <c r="U23" s="897"/>
      <c r="V23" s="897"/>
      <c r="W23" s="898"/>
      <c r="X23" s="847"/>
    </row>
    <row r="24" spans="1:24" ht="18.75" customHeight="1">
      <c r="A24" s="840" t="s">
        <v>724</v>
      </c>
      <c r="B24" s="840"/>
      <c r="C24" s="840"/>
      <c r="D24" s="840"/>
      <c r="E24" s="840"/>
      <c r="F24" s="840"/>
      <c r="G24" s="840"/>
      <c r="H24" s="840"/>
      <c r="I24" s="840"/>
      <c r="J24" s="840"/>
      <c r="K24" s="840"/>
      <c r="L24" s="840"/>
      <c r="M24" s="840"/>
      <c r="N24" s="840"/>
      <c r="O24" s="840"/>
      <c r="P24" s="840"/>
      <c r="Q24" s="838"/>
      <c r="R24" s="899"/>
      <c r="S24" s="900"/>
      <c r="T24" s="848"/>
      <c r="U24" s="848"/>
      <c r="V24" s="901"/>
    </row>
    <row r="25" spans="1:24" ht="18.75" customHeight="1">
      <c r="A25" s="841"/>
      <c r="B25" s="841"/>
      <c r="C25" s="842"/>
      <c r="D25" s="841"/>
      <c r="E25" s="841"/>
      <c r="F25" s="841"/>
      <c r="G25" s="841"/>
      <c r="H25" s="841"/>
      <c r="I25" s="841"/>
      <c r="J25" s="841"/>
      <c r="K25" s="841"/>
      <c r="L25" s="840"/>
      <c r="M25" s="841"/>
      <c r="N25" s="841"/>
      <c r="O25" s="843"/>
      <c r="P25" s="841"/>
      <c r="Q25" s="838"/>
      <c r="R25" s="832"/>
      <c r="S25" s="839"/>
    </row>
    <row r="26" spans="1:24" ht="12.75" customHeight="1">
      <c r="A26" s="844"/>
      <c r="B26" s="844"/>
      <c r="C26" s="845"/>
      <c r="D26" s="844"/>
      <c r="E26" s="844"/>
      <c r="F26" s="844"/>
      <c r="G26" s="844"/>
      <c r="H26" s="844"/>
      <c r="I26" s="844"/>
      <c r="J26" s="844"/>
      <c r="K26" s="844"/>
      <c r="L26" s="844"/>
      <c r="M26" s="844"/>
      <c r="N26" s="844"/>
      <c r="O26" s="846"/>
      <c r="P26" s="844"/>
      <c r="Q26" s="838"/>
      <c r="R26" s="832"/>
      <c r="S26" s="839"/>
    </row>
    <row r="27" spans="1:24" s="855" customFormat="1" ht="30.75" customHeight="1">
      <c r="A27" s="849" t="s">
        <v>46</v>
      </c>
      <c r="B27" s="849" t="s">
        <v>708</v>
      </c>
      <c r="C27" s="850" t="s">
        <v>709</v>
      </c>
      <c r="D27" s="851" t="s">
        <v>710</v>
      </c>
      <c r="E27" s="851" t="s">
        <v>711</v>
      </c>
      <c r="F27" s="851" t="s">
        <v>712</v>
      </c>
      <c r="G27" s="851" t="s">
        <v>713</v>
      </c>
      <c r="H27" s="851" t="s">
        <v>714</v>
      </c>
      <c r="I27" s="851" t="s">
        <v>715</v>
      </c>
      <c r="J27" s="851" t="s">
        <v>716</v>
      </c>
      <c r="K27" s="852" t="s">
        <v>717</v>
      </c>
      <c r="L27" s="851" t="s">
        <v>718</v>
      </c>
      <c r="M27" s="852" t="s">
        <v>719</v>
      </c>
      <c r="N27" s="851" t="s">
        <v>720</v>
      </c>
      <c r="O27" s="853" t="s">
        <v>711</v>
      </c>
      <c r="P27" s="851" t="s">
        <v>721</v>
      </c>
      <c r="Q27" s="854"/>
      <c r="R27" s="849" t="s">
        <v>708</v>
      </c>
      <c r="S27" s="851" t="s">
        <v>675</v>
      </c>
      <c r="T27" s="851" t="s">
        <v>533</v>
      </c>
      <c r="U27" s="851" t="s">
        <v>712</v>
      </c>
      <c r="V27" s="851" t="s">
        <v>722</v>
      </c>
      <c r="W27" s="849" t="s">
        <v>722</v>
      </c>
    </row>
    <row r="28" spans="1:24">
      <c r="A28" s="856" t="str">
        <f>IF(B28&lt;&gt;"",ROW()-(ROW()-1),"")</f>
        <v/>
      </c>
      <c r="B28" s="868"/>
      <c r="C28" s="857"/>
      <c r="D28" s="706">
        <f>ROUND(C28*O28,0)</f>
        <v>0</v>
      </c>
      <c r="E28" s="706"/>
      <c r="F28" s="706">
        <v>13500</v>
      </c>
      <c r="G28" s="858">
        <f>(D28+E28)*F28</f>
        <v>0</v>
      </c>
      <c r="H28" s="706">
        <f>IF($D$31&lt;&gt;0,H$31/($D$31+$E$31/5)*($D28+$E28/5),0)</f>
        <v>0</v>
      </c>
      <c r="I28" s="706">
        <f t="shared" ref="I28:K29" si="2">IF($D$31&lt;&gt;0,I$31/$D$31*$D28,0)</f>
        <v>0</v>
      </c>
      <c r="J28" s="706">
        <f t="shared" si="2"/>
        <v>0</v>
      </c>
      <c r="K28" s="706">
        <f t="shared" si="2"/>
        <v>0</v>
      </c>
      <c r="L28" s="706">
        <f>V38</f>
        <v>0</v>
      </c>
      <c r="M28" s="706"/>
      <c r="N28" s="858">
        <f>SUM(G28:L28)</f>
        <v>0</v>
      </c>
      <c r="O28" s="706"/>
      <c r="P28" s="706" t="str">
        <f>IF(O28&lt;&gt;"",N28/O28,"")</f>
        <v/>
      </c>
      <c r="Q28" s="877"/>
      <c r="R28" s="860"/>
      <c r="S28" s="861"/>
      <c r="T28" s="271"/>
      <c r="U28" s="862"/>
      <c r="V28" s="858">
        <f t="shared" ref="V28:V35" si="3">ROUND(T28*U28,0)</f>
        <v>0</v>
      </c>
      <c r="W28" s="863"/>
    </row>
    <row r="29" spans="1:24">
      <c r="A29" s="856" t="str">
        <f>IF(B29&lt;&gt;"",A28+1,"")</f>
        <v/>
      </c>
      <c r="B29" s="865"/>
      <c r="C29" s="857">
        <f>IF(ISNA(VLOOKUP(B29,NXT!$Q$61:$S$81,2,0)),0,VLOOKUP(B29,NXT!$Q$61:$S$81,2,0))</f>
        <v>0</v>
      </c>
      <c r="D29" s="706">
        <f>ROUND(C29*O29,0)</f>
        <v>0</v>
      </c>
      <c r="E29" s="706"/>
      <c r="F29" s="706"/>
      <c r="G29" s="858">
        <f>(D29+E29)*F29</f>
        <v>0</v>
      </c>
      <c r="H29" s="706">
        <f>IF($D$31&lt;&gt;0,H$31/($D$31+$E$31/5)*($D29+$E29/5),0)</f>
        <v>0</v>
      </c>
      <c r="I29" s="706">
        <f t="shared" si="2"/>
        <v>0</v>
      </c>
      <c r="J29" s="706">
        <f t="shared" si="2"/>
        <v>0</v>
      </c>
      <c r="K29" s="706">
        <f t="shared" si="2"/>
        <v>0</v>
      </c>
      <c r="L29" s="706"/>
      <c r="M29" s="706"/>
      <c r="N29" s="858">
        <f>SUM(G29:L29)</f>
        <v>0</v>
      </c>
      <c r="O29" s="864"/>
      <c r="P29" s="706" t="str">
        <f>IF(O29&lt;&gt;"",N29/O29,"")</f>
        <v/>
      </c>
      <c r="Q29" s="877"/>
      <c r="R29" s="865"/>
      <c r="S29" s="861"/>
      <c r="T29" s="271"/>
      <c r="U29" s="271"/>
      <c r="V29" s="858">
        <f t="shared" si="3"/>
        <v>0</v>
      </c>
      <c r="W29" s="867"/>
    </row>
    <row r="30" spans="1:24" s="878" customFormat="1">
      <c r="A30" s="856" t="str">
        <f>IF(B30&lt;&gt;"",#REF!+1,"")</f>
        <v/>
      </c>
      <c r="B30" s="902"/>
      <c r="C30" s="903"/>
      <c r="D30" s="904"/>
      <c r="E30" s="904"/>
      <c r="F30" s="904"/>
      <c r="G30" s="905"/>
      <c r="H30" s="906"/>
      <c r="I30" s="904"/>
      <c r="J30" s="907"/>
      <c r="K30" s="904"/>
      <c r="L30" s="908"/>
      <c r="M30" s="904"/>
      <c r="N30" s="906"/>
      <c r="O30" s="909"/>
      <c r="P30" s="904"/>
      <c r="Q30" s="877"/>
      <c r="R30" s="865"/>
      <c r="S30" s="861"/>
      <c r="T30" s="271"/>
      <c r="U30" s="866"/>
      <c r="V30" s="858">
        <f t="shared" si="3"/>
        <v>0</v>
      </c>
      <c r="W30" s="867"/>
    </row>
    <row r="31" spans="1:24" s="833" customFormat="1">
      <c r="A31" s="879"/>
      <c r="B31" s="880" t="s">
        <v>723</v>
      </c>
      <c r="C31" s="881"/>
      <c r="D31" s="882">
        <f>SUM(D28:D30)</f>
        <v>0</v>
      </c>
      <c r="E31" s="882">
        <f>SUM(E28:E30)</f>
        <v>0</v>
      </c>
      <c r="F31" s="882"/>
      <c r="G31" s="882">
        <f>SUM(G28:G30)</f>
        <v>0</v>
      </c>
      <c r="H31" s="883"/>
      <c r="I31" s="883">
        <f>$V$37</f>
        <v>0</v>
      </c>
      <c r="J31" s="883"/>
      <c r="K31" s="883"/>
      <c r="L31" s="882">
        <f>ROUND(SUM(L28:L30),0)</f>
        <v>0</v>
      </c>
      <c r="M31" s="882">
        <f>ROUND(SUM(M28:M30),0)</f>
        <v>0</v>
      </c>
      <c r="N31" s="882">
        <f>ROUND(SUM(N28:N30),0)</f>
        <v>0</v>
      </c>
      <c r="O31" s="882">
        <f>ROUND(SUM(O28:O30),0)</f>
        <v>0</v>
      </c>
      <c r="P31" s="882"/>
      <c r="Q31" s="838"/>
      <c r="R31" s="865"/>
      <c r="S31" s="861"/>
      <c r="T31" s="271"/>
      <c r="U31" s="866"/>
      <c r="V31" s="858">
        <f t="shared" si="3"/>
        <v>0</v>
      </c>
      <c r="W31" s="867"/>
    </row>
    <row r="32" spans="1:24" s="833" customFormat="1">
      <c r="A32" s="884"/>
      <c r="B32" s="885"/>
      <c r="C32" s="842"/>
      <c r="D32" s="886"/>
      <c r="E32" s="886"/>
      <c r="F32" s="886"/>
      <c r="G32" s="886"/>
      <c r="H32" s="886"/>
      <c r="I32" s="840"/>
      <c r="J32" s="886"/>
      <c r="K32" s="886"/>
      <c r="L32" s="886"/>
      <c r="M32" s="886"/>
      <c r="N32" s="886"/>
      <c r="O32" s="886"/>
      <c r="P32" s="886"/>
      <c r="Q32" s="838"/>
      <c r="R32" s="865"/>
      <c r="S32" s="861"/>
      <c r="T32" s="271"/>
      <c r="U32" s="271"/>
      <c r="V32" s="858">
        <f t="shared" si="3"/>
        <v>0</v>
      </c>
      <c r="W32" s="910"/>
    </row>
    <row r="33" spans="1:23" s="833" customFormat="1">
      <c r="A33" s="884"/>
      <c r="B33" s="885"/>
      <c r="C33" s="842"/>
      <c r="D33" s="886"/>
      <c r="E33" s="886"/>
      <c r="F33" s="886"/>
      <c r="G33" s="886"/>
      <c r="H33" s="886"/>
      <c r="I33" s="840"/>
      <c r="J33" s="886"/>
      <c r="K33" s="886"/>
      <c r="L33" s="886"/>
      <c r="M33" s="886"/>
      <c r="N33" s="886"/>
      <c r="O33" s="886"/>
      <c r="P33" s="886"/>
      <c r="Q33" s="838"/>
      <c r="R33" s="865"/>
      <c r="S33" s="861"/>
      <c r="T33" s="271"/>
      <c r="U33" s="271"/>
      <c r="V33" s="858">
        <f t="shared" si="3"/>
        <v>0</v>
      </c>
      <c r="W33" s="910"/>
    </row>
    <row r="34" spans="1:23" s="833" customFormat="1">
      <c r="A34" s="884"/>
      <c r="B34" s="885"/>
      <c r="C34" s="842"/>
      <c r="D34" s="886"/>
      <c r="E34" s="886"/>
      <c r="F34" s="886"/>
      <c r="G34" s="886"/>
      <c r="H34" s="886"/>
      <c r="I34" s="840"/>
      <c r="J34" s="886"/>
      <c r="K34" s="886"/>
      <c r="L34" s="886"/>
      <c r="M34" s="886"/>
      <c r="N34" s="886"/>
      <c r="O34" s="886"/>
      <c r="P34" s="886"/>
      <c r="Q34" s="838"/>
      <c r="R34" s="865"/>
      <c r="S34" s="861"/>
      <c r="T34" s="271"/>
      <c r="U34" s="271"/>
      <c r="V34" s="858">
        <f t="shared" si="3"/>
        <v>0</v>
      </c>
      <c r="W34" s="910"/>
    </row>
    <row r="35" spans="1:23" s="833" customFormat="1">
      <c r="A35" s="884"/>
      <c r="B35" s="885"/>
      <c r="C35" s="842"/>
      <c r="D35" s="886"/>
      <c r="E35" s="886"/>
      <c r="F35" s="886"/>
      <c r="G35" s="886"/>
      <c r="H35" s="886"/>
      <c r="I35" s="840"/>
      <c r="J35" s="886"/>
      <c r="K35" s="886"/>
      <c r="L35" s="886"/>
      <c r="M35" s="886"/>
      <c r="N35" s="886"/>
      <c r="O35" s="886"/>
      <c r="P35" s="886"/>
      <c r="Q35" s="838"/>
      <c r="R35" s="865"/>
      <c r="S35" s="861"/>
      <c r="T35" s="271"/>
      <c r="U35" s="888"/>
      <c r="V35" s="858">
        <f t="shared" si="3"/>
        <v>0</v>
      </c>
      <c r="W35" s="910"/>
    </row>
    <row r="36" spans="1:23">
      <c r="R36" s="889"/>
      <c r="S36" s="861"/>
      <c r="T36" s="890"/>
      <c r="U36" s="271"/>
      <c r="V36" s="890"/>
      <c r="W36" s="910"/>
    </row>
    <row r="37" spans="1:23">
      <c r="R37" s="911"/>
      <c r="S37" s="912"/>
      <c r="T37" s="913"/>
      <c r="U37" s="891"/>
      <c r="V37" s="892">
        <f>SUM(V28:V36)</f>
        <v>0</v>
      </c>
      <c r="W37" s="892">
        <f>SUM(W28:W36)</f>
        <v>0</v>
      </c>
    </row>
    <row r="38" spans="1:23">
      <c r="R38" s="914"/>
      <c r="S38" s="861"/>
      <c r="T38" s="271"/>
      <c r="U38" s="271"/>
      <c r="V38" s="858">
        <f>ROUND(T38*U38,0)</f>
        <v>0</v>
      </c>
      <c r="W38" s="863"/>
    </row>
    <row r="39" spans="1:23">
      <c r="R39" s="914"/>
      <c r="S39" s="861"/>
      <c r="T39" s="271"/>
      <c r="U39" s="271"/>
      <c r="V39" s="858">
        <f>ROUND(T39*U39,0)</f>
        <v>0</v>
      </c>
      <c r="W39" s="863"/>
    </row>
    <row r="40" spans="1:23">
      <c r="R40" s="914"/>
      <c r="S40" s="861"/>
      <c r="T40" s="271"/>
      <c r="U40" s="271"/>
      <c r="V40" s="858">
        <f>ROUND(T40*U40,0)</f>
        <v>0</v>
      </c>
      <c r="W40" s="863"/>
    </row>
    <row r="41" spans="1:23" ht="18" customHeight="1">
      <c r="A41" s="833" t="s">
        <v>706</v>
      </c>
      <c r="B41" s="833"/>
      <c r="C41" s="834"/>
      <c r="D41" s="835"/>
      <c r="E41" s="835"/>
      <c r="F41" s="835"/>
      <c r="G41" s="832"/>
      <c r="H41" s="832"/>
      <c r="I41" s="832"/>
      <c r="J41" s="832"/>
      <c r="K41" s="832"/>
      <c r="L41" s="836"/>
      <c r="M41" s="832"/>
      <c r="N41" s="832"/>
      <c r="O41" s="837"/>
      <c r="P41" s="832"/>
      <c r="Q41" s="838"/>
      <c r="R41" s="838"/>
      <c r="S41" s="915"/>
      <c r="T41" s="848"/>
      <c r="U41" s="848"/>
      <c r="V41" s="848"/>
      <c r="W41" s="916"/>
    </row>
    <row r="42" spans="1:23" ht="18.75" customHeight="1">
      <c r="A42" s="840" t="s">
        <v>725</v>
      </c>
      <c r="B42" s="840"/>
      <c r="C42" s="840"/>
      <c r="D42" s="840"/>
      <c r="E42" s="840"/>
      <c r="F42" s="840"/>
      <c r="G42" s="840"/>
      <c r="H42" s="840"/>
      <c r="I42" s="840"/>
      <c r="J42" s="840"/>
      <c r="K42" s="840"/>
      <c r="L42" s="840"/>
      <c r="M42" s="840"/>
      <c r="N42" s="840"/>
      <c r="O42" s="840"/>
      <c r="P42" s="840"/>
      <c r="Q42" s="838"/>
      <c r="R42" s="899"/>
      <c r="S42" s="900"/>
      <c r="T42" s="848"/>
      <c r="U42" s="848"/>
      <c r="V42" s="901"/>
      <c r="W42" s="916"/>
    </row>
    <row r="43" spans="1:23" ht="18.75" customHeight="1">
      <c r="A43" s="841"/>
      <c r="B43" s="841"/>
      <c r="C43" s="842"/>
      <c r="D43" s="841"/>
      <c r="E43" s="841"/>
      <c r="F43" s="841"/>
      <c r="G43" s="841"/>
      <c r="H43" s="841"/>
      <c r="I43" s="841"/>
      <c r="J43" s="841"/>
      <c r="K43" s="841"/>
      <c r="L43" s="840"/>
      <c r="M43" s="841"/>
      <c r="N43" s="841"/>
      <c r="O43" s="843"/>
      <c r="P43" s="841"/>
      <c r="Q43" s="838"/>
      <c r="R43" s="899"/>
      <c r="S43" s="900"/>
      <c r="T43" s="848"/>
      <c r="U43" s="848"/>
      <c r="V43" s="901"/>
      <c r="W43" s="916"/>
    </row>
    <row r="44" spans="1:23" ht="12.75" customHeight="1">
      <c r="A44" s="844"/>
      <c r="B44" s="844"/>
      <c r="C44" s="845"/>
      <c r="D44" s="844"/>
      <c r="E44" s="844"/>
      <c r="F44" s="844"/>
      <c r="G44" s="844"/>
      <c r="H44" s="844"/>
      <c r="I44" s="844"/>
      <c r="J44" s="844"/>
      <c r="K44" s="844"/>
      <c r="L44" s="844"/>
      <c r="M44" s="844"/>
      <c r="N44" s="844"/>
      <c r="O44" s="846"/>
      <c r="P44" s="844"/>
      <c r="Q44" s="838"/>
      <c r="R44" s="899"/>
      <c r="S44" s="900"/>
      <c r="T44" s="848"/>
      <c r="U44" s="848"/>
      <c r="V44" s="901"/>
      <c r="W44" s="847"/>
    </row>
    <row r="45" spans="1:23" s="855" customFormat="1" ht="30.75" customHeight="1">
      <c r="A45" s="849" t="s">
        <v>46</v>
      </c>
      <c r="B45" s="849" t="s">
        <v>708</v>
      </c>
      <c r="C45" s="850" t="s">
        <v>709</v>
      </c>
      <c r="D45" s="851" t="s">
        <v>710</v>
      </c>
      <c r="E45" s="851" t="s">
        <v>711</v>
      </c>
      <c r="F45" s="851" t="s">
        <v>712</v>
      </c>
      <c r="G45" s="851" t="s">
        <v>713</v>
      </c>
      <c r="H45" s="851" t="s">
        <v>714</v>
      </c>
      <c r="I45" s="851" t="s">
        <v>715</v>
      </c>
      <c r="J45" s="851" t="s">
        <v>716</v>
      </c>
      <c r="K45" s="852" t="s">
        <v>717</v>
      </c>
      <c r="L45" s="851" t="s">
        <v>718</v>
      </c>
      <c r="M45" s="852" t="s">
        <v>719</v>
      </c>
      <c r="N45" s="851" t="s">
        <v>720</v>
      </c>
      <c r="O45" s="853" t="s">
        <v>711</v>
      </c>
      <c r="P45" s="851" t="s">
        <v>721</v>
      </c>
      <c r="Q45" s="854"/>
      <c r="R45" s="849" t="s">
        <v>708</v>
      </c>
      <c r="S45" s="851" t="s">
        <v>675</v>
      </c>
      <c r="T45" s="851" t="s">
        <v>533</v>
      </c>
      <c r="U45" s="851" t="s">
        <v>712</v>
      </c>
      <c r="V45" s="851" t="s">
        <v>722</v>
      </c>
      <c r="W45" s="849" t="s">
        <v>722</v>
      </c>
    </row>
    <row r="46" spans="1:23">
      <c r="A46" s="856" t="str">
        <f>IF(B46&lt;&gt;"",#REF!+1,"")</f>
        <v/>
      </c>
      <c r="B46" s="917"/>
      <c r="C46" s="857"/>
      <c r="D46" s="706">
        <f>ROUND(C46*O46,0)</f>
        <v>0</v>
      </c>
      <c r="E46" s="706"/>
      <c r="F46" s="706"/>
      <c r="G46" s="858">
        <f t="shared" ref="G46:G47" si="4">(D46+E46)*F46</f>
        <v>0</v>
      </c>
      <c r="H46" s="706">
        <f>IF($D$50&lt;&gt;0,H$50/($D$50+$E$50/5)*($D46+$E46/5),0)</f>
        <v>0</v>
      </c>
      <c r="I46" s="706">
        <f t="shared" ref="I46:K48" si="5">IF($D$50&lt;&gt;0,I$50/$D$50*$D46,0)</f>
        <v>0</v>
      </c>
      <c r="J46" s="706">
        <f t="shared" si="5"/>
        <v>0</v>
      </c>
      <c r="K46" s="706">
        <f t="shared" si="5"/>
        <v>0</v>
      </c>
      <c r="L46" s="706"/>
      <c r="M46" s="706"/>
      <c r="N46" s="858">
        <f>ROUND(SUM(G46:L46),0)</f>
        <v>0</v>
      </c>
      <c r="O46" s="864"/>
      <c r="P46" s="706" t="str">
        <f>IF(O46&lt;&gt;"",N46/O46,"")</f>
        <v/>
      </c>
      <c r="Q46" s="877"/>
      <c r="R46" s="865"/>
      <c r="S46" s="861"/>
      <c r="T46" s="271"/>
      <c r="U46" s="866"/>
      <c r="V46" s="858">
        <f t="shared" ref="V46:V53" si="6">ROUND(T46*U46,0)</f>
        <v>0</v>
      </c>
      <c r="W46" s="867"/>
    </row>
    <row r="47" spans="1:23">
      <c r="A47" s="856" t="str">
        <f>IF(B47&lt;&gt;"",A46+1,"")</f>
        <v/>
      </c>
      <c r="B47" s="868"/>
      <c r="C47" s="857">
        <f>IF(ISNA(VLOOKUP(B47,NXT!$Q$61:$S$81,2,0)),0,VLOOKUP(B47,NXT!$Q$61:$S$81,2,0))</f>
        <v>0</v>
      </c>
      <c r="D47" s="706">
        <f>ROUND(C47*O47,0)</f>
        <v>0</v>
      </c>
      <c r="E47" s="706"/>
      <c r="F47" s="706"/>
      <c r="G47" s="858">
        <f t="shared" si="4"/>
        <v>0</v>
      </c>
      <c r="H47" s="706">
        <f>IF($D$50&lt;&gt;0,H$50/($D$50+$E$50/5)*($D47+$E47/5),0)</f>
        <v>0</v>
      </c>
      <c r="I47" s="706">
        <f t="shared" si="5"/>
        <v>0</v>
      </c>
      <c r="J47" s="706">
        <f t="shared" si="5"/>
        <v>0</v>
      </c>
      <c r="K47" s="706">
        <f t="shared" si="5"/>
        <v>0</v>
      </c>
      <c r="L47" s="706"/>
      <c r="M47" s="706"/>
      <c r="N47" s="858">
        <f>ROUND(SUM(G47:L47),0)</f>
        <v>0</v>
      </c>
      <c r="O47" s="864"/>
      <c r="P47" s="706" t="str">
        <f>IF(O47&lt;&gt;"",N47/O47,"")</f>
        <v/>
      </c>
      <c r="Q47" s="877"/>
      <c r="R47" s="865"/>
      <c r="S47" s="861"/>
      <c r="T47" s="271"/>
      <c r="U47" s="866"/>
      <c r="V47" s="858">
        <f t="shared" si="6"/>
        <v>0</v>
      </c>
      <c r="W47" s="867"/>
    </row>
    <row r="48" spans="1:23">
      <c r="A48" s="856" t="str">
        <f>IF(B48&lt;&gt;"",A47+1,"")</f>
        <v/>
      </c>
      <c r="B48" s="868"/>
      <c r="C48" s="857">
        <f>IF(ISNA(VLOOKUP(B48,NXT!$Q$61:$S$81,2,0)),0,VLOOKUP(B48,NXT!$Q$61:$S$81,2,0))</f>
        <v>0</v>
      </c>
      <c r="D48" s="706">
        <f>ROUND(C48*O48,0)</f>
        <v>0</v>
      </c>
      <c r="E48" s="706"/>
      <c r="F48" s="706"/>
      <c r="G48" s="858">
        <f>(D48+E48)*F48</f>
        <v>0</v>
      </c>
      <c r="H48" s="706">
        <f>IF($D$50&lt;&gt;0,H$50/($D$50+$E$50/5)*($D48+$E48/5),0)</f>
        <v>0</v>
      </c>
      <c r="I48" s="706">
        <f t="shared" si="5"/>
        <v>0</v>
      </c>
      <c r="J48" s="706">
        <f t="shared" si="5"/>
        <v>0</v>
      </c>
      <c r="K48" s="706">
        <f t="shared" si="5"/>
        <v>0</v>
      </c>
      <c r="L48" s="706"/>
      <c r="M48" s="706"/>
      <c r="N48" s="858">
        <f>ROUND(SUM(G48:L48),0)</f>
        <v>0</v>
      </c>
      <c r="O48" s="864"/>
      <c r="P48" s="706" t="str">
        <f>IF(O48&lt;&gt;"",N48/O48,"")</f>
        <v/>
      </c>
      <c r="Q48" s="877"/>
      <c r="R48" s="865"/>
      <c r="S48" s="861"/>
      <c r="T48" s="888"/>
      <c r="U48" s="866"/>
      <c r="V48" s="858">
        <f t="shared" si="6"/>
        <v>0</v>
      </c>
      <c r="W48" s="867"/>
    </row>
    <row r="49" spans="1:23">
      <c r="A49" s="856" t="str">
        <f>IF(B49&lt;&gt;"",#REF!+1,"")</f>
        <v/>
      </c>
      <c r="B49" s="869"/>
      <c r="C49" s="870"/>
      <c r="D49" s="872"/>
      <c r="E49" s="872"/>
      <c r="F49" s="872"/>
      <c r="G49" s="873"/>
      <c r="H49" s="918"/>
      <c r="I49" s="872"/>
      <c r="J49" s="874"/>
      <c r="K49" s="872"/>
      <c r="L49" s="875"/>
      <c r="M49" s="872"/>
      <c r="N49" s="918"/>
      <c r="O49" s="876"/>
      <c r="P49" s="872"/>
      <c r="Q49" s="877"/>
      <c r="R49" s="865"/>
      <c r="S49" s="861"/>
      <c r="T49" s="888"/>
      <c r="U49" s="888"/>
      <c r="V49" s="858">
        <f t="shared" si="6"/>
        <v>0</v>
      </c>
      <c r="W49" s="867"/>
    </row>
    <row r="50" spans="1:23" s="878" customFormat="1">
      <c r="A50" s="879"/>
      <c r="B50" s="880" t="s">
        <v>723</v>
      </c>
      <c r="C50" s="881"/>
      <c r="D50" s="882">
        <f>SUM(D46:D49)</f>
        <v>0</v>
      </c>
      <c r="E50" s="882">
        <f>SUM(E46:E49)</f>
        <v>0</v>
      </c>
      <c r="F50" s="882"/>
      <c r="G50" s="882">
        <f>SUM(G46:G49)</f>
        <v>0</v>
      </c>
      <c r="H50" s="883"/>
      <c r="I50" s="883">
        <f>V55</f>
        <v>0</v>
      </c>
      <c r="J50" s="883"/>
      <c r="K50" s="883"/>
      <c r="L50" s="882">
        <f>ROUND(SUM(L46:L49),0)</f>
        <v>0</v>
      </c>
      <c r="M50" s="882">
        <f>ROUND(SUM(M46:M49),0)</f>
        <v>0</v>
      </c>
      <c r="N50" s="882">
        <f>ROUND(SUM(N46:N49),0)</f>
        <v>0</v>
      </c>
      <c r="O50" s="882">
        <f>ROUND(SUM(O46:O49),0)</f>
        <v>0</v>
      </c>
      <c r="P50" s="882"/>
      <c r="Q50" s="877"/>
      <c r="R50" s="865"/>
      <c r="S50" s="861"/>
      <c r="T50" s="888"/>
      <c r="U50" s="866"/>
      <c r="V50" s="858">
        <f t="shared" si="6"/>
        <v>0</v>
      </c>
      <c r="W50" s="867"/>
    </row>
    <row r="51" spans="1:23" s="833" customFormat="1">
      <c r="A51" s="884"/>
      <c r="B51" s="885"/>
      <c r="C51" s="842"/>
      <c r="D51" s="886"/>
      <c r="E51" s="886"/>
      <c r="F51" s="886"/>
      <c r="G51" s="886"/>
      <c r="H51" s="840"/>
      <c r="I51" s="840"/>
      <c r="J51" s="840"/>
      <c r="K51" s="840"/>
      <c r="L51" s="840"/>
      <c r="M51" s="886"/>
      <c r="N51" s="886"/>
      <c r="O51" s="886"/>
      <c r="P51" s="886"/>
      <c r="Q51" s="838"/>
      <c r="R51" s="589"/>
      <c r="S51" s="919"/>
      <c r="T51" s="888"/>
      <c r="U51" s="866"/>
      <c r="V51" s="858">
        <f t="shared" si="6"/>
        <v>0</v>
      </c>
      <c r="W51" s="867"/>
    </row>
    <row r="52" spans="1:23" s="833" customFormat="1">
      <c r="A52" s="884"/>
      <c r="B52" s="885"/>
      <c r="C52" s="842"/>
      <c r="D52" s="886"/>
      <c r="E52" s="886"/>
      <c r="F52" s="886"/>
      <c r="G52" s="886"/>
      <c r="H52" s="840"/>
      <c r="I52" s="840"/>
      <c r="J52" s="840"/>
      <c r="K52" s="840"/>
      <c r="L52" s="840"/>
      <c r="M52" s="886"/>
      <c r="N52" s="886"/>
      <c r="O52" s="886"/>
      <c r="P52" s="886"/>
      <c r="Q52" s="838"/>
      <c r="R52" s="865"/>
      <c r="S52" s="861"/>
      <c r="T52" s="888"/>
      <c r="U52" s="866"/>
      <c r="V52" s="858">
        <f t="shared" si="6"/>
        <v>0</v>
      </c>
      <c r="W52" s="867"/>
    </row>
    <row r="53" spans="1:23" s="833" customFormat="1">
      <c r="A53" s="884"/>
      <c r="B53" s="885"/>
      <c r="C53" s="842"/>
      <c r="D53" s="886"/>
      <c r="E53" s="886"/>
      <c r="F53" s="886"/>
      <c r="G53" s="886"/>
      <c r="H53" s="840"/>
      <c r="I53" s="840"/>
      <c r="J53" s="840"/>
      <c r="K53" s="840"/>
      <c r="L53" s="840"/>
      <c r="M53" s="886"/>
      <c r="N53" s="886"/>
      <c r="O53" s="886"/>
      <c r="P53" s="886"/>
      <c r="Q53" s="838"/>
      <c r="R53" s="865"/>
      <c r="S53" s="861"/>
      <c r="T53" s="888"/>
      <c r="U53" s="866"/>
      <c r="V53" s="858">
        <f t="shared" si="6"/>
        <v>0</v>
      </c>
      <c r="W53" s="867"/>
    </row>
    <row r="54" spans="1:23" s="833" customFormat="1">
      <c r="A54" s="884"/>
      <c r="B54" s="885"/>
      <c r="C54" s="842"/>
      <c r="D54" s="886"/>
      <c r="E54" s="886"/>
      <c r="F54" s="886"/>
      <c r="G54" s="886"/>
      <c r="H54" s="886"/>
      <c r="I54" s="840"/>
      <c r="J54" s="886"/>
      <c r="K54" s="886"/>
      <c r="L54" s="886"/>
      <c r="M54" s="886"/>
      <c r="N54" s="886"/>
      <c r="O54" s="886"/>
      <c r="P54" s="886"/>
      <c r="Q54" s="838"/>
      <c r="R54" s="920"/>
      <c r="S54" s="921"/>
      <c r="T54" s="922"/>
      <c r="U54" s="922"/>
      <c r="V54" s="922"/>
      <c r="W54" s="923"/>
    </row>
    <row r="55" spans="1:23" s="833" customFormat="1">
      <c r="A55" s="884"/>
      <c r="B55" s="885"/>
      <c r="C55" s="842"/>
      <c r="D55" s="886"/>
      <c r="E55" s="886"/>
      <c r="F55" s="886"/>
      <c r="G55" s="886"/>
      <c r="H55" s="886"/>
      <c r="I55" s="840"/>
      <c r="J55" s="886"/>
      <c r="K55" s="886"/>
      <c r="L55" s="886"/>
      <c r="M55" s="886"/>
      <c r="N55" s="886"/>
      <c r="O55" s="886"/>
      <c r="P55" s="886"/>
      <c r="Q55" s="838"/>
      <c r="R55" s="911"/>
      <c r="S55" s="912"/>
      <c r="T55" s="913"/>
      <c r="U55" s="891"/>
      <c r="V55" s="892">
        <f>SUM(V46:V54)</f>
        <v>0</v>
      </c>
      <c r="W55" s="892">
        <f>SUM(W46:W51)</f>
        <v>0</v>
      </c>
    </row>
    <row r="56" spans="1:23" s="833" customFormat="1">
      <c r="A56" s="884"/>
      <c r="B56" s="885"/>
      <c r="C56" s="842"/>
      <c r="D56" s="886"/>
      <c r="E56" s="886"/>
      <c r="F56" s="886"/>
      <c r="G56" s="887"/>
      <c r="H56" s="886"/>
      <c r="I56" s="840"/>
      <c r="J56" s="886"/>
      <c r="K56" s="886"/>
      <c r="L56" s="886"/>
      <c r="M56" s="886"/>
      <c r="N56" s="924"/>
      <c r="O56" s="886"/>
      <c r="P56" s="886"/>
      <c r="Q56" s="838"/>
      <c r="R56" s="914"/>
      <c r="S56" s="861"/>
      <c r="T56" s="271"/>
      <c r="U56" s="271"/>
      <c r="V56" s="858">
        <f t="shared" ref="V56:V61" si="7">ROUND(T56*U56,0)</f>
        <v>0</v>
      </c>
      <c r="W56" s="858"/>
    </row>
    <row r="57" spans="1:23" s="833" customFormat="1">
      <c r="A57" s="884"/>
      <c r="B57" s="885"/>
      <c r="C57" s="842"/>
      <c r="D57" s="886"/>
      <c r="E57" s="886"/>
      <c r="F57" s="886"/>
      <c r="G57" s="886"/>
      <c r="H57" s="886"/>
      <c r="I57" s="840"/>
      <c r="J57" s="886"/>
      <c r="K57" s="886"/>
      <c r="L57" s="886"/>
      <c r="M57" s="886"/>
      <c r="N57" s="886"/>
      <c r="O57" s="886"/>
      <c r="P57" s="886"/>
      <c r="Q57" s="838"/>
      <c r="R57" s="914"/>
      <c r="S57" s="861"/>
      <c r="T57" s="866"/>
      <c r="U57" s="866"/>
      <c r="V57" s="858">
        <f t="shared" si="7"/>
        <v>0</v>
      </c>
      <c r="W57" s="874"/>
    </row>
    <row r="58" spans="1:23" s="833" customFormat="1">
      <c r="A58" s="884"/>
      <c r="B58" s="885"/>
      <c r="C58" s="842"/>
      <c r="D58" s="886"/>
      <c r="E58" s="886"/>
      <c r="F58" s="886"/>
      <c r="G58" s="886"/>
      <c r="H58" s="886"/>
      <c r="I58" s="840"/>
      <c r="J58" s="886"/>
      <c r="K58" s="886"/>
      <c r="L58" s="886"/>
      <c r="M58" s="886"/>
      <c r="N58" s="886"/>
      <c r="O58" s="886"/>
      <c r="P58" s="886"/>
      <c r="Q58" s="838"/>
      <c r="R58" s="914"/>
      <c r="S58" s="861"/>
      <c r="T58" s="866"/>
      <c r="U58" s="866"/>
      <c r="V58" s="858">
        <f t="shared" si="7"/>
        <v>0</v>
      </c>
      <c r="W58" s="874"/>
    </row>
    <row r="59" spans="1:23" s="833" customFormat="1">
      <c r="A59" s="829"/>
      <c r="B59" s="829"/>
      <c r="C59" s="829"/>
      <c r="D59" s="829"/>
      <c r="E59" s="829"/>
      <c r="F59" s="829"/>
      <c r="G59" s="829"/>
      <c r="H59" s="829"/>
      <c r="I59" s="829"/>
      <c r="J59" s="829"/>
      <c r="K59" s="829"/>
      <c r="L59" s="829"/>
      <c r="M59" s="829"/>
      <c r="N59" s="829"/>
      <c r="O59" s="829"/>
      <c r="P59" s="829"/>
      <c r="Q59" s="838"/>
      <c r="R59" s="914"/>
      <c r="S59" s="861"/>
      <c r="T59" s="866"/>
      <c r="U59" s="866"/>
      <c r="V59" s="858">
        <f t="shared" si="7"/>
        <v>0</v>
      </c>
      <c r="W59" s="874"/>
    </row>
    <row r="60" spans="1:23">
      <c r="R60" s="914"/>
      <c r="S60" s="861"/>
      <c r="T60" s="866"/>
      <c r="U60" s="866"/>
      <c r="V60" s="858">
        <f t="shared" si="7"/>
        <v>0</v>
      </c>
      <c r="W60" s="874"/>
    </row>
    <row r="61" spans="1:23">
      <c r="R61" s="914"/>
      <c r="S61" s="861"/>
      <c r="T61" s="271"/>
      <c r="U61" s="271"/>
      <c r="V61" s="858">
        <f t="shared" si="7"/>
        <v>0</v>
      </c>
      <c r="W61" s="874"/>
    </row>
    <row r="62" spans="1:23" ht="18" customHeight="1">
      <c r="A62" s="833" t="s">
        <v>706</v>
      </c>
      <c r="B62" s="833"/>
      <c r="C62" s="834"/>
      <c r="D62" s="835"/>
      <c r="E62" s="835"/>
      <c r="F62" s="835"/>
      <c r="G62" s="832"/>
      <c r="H62" s="832"/>
      <c r="I62" s="832"/>
      <c r="J62" s="832"/>
      <c r="K62" s="832"/>
      <c r="L62" s="836"/>
      <c r="M62" s="832"/>
      <c r="N62" s="832"/>
      <c r="O62" s="837"/>
      <c r="P62" s="832"/>
      <c r="Q62" s="838"/>
      <c r="R62" s="832"/>
      <c r="S62" s="839"/>
    </row>
    <row r="63" spans="1:23" ht="18.75" customHeight="1">
      <c r="A63" s="840" t="s">
        <v>726</v>
      </c>
      <c r="B63" s="840"/>
      <c r="C63" s="840"/>
      <c r="D63" s="840"/>
      <c r="E63" s="840"/>
      <c r="F63" s="840"/>
      <c r="G63" s="840"/>
      <c r="H63" s="840"/>
      <c r="I63" s="840"/>
      <c r="J63" s="840"/>
      <c r="K63" s="840"/>
      <c r="L63" s="840"/>
      <c r="M63" s="840"/>
      <c r="N63" s="840"/>
      <c r="O63" s="840"/>
      <c r="P63" s="840"/>
      <c r="Q63" s="838"/>
      <c r="R63" s="832"/>
      <c r="S63" s="839"/>
    </row>
    <row r="64" spans="1:23" ht="18.75" customHeight="1">
      <c r="A64" s="841"/>
      <c r="B64" s="841"/>
      <c r="C64" s="842"/>
      <c r="D64" s="841"/>
      <c r="E64" s="841"/>
      <c r="F64" s="841"/>
      <c r="G64" s="841"/>
      <c r="H64" s="841"/>
      <c r="I64" s="841"/>
      <c r="J64" s="841"/>
      <c r="K64" s="841"/>
      <c r="L64" s="840"/>
      <c r="M64" s="841"/>
      <c r="N64" s="841"/>
      <c r="O64" s="843"/>
      <c r="P64" s="841"/>
      <c r="Q64" s="838"/>
      <c r="R64" s="832"/>
      <c r="S64" s="839"/>
    </row>
    <row r="65" spans="1:23" ht="12.75" customHeight="1">
      <c r="A65" s="844"/>
      <c r="B65" s="844"/>
      <c r="C65" s="845"/>
      <c r="D65" s="844"/>
      <c r="E65" s="844"/>
      <c r="F65" s="844"/>
      <c r="G65" s="844"/>
      <c r="H65" s="844"/>
      <c r="I65" s="844"/>
      <c r="J65" s="844"/>
      <c r="K65" s="844"/>
      <c r="L65" s="844"/>
      <c r="M65" s="844"/>
      <c r="N65" s="844"/>
      <c r="O65" s="846"/>
      <c r="P65" s="844"/>
      <c r="Q65" s="838"/>
      <c r="R65" s="832"/>
      <c r="S65" s="839"/>
    </row>
    <row r="66" spans="1:23" s="855" customFormat="1" ht="30.75" customHeight="1">
      <c r="A66" s="849" t="s">
        <v>46</v>
      </c>
      <c r="B66" s="849" t="s">
        <v>708</v>
      </c>
      <c r="C66" s="850" t="s">
        <v>709</v>
      </c>
      <c r="D66" s="851" t="s">
        <v>710</v>
      </c>
      <c r="E66" s="851" t="s">
        <v>711</v>
      </c>
      <c r="F66" s="851" t="s">
        <v>712</v>
      </c>
      <c r="G66" s="851" t="s">
        <v>713</v>
      </c>
      <c r="H66" s="851" t="s">
        <v>714</v>
      </c>
      <c r="I66" s="851" t="s">
        <v>715</v>
      </c>
      <c r="J66" s="851" t="s">
        <v>716</v>
      </c>
      <c r="K66" s="852" t="s">
        <v>717</v>
      </c>
      <c r="L66" s="851" t="s">
        <v>718</v>
      </c>
      <c r="M66" s="852" t="s">
        <v>719</v>
      </c>
      <c r="N66" s="851" t="s">
        <v>720</v>
      </c>
      <c r="O66" s="853" t="s">
        <v>711</v>
      </c>
      <c r="P66" s="851" t="s">
        <v>721</v>
      </c>
      <c r="Q66" s="854"/>
      <c r="R66" s="849" t="s">
        <v>708</v>
      </c>
      <c r="S66" s="851" t="s">
        <v>675</v>
      </c>
      <c r="T66" s="851" t="s">
        <v>533</v>
      </c>
      <c r="U66" s="851" t="s">
        <v>712</v>
      </c>
      <c r="V66" s="851" t="s">
        <v>722</v>
      </c>
      <c r="W66" s="849" t="s">
        <v>722</v>
      </c>
    </row>
    <row r="67" spans="1:23">
      <c r="A67" s="925" t="str">
        <f>IF(B67&lt;&gt;"",ROW()-(ROW()-1),"")</f>
        <v/>
      </c>
      <c r="B67" s="926"/>
      <c r="C67" s="857">
        <f>IF(ISNA(VLOOKUP(B67,NXT!$Q$61:$S$81,2,0)),0,VLOOKUP(B67,NXT!$Q$61:$S$81,2,0))</f>
        <v>0</v>
      </c>
      <c r="D67" s="706">
        <f>ROUND(C67*O67,0)</f>
        <v>0</v>
      </c>
      <c r="E67" s="706"/>
      <c r="F67" s="706"/>
      <c r="G67" s="858">
        <f>(D67+E67)*F67</f>
        <v>0</v>
      </c>
      <c r="H67" s="706">
        <f>IF($D$70&lt;&gt;0,H$70/($D$70+$E$70/5)*($D67+$E67/5),0)</f>
        <v>0</v>
      </c>
      <c r="I67" s="706">
        <f t="shared" ref="I67:K68" si="8">IF($D$70&lt;&gt;0,I$70/$D$70*$D67,0)</f>
        <v>0</v>
      </c>
      <c r="J67" s="706">
        <f t="shared" si="8"/>
        <v>0</v>
      </c>
      <c r="K67" s="706">
        <f t="shared" si="8"/>
        <v>0</v>
      </c>
      <c r="L67" s="858"/>
      <c r="M67" s="706" t="e">
        <f>34560000/($O$67+#REF!+#REF!)*O67</f>
        <v>#REF!</v>
      </c>
      <c r="N67" s="858">
        <f>ROUND(SUM(G67:L67),0)</f>
        <v>0</v>
      </c>
      <c r="O67" s="706"/>
      <c r="P67" s="706">
        <f>IF(N67&lt;&gt;0,N67/O67,0)</f>
        <v>0</v>
      </c>
      <c r="Q67" s="877"/>
      <c r="R67" s="860"/>
      <c r="S67" s="927"/>
      <c r="T67" s="271"/>
      <c r="U67" s="862"/>
      <c r="V67" s="858">
        <f t="shared" ref="V67:V77" si="9">ROUND(T67*U67,0)</f>
        <v>0</v>
      </c>
      <c r="W67" s="858"/>
    </row>
    <row r="68" spans="1:23">
      <c r="A68" s="928" t="str">
        <f>IF(B68&lt;&gt;"",A67+1,"")</f>
        <v/>
      </c>
      <c r="B68" s="586"/>
      <c r="C68" s="857">
        <f>IF(ISNA(VLOOKUP(B68,NXT!$Q$61:$S$81,2,0)),0,VLOOKUP(B68,NXT!$Q$61:$S$81,2,0))</f>
        <v>0</v>
      </c>
      <c r="D68" s="706">
        <f>ROUND(C68*O68,0)</f>
        <v>0</v>
      </c>
      <c r="E68" s="706"/>
      <c r="F68" s="706"/>
      <c r="G68" s="858">
        <f>(D68+E68)*F68</f>
        <v>0</v>
      </c>
      <c r="H68" s="706">
        <f>IF($D$70&lt;&gt;0,H$70/($D$70+$E$70/5)*($D68+$E68/5),0)</f>
        <v>0</v>
      </c>
      <c r="I68" s="706">
        <f t="shared" si="8"/>
        <v>0</v>
      </c>
      <c r="J68" s="706">
        <f t="shared" si="8"/>
        <v>0</v>
      </c>
      <c r="K68" s="706">
        <f t="shared" si="8"/>
        <v>0</v>
      </c>
      <c r="L68" s="858"/>
      <c r="M68" s="706"/>
      <c r="N68" s="858">
        <f>ROUND(SUM(G68:L68),0)</f>
        <v>0</v>
      </c>
      <c r="O68" s="864"/>
      <c r="P68" s="706">
        <f>IF(N68&lt;&gt;0,N68/O68,0)</f>
        <v>0</v>
      </c>
      <c r="Q68" s="877"/>
      <c r="R68" s="865"/>
      <c r="S68" s="927"/>
      <c r="T68" s="271"/>
      <c r="U68" s="866"/>
      <c r="V68" s="858">
        <f t="shared" si="9"/>
        <v>0</v>
      </c>
      <c r="W68" s="874"/>
    </row>
    <row r="69" spans="1:23">
      <c r="A69" s="856" t="str">
        <f>IF(B69&lt;&gt;"",#REF!+1,"")</f>
        <v/>
      </c>
      <c r="B69" s="869"/>
      <c r="C69" s="870"/>
      <c r="D69" s="872"/>
      <c r="E69" s="872"/>
      <c r="F69" s="872"/>
      <c r="G69" s="873"/>
      <c r="H69" s="918"/>
      <c r="I69" s="872"/>
      <c r="J69" s="874"/>
      <c r="K69" s="872"/>
      <c r="L69" s="875"/>
      <c r="M69" s="872"/>
      <c r="N69" s="906"/>
      <c r="O69" s="876"/>
      <c r="P69" s="872"/>
      <c r="Q69" s="877"/>
      <c r="R69" s="865"/>
      <c r="S69" s="927"/>
      <c r="T69" s="271"/>
      <c r="U69" s="866"/>
      <c r="V69" s="858">
        <f t="shared" si="9"/>
        <v>0</v>
      </c>
      <c r="W69" s="874"/>
    </row>
    <row r="70" spans="1:23" s="878" customFormat="1">
      <c r="A70" s="879"/>
      <c r="B70" s="880" t="s">
        <v>723</v>
      </c>
      <c r="C70" s="881"/>
      <c r="D70" s="882">
        <f>SUM(D67:D68)</f>
        <v>0</v>
      </c>
      <c r="E70" s="882"/>
      <c r="F70" s="882"/>
      <c r="G70" s="882">
        <f>SUM(G67:G68)</f>
        <v>0</v>
      </c>
      <c r="H70" s="883"/>
      <c r="I70" s="883">
        <f>V79</f>
        <v>0</v>
      </c>
      <c r="J70" s="883"/>
      <c r="K70" s="883"/>
      <c r="L70" s="882">
        <f>ROUND(SUM(L67:L69),0)</f>
        <v>0</v>
      </c>
      <c r="M70" s="882" t="e">
        <f>ROUND(SUM(M67:M69),0)</f>
        <v>#REF!</v>
      </c>
      <c r="N70" s="882">
        <f>ROUND(SUM(N67:N69),0)</f>
        <v>0</v>
      </c>
      <c r="O70" s="882">
        <f>ROUND(SUM(O67:O69),0)</f>
        <v>0</v>
      </c>
      <c r="P70" s="882"/>
      <c r="Q70" s="877"/>
      <c r="R70" s="865"/>
      <c r="S70" s="927"/>
      <c r="T70" s="888"/>
      <c r="U70" s="866"/>
      <c r="V70" s="858">
        <f t="shared" si="9"/>
        <v>0</v>
      </c>
      <c r="W70" s="874"/>
    </row>
    <row r="71" spans="1:23" s="833" customFormat="1">
      <c r="A71" s="829"/>
      <c r="B71" s="829"/>
      <c r="C71" s="829"/>
      <c r="D71" s="829"/>
      <c r="E71" s="829"/>
      <c r="F71" s="829"/>
      <c r="G71" s="829"/>
      <c r="H71" s="829"/>
      <c r="I71" s="829"/>
      <c r="J71" s="829"/>
      <c r="K71" s="829"/>
      <c r="L71" s="829"/>
      <c r="M71" s="829"/>
      <c r="N71" s="829"/>
      <c r="O71" s="829"/>
      <c r="P71" s="829"/>
      <c r="Q71" s="877"/>
      <c r="R71" s="865"/>
      <c r="S71" s="927"/>
      <c r="T71" s="271"/>
      <c r="U71" s="866"/>
      <c r="V71" s="858">
        <f t="shared" si="9"/>
        <v>0</v>
      </c>
      <c r="W71" s="874"/>
    </row>
    <row r="72" spans="1:23">
      <c r="Q72" s="877"/>
      <c r="R72" s="865"/>
      <c r="S72" s="927"/>
      <c r="T72" s="271"/>
      <c r="U72" s="866"/>
      <c r="V72" s="858">
        <f t="shared" si="9"/>
        <v>0</v>
      </c>
      <c r="W72" s="874"/>
    </row>
    <row r="73" spans="1:23">
      <c r="Q73" s="877"/>
      <c r="R73" s="865"/>
      <c r="S73" s="927"/>
      <c r="T73" s="271"/>
      <c r="U73" s="866"/>
      <c r="V73" s="858">
        <f t="shared" si="9"/>
        <v>0</v>
      </c>
      <c r="W73" s="874"/>
    </row>
    <row r="74" spans="1:23">
      <c r="Q74" s="877"/>
      <c r="R74" s="865"/>
      <c r="S74" s="927"/>
      <c r="T74" s="888"/>
      <c r="U74" s="888"/>
      <c r="V74" s="858">
        <f t="shared" si="9"/>
        <v>0</v>
      </c>
      <c r="W74" s="874"/>
    </row>
    <row r="75" spans="1:23">
      <c r="Q75" s="877"/>
      <c r="R75" s="865"/>
      <c r="S75" s="929"/>
      <c r="T75" s="888"/>
      <c r="U75" s="866"/>
      <c r="V75" s="858">
        <f t="shared" si="9"/>
        <v>0</v>
      </c>
      <c r="W75" s="874"/>
    </row>
    <row r="76" spans="1:23">
      <c r="Q76" s="877"/>
      <c r="R76" s="930"/>
      <c r="S76" s="929"/>
      <c r="T76" s="888"/>
      <c r="U76" s="866"/>
      <c r="V76" s="858">
        <f t="shared" si="9"/>
        <v>0</v>
      </c>
      <c r="W76" s="874"/>
    </row>
    <row r="77" spans="1:23">
      <c r="Q77" s="877"/>
      <c r="R77" s="865"/>
      <c r="S77" s="929"/>
      <c r="T77" s="888"/>
      <c r="U77" s="866"/>
      <c r="V77" s="858">
        <f t="shared" si="9"/>
        <v>0</v>
      </c>
      <c r="W77" s="874"/>
    </row>
    <row r="78" spans="1:23">
      <c r="Q78" s="877"/>
      <c r="R78" s="931"/>
      <c r="S78" s="861"/>
      <c r="T78" s="271"/>
      <c r="U78" s="271"/>
      <c r="V78" s="874"/>
      <c r="W78" s="874"/>
    </row>
    <row r="79" spans="1:23">
      <c r="R79" s="911"/>
      <c r="S79" s="912"/>
      <c r="T79" s="913"/>
      <c r="U79" s="932"/>
      <c r="V79" s="892">
        <f>SUM(V67:V78)</f>
        <v>0</v>
      </c>
      <c r="W79" s="892">
        <f>SUM(W67:W78)</f>
        <v>0</v>
      </c>
    </row>
    <row r="80" spans="1:23">
      <c r="R80" s="914"/>
      <c r="S80" s="927"/>
      <c r="T80" s="271"/>
      <c r="U80" s="271"/>
      <c r="V80" s="858">
        <f>ROUND(T80*U80,0)</f>
        <v>0</v>
      </c>
      <c r="W80" s="858"/>
    </row>
    <row r="81" spans="1:23">
      <c r="R81" s="865"/>
      <c r="S81" s="927"/>
      <c r="T81" s="866"/>
      <c r="U81" s="866"/>
      <c r="V81" s="858">
        <f>ROUND(T81*U81,0)</f>
        <v>0</v>
      </c>
      <c r="W81" s="874"/>
    </row>
    <row r="82" spans="1:23">
      <c r="R82" s="888"/>
      <c r="S82" s="861"/>
      <c r="T82" s="866"/>
      <c r="U82" s="866"/>
      <c r="V82" s="858">
        <f>ROUND(T82*U82,0)</f>
        <v>0</v>
      </c>
      <c r="W82" s="874"/>
    </row>
    <row r="83" spans="1:23">
      <c r="R83" s="888"/>
      <c r="S83" s="861"/>
      <c r="T83" s="866"/>
      <c r="U83" s="866"/>
      <c r="V83" s="858">
        <f>ROUND(T83*U83,0)</f>
        <v>0</v>
      </c>
      <c r="W83" s="874"/>
    </row>
    <row r="84" spans="1:23" ht="18" customHeight="1">
      <c r="A84" s="833" t="s">
        <v>706</v>
      </c>
      <c r="B84" s="833"/>
      <c r="C84" s="834"/>
      <c r="D84" s="835"/>
      <c r="E84" s="835"/>
      <c r="F84" s="835"/>
      <c r="G84" s="832"/>
      <c r="H84" s="832"/>
      <c r="I84" s="832"/>
      <c r="J84" s="832"/>
      <c r="K84" s="832"/>
      <c r="L84" s="836"/>
      <c r="M84" s="832"/>
      <c r="N84" s="832"/>
      <c r="O84" s="837"/>
      <c r="P84" s="832"/>
      <c r="Q84" s="838"/>
      <c r="R84" s="832"/>
      <c r="S84" s="839"/>
    </row>
    <row r="85" spans="1:23" ht="18.75" customHeight="1">
      <c r="A85" s="840" t="s">
        <v>727</v>
      </c>
      <c r="B85" s="840"/>
      <c r="C85" s="840"/>
      <c r="D85" s="840"/>
      <c r="E85" s="840"/>
      <c r="F85" s="840"/>
      <c r="G85" s="840"/>
      <c r="H85" s="840"/>
      <c r="I85" s="840"/>
      <c r="J85" s="840"/>
      <c r="K85" s="840"/>
      <c r="L85" s="840"/>
      <c r="M85" s="840"/>
      <c r="N85" s="840"/>
      <c r="O85" s="840"/>
      <c r="P85" s="840"/>
      <c r="Q85" s="838"/>
      <c r="R85" s="832"/>
      <c r="S85" s="839"/>
    </row>
    <row r="86" spans="1:23" ht="18.75" customHeight="1">
      <c r="A86" s="841"/>
      <c r="B86" s="841"/>
      <c r="C86" s="842"/>
      <c r="D86" s="841"/>
      <c r="E86" s="841"/>
      <c r="F86" s="841"/>
      <c r="G86" s="841"/>
      <c r="H86" s="841"/>
      <c r="I86" s="841"/>
      <c r="J86" s="841"/>
      <c r="K86" s="841"/>
      <c r="L86" s="840"/>
      <c r="M86" s="841"/>
      <c r="N86" s="841"/>
      <c r="O86" s="843"/>
      <c r="P86" s="841"/>
      <c r="Q86" s="838"/>
      <c r="R86" s="832"/>
      <c r="S86" s="839"/>
    </row>
    <row r="87" spans="1:23" ht="12.75" customHeight="1">
      <c r="A87" s="844"/>
      <c r="B87" s="844"/>
      <c r="C87" s="845"/>
      <c r="D87" s="844"/>
      <c r="E87" s="844"/>
      <c r="F87" s="844"/>
      <c r="G87" s="844"/>
      <c r="H87" s="844"/>
      <c r="I87" s="844"/>
      <c r="J87" s="844"/>
      <c r="K87" s="844"/>
      <c r="L87" s="844"/>
      <c r="M87" s="844"/>
      <c r="N87" s="844"/>
      <c r="O87" s="846"/>
      <c r="P87" s="844"/>
      <c r="Q87" s="838"/>
      <c r="R87" s="832"/>
      <c r="S87" s="839"/>
    </row>
    <row r="88" spans="1:23" s="855" customFormat="1" ht="30.75" customHeight="1">
      <c r="A88" s="849" t="s">
        <v>46</v>
      </c>
      <c r="B88" s="849" t="s">
        <v>708</v>
      </c>
      <c r="C88" s="850" t="s">
        <v>709</v>
      </c>
      <c r="D88" s="851" t="s">
        <v>710</v>
      </c>
      <c r="E88" s="851" t="s">
        <v>711</v>
      </c>
      <c r="F88" s="851" t="s">
        <v>712</v>
      </c>
      <c r="G88" s="851" t="s">
        <v>713</v>
      </c>
      <c r="H88" s="851" t="s">
        <v>714</v>
      </c>
      <c r="I88" s="851" t="s">
        <v>715</v>
      </c>
      <c r="J88" s="851" t="s">
        <v>716</v>
      </c>
      <c r="K88" s="852" t="s">
        <v>717</v>
      </c>
      <c r="L88" s="851" t="s">
        <v>718</v>
      </c>
      <c r="M88" s="852" t="s">
        <v>719</v>
      </c>
      <c r="N88" s="851" t="s">
        <v>720</v>
      </c>
      <c r="O88" s="853" t="s">
        <v>711</v>
      </c>
      <c r="P88" s="851" t="s">
        <v>721</v>
      </c>
      <c r="Q88" s="854"/>
      <c r="R88" s="849" t="s">
        <v>708</v>
      </c>
      <c r="S88" s="851" t="s">
        <v>675</v>
      </c>
      <c r="T88" s="851" t="s">
        <v>533</v>
      </c>
      <c r="U88" s="851" t="s">
        <v>712</v>
      </c>
      <c r="V88" s="851" t="s">
        <v>722</v>
      </c>
      <c r="W88" s="849" t="s">
        <v>722</v>
      </c>
    </row>
    <row r="89" spans="1:23">
      <c r="A89" s="856" t="str">
        <f>IF(B89&lt;&gt;"",ROW()-(ROW()-1),"")</f>
        <v/>
      </c>
      <c r="B89" s="586"/>
      <c r="C89" s="857">
        <f>IF(ISNA(VLOOKUP(B89,NXT!$Q$61:$S$81,2,0)),0,VLOOKUP(B89,NXT!$Q$61:$S$81,2,0))</f>
        <v>0</v>
      </c>
      <c r="D89" s="706">
        <f>ROUND(C89*O89,0)</f>
        <v>0</v>
      </c>
      <c r="E89" s="706"/>
      <c r="F89" s="706"/>
      <c r="G89" s="858">
        <f>(D89+E89)*F89</f>
        <v>0</v>
      </c>
      <c r="H89" s="706">
        <f>IF($D$92&lt;&gt;0,H$92/($D$92+$E$92/5)*($D89+$E89/5),0)</f>
        <v>0</v>
      </c>
      <c r="I89" s="706">
        <f t="shared" ref="I89:K90" si="10">IF($D$92&lt;&gt;0,I$92/$D$92*$D89,0)</f>
        <v>0</v>
      </c>
      <c r="J89" s="706">
        <f t="shared" si="10"/>
        <v>0</v>
      </c>
      <c r="K89" s="706">
        <f t="shared" si="10"/>
        <v>0</v>
      </c>
      <c r="L89" s="858"/>
      <c r="M89" s="706" t="e">
        <f>34560000/($O$67+#REF!+#REF!)*O89</f>
        <v>#REF!</v>
      </c>
      <c r="N89" s="858">
        <f>ROUND(SUM(G89:L89),0)</f>
        <v>0</v>
      </c>
      <c r="O89" s="706"/>
      <c r="P89" s="706">
        <f>IF(N89&lt;&gt;0,N89/O89,0)</f>
        <v>0</v>
      </c>
      <c r="Q89" s="877"/>
      <c r="R89" s="865"/>
      <c r="S89" s="927"/>
      <c r="T89" s="271"/>
      <c r="U89" s="866"/>
      <c r="V89" s="858">
        <f t="shared" ref="V89:V95" si="11">ROUND(T89*U89,0)</f>
        <v>0</v>
      </c>
      <c r="W89" s="874"/>
    </row>
    <row r="90" spans="1:23">
      <c r="A90" s="856" t="str">
        <f>IF(B90&lt;&gt;"",A89+1,"")</f>
        <v/>
      </c>
      <c r="B90" s="581"/>
      <c r="C90" s="857">
        <f>IF(ISNA(VLOOKUP(B90,NXT!$Q$61:$S$81,2,0)),0,VLOOKUP(B90,NXT!$Q$61:$S$81,2,0))</f>
        <v>0</v>
      </c>
      <c r="D90" s="706">
        <f>ROUND(C90*O90,0)</f>
        <v>0</v>
      </c>
      <c r="E90" s="706"/>
      <c r="F90" s="706"/>
      <c r="G90" s="858">
        <f>(D90+E90)*F90</f>
        <v>0</v>
      </c>
      <c r="H90" s="706">
        <f>IF($D$92&lt;&gt;0,H$92/($D$92+$E$92/5)*($D90+$E90/5),0)</f>
        <v>0</v>
      </c>
      <c r="I90" s="706">
        <f t="shared" si="10"/>
        <v>0</v>
      </c>
      <c r="J90" s="706">
        <f t="shared" si="10"/>
        <v>0</v>
      </c>
      <c r="K90" s="706">
        <f t="shared" si="10"/>
        <v>0</v>
      </c>
      <c r="L90" s="706"/>
      <c r="M90" s="706"/>
      <c r="N90" s="858">
        <f>ROUND(SUM(G90:L90),0)</f>
        <v>0</v>
      </c>
      <c r="O90" s="864"/>
      <c r="P90" s="706">
        <f>IF(N90&lt;&gt;0,N90/O90,0)</f>
        <v>0</v>
      </c>
      <c r="Q90" s="877"/>
      <c r="R90" s="865"/>
      <c r="S90" s="927"/>
      <c r="T90" s="271"/>
      <c r="U90" s="866"/>
      <c r="V90" s="858">
        <f t="shared" si="11"/>
        <v>0</v>
      </c>
      <c r="W90" s="874"/>
    </row>
    <row r="91" spans="1:23" s="878" customFormat="1">
      <c r="A91" s="856" t="str">
        <f>IF(B91&lt;&gt;"",#REF!+1,"")</f>
        <v/>
      </c>
      <c r="B91" s="869"/>
      <c r="C91" s="870"/>
      <c r="D91" s="872"/>
      <c r="E91" s="872"/>
      <c r="F91" s="872"/>
      <c r="G91" s="873"/>
      <c r="H91" s="918"/>
      <c r="I91" s="872"/>
      <c r="J91" s="874"/>
      <c r="K91" s="872"/>
      <c r="L91" s="875"/>
      <c r="M91" s="872"/>
      <c r="N91" s="906"/>
      <c r="O91" s="876"/>
      <c r="P91" s="872"/>
      <c r="Q91" s="877"/>
      <c r="R91" s="865"/>
      <c r="S91" s="927"/>
      <c r="T91" s="271"/>
      <c r="U91" s="866"/>
      <c r="V91" s="858">
        <f t="shared" si="11"/>
        <v>0</v>
      </c>
      <c r="W91" s="874"/>
    </row>
    <row r="92" spans="1:23" s="833" customFormat="1">
      <c r="A92" s="879"/>
      <c r="B92" s="880" t="s">
        <v>723</v>
      </c>
      <c r="C92" s="881"/>
      <c r="D92" s="882">
        <f>SUM(D89:D90)</f>
        <v>0</v>
      </c>
      <c r="E92" s="882">
        <f>SUM(E89:E90)</f>
        <v>0</v>
      </c>
      <c r="F92" s="882"/>
      <c r="G92" s="882">
        <f>SUM(G89:G90)</f>
        <v>0</v>
      </c>
      <c r="H92" s="883"/>
      <c r="I92" s="883">
        <f>V97</f>
        <v>0</v>
      </c>
      <c r="J92" s="883"/>
      <c r="K92" s="883"/>
      <c r="L92" s="882">
        <f>ROUND(SUM(L89:L91),0)</f>
        <v>0</v>
      </c>
      <c r="M92" s="882" t="e">
        <f>ROUND(SUM(M89:M91),0)</f>
        <v>#REF!</v>
      </c>
      <c r="N92" s="882">
        <f>ROUND(SUM(N89:N91),0)</f>
        <v>0</v>
      </c>
      <c r="O92" s="882">
        <f>ROUND(SUM(O89:O91),0)</f>
        <v>0</v>
      </c>
      <c r="P92" s="882"/>
      <c r="Q92" s="877"/>
      <c r="R92" s="865"/>
      <c r="S92" s="927"/>
      <c r="T92" s="888"/>
      <c r="U92" s="888"/>
      <c r="V92" s="858">
        <f t="shared" si="11"/>
        <v>0</v>
      </c>
      <c r="W92" s="874"/>
    </row>
    <row r="93" spans="1:23">
      <c r="Q93" s="877"/>
      <c r="R93" s="865"/>
      <c r="S93" s="929"/>
      <c r="T93" s="888"/>
      <c r="U93" s="866"/>
      <c r="V93" s="858">
        <f t="shared" si="11"/>
        <v>0</v>
      </c>
      <c r="W93" s="874"/>
    </row>
    <row r="94" spans="1:23">
      <c r="Q94" s="877"/>
      <c r="R94" s="930"/>
      <c r="S94" s="929"/>
      <c r="T94" s="888"/>
      <c r="U94" s="866"/>
      <c r="V94" s="858">
        <f t="shared" si="11"/>
        <v>0</v>
      </c>
      <c r="W94" s="874"/>
    </row>
    <row r="95" spans="1:23">
      <c r="Q95" s="877"/>
      <c r="R95" s="865"/>
      <c r="S95" s="929"/>
      <c r="T95" s="888"/>
      <c r="U95" s="866"/>
      <c r="V95" s="858">
        <f t="shared" si="11"/>
        <v>0</v>
      </c>
      <c r="W95" s="874"/>
    </row>
    <row r="96" spans="1:23">
      <c r="Q96" s="877"/>
      <c r="R96" s="931"/>
      <c r="S96" s="861"/>
      <c r="T96" s="271"/>
      <c r="U96" s="271"/>
      <c r="V96" s="874"/>
      <c r="W96" s="874"/>
    </row>
    <row r="97" spans="1:23">
      <c r="R97" s="911"/>
      <c r="S97" s="912"/>
      <c r="T97" s="913"/>
      <c r="U97" s="932"/>
      <c r="V97" s="882">
        <f>SUM(V89:V96)</f>
        <v>0</v>
      </c>
      <c r="W97" s="892">
        <f>SUM(W89:W96)</f>
        <v>0</v>
      </c>
    </row>
    <row r="98" spans="1:23">
      <c r="R98" s="914"/>
      <c r="S98" s="927"/>
      <c r="T98" s="271"/>
      <c r="U98" s="271"/>
      <c r="V98" s="858">
        <f>ROUND(T98*U98,0)</f>
        <v>0</v>
      </c>
      <c r="W98" s="858"/>
    </row>
    <row r="99" spans="1:23">
      <c r="R99" s="933"/>
      <c r="S99" s="927"/>
      <c r="T99" s="866"/>
      <c r="U99" s="866"/>
      <c r="V99" s="858">
        <f>ROUND(T99*U99,0)</f>
        <v>0</v>
      </c>
      <c r="W99" s="874"/>
    </row>
    <row r="100" spans="1:23">
      <c r="R100" s="865"/>
      <c r="S100" s="927"/>
      <c r="T100" s="866"/>
      <c r="U100" s="866"/>
      <c r="V100" s="858">
        <f>ROUND(T100*U100,0)</f>
        <v>0</v>
      </c>
      <c r="W100" s="874"/>
    </row>
    <row r="101" spans="1:23">
      <c r="R101" s="888"/>
      <c r="S101" s="861"/>
      <c r="T101" s="866"/>
      <c r="U101" s="866"/>
      <c r="V101" s="858">
        <f>ROUND(T101*U101,0)</f>
        <v>0</v>
      </c>
      <c r="W101" s="874"/>
    </row>
    <row r="102" spans="1:23">
      <c r="R102" s="888"/>
      <c r="S102" s="861"/>
      <c r="T102" s="866"/>
      <c r="U102" s="866"/>
      <c r="V102" s="858">
        <f>ROUND(T102*U102,0)</f>
        <v>0</v>
      </c>
      <c r="W102" s="874"/>
    </row>
    <row r="103" spans="1:23">
      <c r="R103" s="838"/>
      <c r="S103" s="915"/>
      <c r="T103" s="848"/>
      <c r="U103" s="848"/>
      <c r="V103" s="886"/>
      <c r="W103" s="916"/>
    </row>
    <row r="104" spans="1:23" ht="18" customHeight="1">
      <c r="A104" s="833" t="s">
        <v>706</v>
      </c>
      <c r="B104" s="833"/>
      <c r="C104" s="834"/>
      <c r="D104" s="835"/>
      <c r="E104" s="835"/>
      <c r="F104" s="835"/>
      <c r="G104" s="832"/>
      <c r="H104" s="832"/>
      <c r="I104" s="832"/>
      <c r="J104" s="832"/>
      <c r="K104" s="832"/>
      <c r="L104" s="836"/>
      <c r="M104" s="832"/>
      <c r="N104" s="832"/>
      <c r="O104" s="837"/>
      <c r="P104" s="832"/>
      <c r="Q104" s="838"/>
      <c r="R104" s="832"/>
      <c r="S104" s="839"/>
    </row>
    <row r="105" spans="1:23" ht="18.75" customHeight="1">
      <c r="A105" s="840" t="s">
        <v>728</v>
      </c>
      <c r="B105" s="840"/>
      <c r="C105" s="840"/>
      <c r="D105" s="840"/>
      <c r="E105" s="840"/>
      <c r="F105" s="840"/>
      <c r="G105" s="840"/>
      <c r="H105" s="840"/>
      <c r="I105" s="840"/>
      <c r="J105" s="840"/>
      <c r="K105" s="840"/>
      <c r="L105" s="840"/>
      <c r="M105" s="840"/>
      <c r="N105" s="840"/>
      <c r="O105" s="840"/>
      <c r="P105" s="840"/>
      <c r="Q105" s="838"/>
      <c r="R105" s="832"/>
      <c r="S105" s="839"/>
    </row>
    <row r="106" spans="1:23" ht="18.75" customHeight="1">
      <c r="A106" s="841"/>
      <c r="B106" s="841"/>
      <c r="C106" s="842"/>
      <c r="D106" s="841"/>
      <c r="E106" s="841"/>
      <c r="F106" s="841"/>
      <c r="G106" s="841"/>
      <c r="H106" s="841"/>
      <c r="I106" s="841"/>
      <c r="J106" s="841"/>
      <c r="K106" s="841"/>
      <c r="L106" s="840"/>
      <c r="M106" s="841"/>
      <c r="N106" s="841"/>
      <c r="O106" s="843"/>
      <c r="P106" s="841"/>
      <c r="Q106" s="838"/>
      <c r="R106" s="832"/>
      <c r="S106" s="839"/>
    </row>
    <row r="107" spans="1:23" ht="12.75" customHeight="1">
      <c r="A107" s="844"/>
      <c r="B107" s="844"/>
      <c r="C107" s="845"/>
      <c r="D107" s="844"/>
      <c r="E107" s="844"/>
      <c r="F107" s="844"/>
      <c r="G107" s="844"/>
      <c r="H107" s="844"/>
      <c r="I107" s="844"/>
      <c r="J107" s="844"/>
      <c r="K107" s="844"/>
      <c r="L107" s="844"/>
      <c r="M107" s="844"/>
      <c r="N107" s="844"/>
      <c r="O107" s="846"/>
      <c r="P107" s="844"/>
      <c r="Q107" s="838"/>
      <c r="R107" s="832"/>
      <c r="S107" s="839"/>
    </row>
    <row r="108" spans="1:23" s="855" customFormat="1" ht="30.75" customHeight="1">
      <c r="A108" s="849" t="s">
        <v>46</v>
      </c>
      <c r="B108" s="849" t="s">
        <v>708</v>
      </c>
      <c r="C108" s="850" t="s">
        <v>709</v>
      </c>
      <c r="D108" s="851" t="s">
        <v>710</v>
      </c>
      <c r="E108" s="851" t="s">
        <v>711</v>
      </c>
      <c r="F108" s="851" t="s">
        <v>712</v>
      </c>
      <c r="G108" s="851" t="s">
        <v>713</v>
      </c>
      <c r="H108" s="851" t="s">
        <v>714</v>
      </c>
      <c r="I108" s="851" t="s">
        <v>715</v>
      </c>
      <c r="J108" s="851" t="s">
        <v>716</v>
      </c>
      <c r="K108" s="852" t="s">
        <v>717</v>
      </c>
      <c r="L108" s="851" t="s">
        <v>718</v>
      </c>
      <c r="M108" s="852" t="s">
        <v>719</v>
      </c>
      <c r="N108" s="851" t="s">
        <v>720</v>
      </c>
      <c r="O108" s="853" t="s">
        <v>711</v>
      </c>
      <c r="P108" s="851" t="s">
        <v>721</v>
      </c>
      <c r="Q108" s="854"/>
      <c r="R108" s="849" t="s">
        <v>708</v>
      </c>
      <c r="S108" s="851" t="s">
        <v>675</v>
      </c>
      <c r="T108" s="851" t="s">
        <v>533</v>
      </c>
      <c r="U108" s="851" t="s">
        <v>712</v>
      </c>
      <c r="V108" s="851" t="s">
        <v>722</v>
      </c>
      <c r="W108" s="849" t="s">
        <v>722</v>
      </c>
    </row>
    <row r="109" spans="1:23">
      <c r="A109" s="856" t="str">
        <f>IF(B109&lt;&gt;"",ROW()-(ROW()-1),"")</f>
        <v/>
      </c>
      <c r="B109" s="934"/>
      <c r="C109" s="857">
        <f>IF(ISNA(VLOOKUP(B109,NXT!$Q$61:$S$81,2,0)),0,VLOOKUP(B109,NXT!$Q$61:$S$81,2,0))</f>
        <v>0</v>
      </c>
      <c r="D109" s="706">
        <f>ROUND(C109*O109,0)</f>
        <v>0</v>
      </c>
      <c r="E109" s="706"/>
      <c r="F109" s="706"/>
      <c r="G109" s="858">
        <f>D109*F109</f>
        <v>0</v>
      </c>
      <c r="H109" s="706">
        <f>IF($D$114&lt;&gt;0,H$114/($D$114+$E$114/5)*($D109+$E109/5),0)</f>
        <v>0</v>
      </c>
      <c r="I109" s="706">
        <f>IF($D$114&lt;&gt;0,I$114/$D$114*$D109,0)</f>
        <v>0</v>
      </c>
      <c r="J109" s="706">
        <f t="shared" ref="J109:K112" si="12">IF($D$114&lt;&gt;0,J$114/$D$114*$D109,0)</f>
        <v>0</v>
      </c>
      <c r="K109" s="706">
        <f t="shared" si="12"/>
        <v>0</v>
      </c>
      <c r="L109" s="858"/>
      <c r="M109" s="706" t="e">
        <f>34560000/($O$67+#REF!+#REF!)*O109</f>
        <v>#REF!</v>
      </c>
      <c r="N109" s="858">
        <f>ROUND(SUM(G109:L109),0)</f>
        <v>0</v>
      </c>
      <c r="O109" s="706"/>
      <c r="P109" s="706">
        <f>IF(N109&lt;&gt;0,N109/O109,0)</f>
        <v>0</v>
      </c>
      <c r="Q109" s="877"/>
      <c r="R109" s="860"/>
      <c r="S109" s="927"/>
      <c r="T109" s="271"/>
      <c r="U109" s="862"/>
      <c r="V109" s="858">
        <f t="shared" ref="V109:V121" si="13">ROUND(T109*U109,0)</f>
        <v>0</v>
      </c>
      <c r="W109" s="858"/>
    </row>
    <row r="110" spans="1:23">
      <c r="A110" s="856" t="str">
        <f>IF(B110&lt;&gt;"",A109+1,"")</f>
        <v/>
      </c>
      <c r="B110" s="868"/>
      <c r="C110" s="857">
        <f>IF(ISNA(VLOOKUP(B110,NXT!$Q$61:$S$81,2,0)),0,VLOOKUP(B110,NXT!$Q$61:$S$81,2,0))</f>
        <v>0</v>
      </c>
      <c r="D110" s="706">
        <f>ROUND(C110*O110,0)</f>
        <v>0</v>
      </c>
      <c r="E110" s="706"/>
      <c r="F110" s="706"/>
      <c r="G110" s="858">
        <f>D110*F110</f>
        <v>0</v>
      </c>
      <c r="H110" s="706">
        <f>IF($D$114&lt;&gt;0,H$114/($D$114+$E$114/5)*($D110+$E110/5),0)</f>
        <v>0</v>
      </c>
      <c r="I110" s="706">
        <f>IF($D$114&lt;&gt;0,I$114/$D$114*$D110,0)</f>
        <v>0</v>
      </c>
      <c r="J110" s="706">
        <f t="shared" si="12"/>
        <v>0</v>
      </c>
      <c r="K110" s="706">
        <f t="shared" si="12"/>
        <v>0</v>
      </c>
      <c r="L110" s="706"/>
      <c r="M110" s="706"/>
      <c r="N110" s="858">
        <f>ROUND(SUM(G110:L110),0)</f>
        <v>0</v>
      </c>
      <c r="O110" s="864"/>
      <c r="P110" s="706">
        <f>IF(N110&lt;&gt;0,N110/O110,0)</f>
        <v>0</v>
      </c>
      <c r="Q110" s="877"/>
      <c r="R110" s="865"/>
      <c r="S110" s="927"/>
      <c r="T110" s="271"/>
      <c r="U110" s="866"/>
      <c r="V110" s="858">
        <f t="shared" si="13"/>
        <v>0</v>
      </c>
      <c r="W110" s="874"/>
    </row>
    <row r="111" spans="1:23">
      <c r="A111" s="856" t="str">
        <f>IF(B111&lt;&gt;"",A110+1,"")</f>
        <v/>
      </c>
      <c r="B111" s="868"/>
      <c r="C111" s="857">
        <f>IF(ISNA(VLOOKUP(B111,NXT!$Q$61:$S$81,2,0)),0,VLOOKUP(B111,NXT!$Q$61:$S$81,2,0))</f>
        <v>0</v>
      </c>
      <c r="D111" s="706">
        <f>ROUND(C111*O111,0)</f>
        <v>0</v>
      </c>
      <c r="E111" s="706"/>
      <c r="F111" s="706"/>
      <c r="G111" s="858">
        <f>D111*F111</f>
        <v>0</v>
      </c>
      <c r="H111" s="706">
        <f>IF($D$114&lt;&gt;0,H$114/($D$114+$E$114/5)*($D111+$E111/5),0)</f>
        <v>0</v>
      </c>
      <c r="I111" s="706">
        <f>IF($D$114&lt;&gt;0,I$114/$D$114*$D111,0)</f>
        <v>0</v>
      </c>
      <c r="J111" s="706">
        <f t="shared" si="12"/>
        <v>0</v>
      </c>
      <c r="K111" s="706">
        <f t="shared" si="12"/>
        <v>0</v>
      </c>
      <c r="L111" s="706"/>
      <c r="M111" s="706">
        <v>25840000</v>
      </c>
      <c r="N111" s="858">
        <f>ROUND(SUM(G111:L111),0)</f>
        <v>0</v>
      </c>
      <c r="O111" s="864"/>
      <c r="P111" s="706">
        <f>IF(N111&lt;&gt;0,N111/O111,0)</f>
        <v>0</v>
      </c>
      <c r="Q111" s="877"/>
      <c r="R111" s="865"/>
      <c r="S111" s="927"/>
      <c r="T111" s="271"/>
      <c r="U111" s="866"/>
      <c r="V111" s="858">
        <f t="shared" si="13"/>
        <v>0</v>
      </c>
      <c r="W111" s="874"/>
    </row>
    <row r="112" spans="1:23">
      <c r="A112" s="856" t="str">
        <f>IF(B112&lt;&gt;"",A111+1,"")</f>
        <v/>
      </c>
      <c r="B112" s="581"/>
      <c r="C112" s="857">
        <f>IF(ISNA(VLOOKUP(B112,NXT!$Q$61:$S$81,2,0)),0,VLOOKUP(B112,NXT!$Q$61:$S$81,2,0))</f>
        <v>0</v>
      </c>
      <c r="D112" s="706">
        <f>ROUND(C112*O112,0)</f>
        <v>0</v>
      </c>
      <c r="E112" s="706"/>
      <c r="F112" s="706"/>
      <c r="G112" s="858">
        <f>D112*F112</f>
        <v>0</v>
      </c>
      <c r="H112" s="706">
        <f>IF($D$114&lt;&gt;0,H$114/($D$114+$E$114/5)*($D112+$E112/5),0)</f>
        <v>0</v>
      </c>
      <c r="I112" s="706">
        <f>IF($D$114&lt;&gt;0,I$114/$D$114*$D112,0)</f>
        <v>0</v>
      </c>
      <c r="J112" s="706">
        <f t="shared" si="12"/>
        <v>0</v>
      </c>
      <c r="K112" s="706">
        <f t="shared" si="12"/>
        <v>0</v>
      </c>
      <c r="L112" s="706"/>
      <c r="M112" s="706" t="e">
        <f>34560000/($O$67+#REF!+#REF!)*O112</f>
        <v>#REF!</v>
      </c>
      <c r="N112" s="858">
        <f>ROUND(SUM(G112:L112),0)</f>
        <v>0</v>
      </c>
      <c r="O112" s="864"/>
      <c r="P112" s="706">
        <f>IF(N112&lt;&gt;0,N112/O112,0)</f>
        <v>0</v>
      </c>
      <c r="Q112" s="877"/>
      <c r="R112" s="865"/>
      <c r="S112" s="927"/>
      <c r="T112" s="888"/>
      <c r="U112" s="866"/>
      <c r="V112" s="858">
        <f t="shared" si="13"/>
        <v>0</v>
      </c>
      <c r="W112" s="874"/>
    </row>
    <row r="113" spans="1:23">
      <c r="A113" s="856" t="str">
        <f>IF(B113&lt;&gt;"",#REF!+1,"")</f>
        <v/>
      </c>
      <c r="B113" s="869"/>
      <c r="C113" s="870"/>
      <c r="D113" s="872"/>
      <c r="E113" s="872"/>
      <c r="F113" s="872"/>
      <c r="G113" s="873"/>
      <c r="H113" s="918"/>
      <c r="I113" s="872"/>
      <c r="J113" s="874"/>
      <c r="K113" s="872"/>
      <c r="L113" s="875"/>
      <c r="M113" s="872"/>
      <c r="N113" s="858"/>
      <c r="O113" s="876"/>
      <c r="P113" s="872"/>
      <c r="Q113" s="877"/>
      <c r="R113" s="865"/>
      <c r="S113" s="927"/>
      <c r="T113" s="271"/>
      <c r="U113" s="866"/>
      <c r="V113" s="858">
        <f t="shared" si="13"/>
        <v>0</v>
      </c>
      <c r="W113" s="874"/>
    </row>
    <row r="114" spans="1:23">
      <c r="A114" s="879"/>
      <c r="B114" s="880" t="s">
        <v>723</v>
      </c>
      <c r="C114" s="881"/>
      <c r="D114" s="882">
        <f>SUM(D109:D112)</f>
        <v>0</v>
      </c>
      <c r="E114" s="882"/>
      <c r="F114" s="882"/>
      <c r="G114" s="882">
        <f>SUM(G109:G112)</f>
        <v>0</v>
      </c>
      <c r="H114" s="883"/>
      <c r="I114" s="883">
        <f>V123</f>
        <v>0</v>
      </c>
      <c r="J114" s="883"/>
      <c r="K114" s="883"/>
      <c r="L114" s="882">
        <f>ROUND(SUM(L109:L113),0)</f>
        <v>0</v>
      </c>
      <c r="M114" s="882" t="e">
        <f>ROUND(SUM(M109:M113),0)</f>
        <v>#REF!</v>
      </c>
      <c r="N114" s="882">
        <f>ROUND(SUM(N109:N113),0)</f>
        <v>0</v>
      </c>
      <c r="O114" s="882">
        <f>ROUND(SUM(O109:O113),0)</f>
        <v>0</v>
      </c>
      <c r="P114" s="882"/>
      <c r="Q114" s="877"/>
      <c r="R114" s="865"/>
      <c r="S114" s="927"/>
      <c r="T114" s="271"/>
      <c r="U114" s="866"/>
      <c r="V114" s="858">
        <f t="shared" si="13"/>
        <v>0</v>
      </c>
      <c r="W114" s="874"/>
    </row>
    <row r="115" spans="1:23" s="878" customFormat="1">
      <c r="A115" s="829"/>
      <c r="B115" s="829"/>
      <c r="C115" s="829"/>
      <c r="D115" s="829"/>
      <c r="E115" s="829"/>
      <c r="F115" s="829"/>
      <c r="G115" s="829"/>
      <c r="H115" s="829"/>
      <c r="I115" s="829"/>
      <c r="J115" s="829"/>
      <c r="K115" s="829"/>
      <c r="L115" s="829"/>
      <c r="M115" s="829"/>
      <c r="N115" s="829"/>
      <c r="O115" s="829"/>
      <c r="P115" s="829"/>
      <c r="Q115" s="877"/>
      <c r="R115" s="865"/>
      <c r="S115" s="927"/>
      <c r="T115" s="271"/>
      <c r="U115" s="866"/>
      <c r="V115" s="858">
        <f t="shared" si="13"/>
        <v>0</v>
      </c>
      <c r="W115" s="874"/>
    </row>
    <row r="116" spans="1:23" s="833" customFormat="1">
      <c r="A116" s="829"/>
      <c r="B116" s="829"/>
      <c r="C116" s="829"/>
      <c r="D116" s="829"/>
      <c r="E116" s="829"/>
      <c r="F116" s="829"/>
      <c r="G116" s="829"/>
      <c r="H116" s="829"/>
      <c r="I116" s="829"/>
      <c r="J116" s="829"/>
      <c r="K116" s="829"/>
      <c r="L116" s="829"/>
      <c r="M116" s="829"/>
      <c r="N116" s="829"/>
      <c r="O116" s="829"/>
      <c r="P116" s="829"/>
      <c r="Q116" s="877"/>
      <c r="R116" s="865"/>
      <c r="S116" s="927"/>
      <c r="T116" s="888"/>
      <c r="U116" s="888"/>
      <c r="V116" s="858">
        <f t="shared" si="13"/>
        <v>0</v>
      </c>
      <c r="W116" s="874"/>
    </row>
    <row r="117" spans="1:23">
      <c r="Q117" s="877"/>
      <c r="R117" s="865"/>
      <c r="S117" s="929"/>
      <c r="T117" s="888"/>
      <c r="U117" s="866"/>
      <c r="V117" s="858">
        <f t="shared" si="13"/>
        <v>0</v>
      </c>
      <c r="W117" s="874"/>
    </row>
    <row r="118" spans="1:23">
      <c r="Q118" s="877"/>
      <c r="R118" s="586"/>
      <c r="S118" s="929"/>
      <c r="T118" s="271"/>
      <c r="U118" s="271"/>
      <c r="V118" s="858">
        <f t="shared" si="13"/>
        <v>0</v>
      </c>
      <c r="W118" s="874"/>
    </row>
    <row r="119" spans="1:23">
      <c r="Q119" s="877"/>
      <c r="R119" s="865"/>
      <c r="S119" s="929"/>
      <c r="T119" s="271"/>
      <c r="U119" s="271"/>
      <c r="V119" s="858">
        <f t="shared" si="13"/>
        <v>0</v>
      </c>
      <c r="W119" s="874"/>
    </row>
    <row r="120" spans="1:23">
      <c r="Q120" s="877"/>
      <c r="R120" s="930"/>
      <c r="S120" s="929"/>
      <c r="T120" s="888"/>
      <c r="U120" s="866"/>
      <c r="V120" s="858">
        <f t="shared" si="13"/>
        <v>0</v>
      </c>
      <c r="W120" s="874"/>
    </row>
    <row r="121" spans="1:23">
      <c r="Q121" s="877"/>
      <c r="R121" s="865"/>
      <c r="S121" s="927"/>
      <c r="T121" s="888"/>
      <c r="U121" s="866"/>
      <c r="V121" s="858">
        <f t="shared" si="13"/>
        <v>0</v>
      </c>
      <c r="W121" s="874"/>
    </row>
    <row r="122" spans="1:23">
      <c r="Q122" s="877"/>
      <c r="R122" s="586"/>
      <c r="S122" s="861"/>
      <c r="T122" s="271"/>
      <c r="U122" s="271"/>
      <c r="V122" s="858"/>
      <c r="W122" s="874"/>
    </row>
    <row r="123" spans="1:23">
      <c r="R123" s="911"/>
      <c r="S123" s="912"/>
      <c r="T123" s="913"/>
      <c r="U123" s="932"/>
      <c r="V123" s="882">
        <f>SUM(V109:V122)</f>
        <v>0</v>
      </c>
      <c r="W123" s="892">
        <f>SUM(W109:W122)</f>
        <v>0</v>
      </c>
    </row>
    <row r="124" spans="1:23">
      <c r="R124" s="914"/>
      <c r="S124" s="927"/>
      <c r="T124" s="271"/>
      <c r="U124" s="271"/>
      <c r="V124" s="858">
        <f t="shared" ref="V124:V130" si="14">ROUND(T124*U124,0)</f>
        <v>0</v>
      </c>
      <c r="W124" s="858"/>
    </row>
    <row r="125" spans="1:23">
      <c r="R125" s="865"/>
      <c r="S125" s="927"/>
      <c r="T125" s="866"/>
      <c r="U125" s="866"/>
      <c r="V125" s="858">
        <f t="shared" si="14"/>
        <v>0</v>
      </c>
      <c r="W125" s="874"/>
    </row>
    <row r="126" spans="1:23">
      <c r="R126" s="865"/>
      <c r="S126" s="927"/>
      <c r="T126" s="866"/>
      <c r="U126" s="866"/>
      <c r="V126" s="858">
        <f t="shared" si="14"/>
        <v>0</v>
      </c>
      <c r="W126" s="874"/>
    </row>
    <row r="127" spans="1:23">
      <c r="R127" s="865"/>
      <c r="S127" s="927"/>
      <c r="T127" s="866"/>
      <c r="U127" s="866"/>
      <c r="V127" s="858">
        <f t="shared" si="14"/>
        <v>0</v>
      </c>
      <c r="W127" s="874"/>
    </row>
    <row r="128" spans="1:23">
      <c r="R128" s="914"/>
      <c r="S128" s="927"/>
      <c r="T128" s="271"/>
      <c r="U128" s="271"/>
      <c r="V128" s="858">
        <f t="shared" si="14"/>
        <v>0</v>
      </c>
      <c r="W128" s="874"/>
    </row>
    <row r="129" spans="1:23">
      <c r="R129" s="888"/>
      <c r="S129" s="861"/>
      <c r="T129" s="866"/>
      <c r="U129" s="866"/>
      <c r="V129" s="858">
        <f t="shared" si="14"/>
        <v>0</v>
      </c>
      <c r="W129" s="874"/>
    </row>
    <row r="130" spans="1:23">
      <c r="R130" s="888"/>
      <c r="S130" s="861"/>
      <c r="T130" s="866"/>
      <c r="U130" s="866"/>
      <c r="V130" s="858">
        <f t="shared" si="14"/>
        <v>0</v>
      </c>
      <c r="W130" s="874"/>
    </row>
    <row r="131" spans="1:23" ht="12.75" customHeight="1">
      <c r="A131" s="848"/>
      <c r="B131" s="848"/>
      <c r="C131" s="935"/>
      <c r="D131" s="848"/>
      <c r="E131" s="848"/>
      <c r="F131" s="848"/>
      <c r="G131" s="848"/>
      <c r="H131" s="848"/>
      <c r="I131" s="848"/>
      <c r="J131" s="848"/>
      <c r="K131" s="848"/>
      <c r="L131" s="848"/>
      <c r="M131" s="848"/>
      <c r="N131" s="848"/>
      <c r="O131" s="900"/>
      <c r="P131" s="848"/>
      <c r="Q131" s="838"/>
      <c r="R131" s="832"/>
      <c r="S131" s="839"/>
    </row>
    <row r="132" spans="1:23" ht="18" customHeight="1">
      <c r="A132" s="833" t="s">
        <v>706</v>
      </c>
      <c r="B132" s="833"/>
      <c r="C132" s="936"/>
      <c r="D132" s="835"/>
      <c r="E132" s="835"/>
      <c r="F132" s="835"/>
      <c r="G132" s="832"/>
      <c r="H132" s="832"/>
      <c r="I132" s="832"/>
      <c r="J132" s="832"/>
      <c r="K132" s="832"/>
      <c r="L132" s="836"/>
      <c r="M132" s="832"/>
      <c r="N132" s="832"/>
      <c r="O132" s="837"/>
      <c r="P132" s="832"/>
      <c r="Q132" s="838"/>
      <c r="R132" s="832"/>
      <c r="S132" s="839"/>
    </row>
    <row r="133" spans="1:23" ht="18.75" customHeight="1">
      <c r="A133" s="840" t="s">
        <v>729</v>
      </c>
      <c r="B133" s="840"/>
      <c r="C133" s="840"/>
      <c r="D133" s="840"/>
      <c r="E133" s="840"/>
      <c r="F133" s="840"/>
      <c r="G133" s="840"/>
      <c r="H133" s="840"/>
      <c r="I133" s="840"/>
      <c r="J133" s="840"/>
      <c r="K133" s="840"/>
      <c r="L133" s="840"/>
      <c r="M133" s="840"/>
      <c r="N133" s="840"/>
      <c r="O133" s="840"/>
      <c r="P133" s="840"/>
      <c r="Q133" s="838"/>
      <c r="R133" s="832"/>
      <c r="S133" s="839"/>
    </row>
    <row r="134" spans="1:23" ht="18.75" customHeight="1">
      <c r="A134" s="841"/>
      <c r="B134" s="841"/>
      <c r="C134" s="842"/>
      <c r="D134" s="841"/>
      <c r="E134" s="841"/>
      <c r="F134" s="841"/>
      <c r="G134" s="841"/>
      <c r="H134" s="841"/>
      <c r="I134" s="841"/>
      <c r="J134" s="841"/>
      <c r="K134" s="841"/>
      <c r="L134" s="840"/>
      <c r="M134" s="841"/>
      <c r="N134" s="841"/>
      <c r="O134" s="843"/>
      <c r="P134" s="841"/>
      <c r="Q134" s="838"/>
      <c r="R134" s="832"/>
      <c r="S134" s="839"/>
    </row>
    <row r="135" spans="1:23" ht="12.75" customHeight="1">
      <c r="A135" s="844"/>
      <c r="B135" s="844"/>
      <c r="C135" s="845"/>
      <c r="D135" s="844"/>
      <c r="E135" s="844"/>
      <c r="F135" s="844"/>
      <c r="G135" s="844"/>
      <c r="H135" s="844"/>
      <c r="I135" s="844"/>
      <c r="J135" s="844"/>
      <c r="K135" s="844"/>
      <c r="L135" s="844"/>
      <c r="M135" s="844"/>
      <c r="N135" s="844"/>
      <c r="O135" s="846"/>
      <c r="P135" s="844"/>
      <c r="Q135" s="838"/>
      <c r="R135" s="832"/>
      <c r="S135" s="839"/>
    </row>
    <row r="136" spans="1:23" s="855" customFormat="1" ht="30.75" customHeight="1">
      <c r="A136" s="849" t="s">
        <v>46</v>
      </c>
      <c r="B136" s="849" t="s">
        <v>708</v>
      </c>
      <c r="C136" s="850" t="s">
        <v>709</v>
      </c>
      <c r="D136" s="851" t="s">
        <v>710</v>
      </c>
      <c r="E136" s="851" t="s">
        <v>711</v>
      </c>
      <c r="F136" s="851" t="s">
        <v>712</v>
      </c>
      <c r="G136" s="851" t="s">
        <v>713</v>
      </c>
      <c r="H136" s="851" t="s">
        <v>714</v>
      </c>
      <c r="I136" s="851" t="s">
        <v>715</v>
      </c>
      <c r="J136" s="851" t="s">
        <v>716</v>
      </c>
      <c r="K136" s="852" t="s">
        <v>717</v>
      </c>
      <c r="L136" s="851" t="s">
        <v>718</v>
      </c>
      <c r="M136" s="852" t="s">
        <v>719</v>
      </c>
      <c r="N136" s="851" t="s">
        <v>720</v>
      </c>
      <c r="O136" s="853" t="s">
        <v>711</v>
      </c>
      <c r="P136" s="851" t="s">
        <v>721</v>
      </c>
      <c r="Q136" s="854"/>
      <c r="R136" s="849" t="s">
        <v>708</v>
      </c>
      <c r="S136" s="851" t="s">
        <v>675</v>
      </c>
      <c r="T136" s="851" t="s">
        <v>533</v>
      </c>
      <c r="U136" s="851" t="s">
        <v>712</v>
      </c>
      <c r="V136" s="851" t="s">
        <v>722</v>
      </c>
      <c r="W136" s="849" t="s">
        <v>722</v>
      </c>
    </row>
    <row r="137" spans="1:23">
      <c r="A137" s="856" t="str">
        <f>IF(B137&lt;&gt;"",ROW()-(ROW()-1),"")</f>
        <v/>
      </c>
      <c r="B137" s="868"/>
      <c r="C137" s="857">
        <f>IF(ISNA(VLOOKUP(B137,NXT!$Q$61:$S$81,2,0)),0,VLOOKUP(B137,NXT!$Q$61:$S$81,2,0))</f>
        <v>0</v>
      </c>
      <c r="D137" s="706">
        <f>ROUND(C137*O137,0)</f>
        <v>0</v>
      </c>
      <c r="E137" s="706"/>
      <c r="F137" s="706"/>
      <c r="G137" s="858">
        <f>D137*F137</f>
        <v>0</v>
      </c>
      <c r="H137" s="706">
        <f>IF($D$141&lt;&gt;0,H$141/($D$141+$E$141/5)*($D137+$E137/5),0)</f>
        <v>0</v>
      </c>
      <c r="I137" s="706">
        <f>IF($D$141&lt;&gt;0,I$141/$D$141*$D137,0)</f>
        <v>0</v>
      </c>
      <c r="J137" s="706">
        <f t="shared" ref="J137:K140" si="15">IF($D$141&lt;&gt;0,J$141/$D$141*$D137,0)</f>
        <v>0</v>
      </c>
      <c r="K137" s="706">
        <f t="shared" si="15"/>
        <v>0</v>
      </c>
      <c r="L137" s="858"/>
      <c r="M137" s="706" t="e">
        <f>34560000/($O$67+#REF!+#REF!)*O137</f>
        <v>#REF!</v>
      </c>
      <c r="N137" s="858">
        <f>ROUND(SUM(G137:L137),0)</f>
        <v>0</v>
      </c>
      <c r="O137" s="706"/>
      <c r="P137" s="706">
        <f>IF(N137&lt;&gt;0,N137/O137,0)</f>
        <v>0</v>
      </c>
      <c r="Q137" s="877"/>
      <c r="R137" s="860"/>
      <c r="S137" s="927"/>
      <c r="T137" s="271"/>
      <c r="U137" s="862"/>
      <c r="V137" s="858">
        <f t="shared" ref="V137:V146" si="16">ROUND(T137*U137,0)</f>
        <v>0</v>
      </c>
      <c r="W137" s="858"/>
    </row>
    <row r="138" spans="1:23">
      <c r="A138" s="856" t="str">
        <f>IF(B138&lt;&gt;"",A137+1,"")</f>
        <v/>
      </c>
      <c r="B138" s="586"/>
      <c r="C138" s="857">
        <f>IF(ISNA(VLOOKUP(B138,NXT!$Q$61:$S$81,2,0)),0,VLOOKUP(B138,NXT!$Q$61:$S$81,2,0))</f>
        <v>0</v>
      </c>
      <c r="D138" s="706">
        <f>ROUND(C138*O138,0)</f>
        <v>0</v>
      </c>
      <c r="E138" s="706"/>
      <c r="F138" s="706"/>
      <c r="G138" s="858">
        <f>D138*F138</f>
        <v>0</v>
      </c>
      <c r="H138" s="706">
        <f>IF($D$141&lt;&gt;0,H$141/($D$141+$E$141/5)*($D138+$E138/5),0)</f>
        <v>0</v>
      </c>
      <c r="I138" s="706">
        <f>IF($D$141&lt;&gt;0,I$141/$D$141*$D138,0)</f>
        <v>0</v>
      </c>
      <c r="J138" s="706">
        <f t="shared" si="15"/>
        <v>0</v>
      </c>
      <c r="K138" s="706">
        <f t="shared" si="15"/>
        <v>0</v>
      </c>
      <c r="L138" s="706"/>
      <c r="M138" s="706"/>
      <c r="N138" s="858">
        <f>ROUND(SUM(G138:L138),0)</f>
        <v>0</v>
      </c>
      <c r="O138" s="864"/>
      <c r="P138" s="706">
        <f>IF(N138&lt;&gt;0,N138/O138,0)</f>
        <v>0</v>
      </c>
      <c r="Q138" s="877"/>
      <c r="R138" s="865"/>
      <c r="S138" s="927"/>
      <c r="T138" s="271"/>
      <c r="U138" s="866"/>
      <c r="V138" s="858">
        <f t="shared" si="16"/>
        <v>0</v>
      </c>
      <c r="W138" s="874"/>
    </row>
    <row r="139" spans="1:23">
      <c r="A139" s="856" t="str">
        <f>IF(B139&lt;&gt;"",A138+1,"")</f>
        <v/>
      </c>
      <c r="B139" s="868"/>
      <c r="C139" s="857">
        <f>IF(ISNA(VLOOKUP(B139,NXT!$Q$61:$S$81,2,0)),0,VLOOKUP(B139,NXT!$Q$61:$S$81,2,0))</f>
        <v>0</v>
      </c>
      <c r="D139" s="706">
        <f>ROUND(C139*O139,0)</f>
        <v>0</v>
      </c>
      <c r="E139" s="706"/>
      <c r="F139" s="706"/>
      <c r="G139" s="858">
        <f>D139*F139</f>
        <v>0</v>
      </c>
      <c r="H139" s="706">
        <f>IF($D$141&lt;&gt;0,H$141/($D$141+$E$141/5)*($D139+$E139/5),0)</f>
        <v>0</v>
      </c>
      <c r="I139" s="706">
        <f>IF($D$141&lt;&gt;0,I$141/$D$141*$D139,0)</f>
        <v>0</v>
      </c>
      <c r="J139" s="706">
        <f t="shared" si="15"/>
        <v>0</v>
      </c>
      <c r="K139" s="706">
        <f t="shared" si="15"/>
        <v>0</v>
      </c>
      <c r="L139" s="706"/>
      <c r="M139" s="706">
        <v>25840000</v>
      </c>
      <c r="N139" s="858">
        <f>ROUND(SUM(G139:L139),0)</f>
        <v>0</v>
      </c>
      <c r="O139" s="864"/>
      <c r="P139" s="706">
        <f>IF(N139&lt;&gt;0,N139/O139,0)</f>
        <v>0</v>
      </c>
      <c r="Q139" s="877"/>
      <c r="R139" s="865"/>
      <c r="S139" s="927"/>
      <c r="T139" s="271"/>
      <c r="U139" s="866"/>
      <c r="V139" s="858">
        <f t="shared" si="16"/>
        <v>0</v>
      </c>
      <c r="W139" s="874"/>
    </row>
    <row r="140" spans="1:23">
      <c r="A140" s="856" t="str">
        <f>IF(B140&lt;&gt;"",#REF!+1,"")</f>
        <v/>
      </c>
      <c r="B140" s="868"/>
      <c r="C140" s="857"/>
      <c r="D140" s="706">
        <f>ROUND(C140*O140,0)</f>
        <v>0</v>
      </c>
      <c r="E140" s="706"/>
      <c r="F140" s="706"/>
      <c r="G140" s="858">
        <f>D140*F140</f>
        <v>0</v>
      </c>
      <c r="H140" s="706">
        <f>IF($D$141&lt;&gt;0,H$141/($D$141+$E$141/5)*($D140+$E140/5),0)</f>
        <v>0</v>
      </c>
      <c r="I140" s="706">
        <f>IF($D$141&lt;&gt;0,I$141/$D$141*$D140,0)</f>
        <v>0</v>
      </c>
      <c r="J140" s="706">
        <f t="shared" si="15"/>
        <v>0</v>
      </c>
      <c r="K140" s="706">
        <f t="shared" si="15"/>
        <v>0</v>
      </c>
      <c r="L140" s="706"/>
      <c r="M140" s="706" t="e">
        <f>34560000/($O$67+#REF!+#REF!)*O140</f>
        <v>#REF!</v>
      </c>
      <c r="N140" s="858">
        <f>ROUND(SUM(G140:L140),0)</f>
        <v>0</v>
      </c>
      <c r="O140" s="864"/>
      <c r="P140" s="706">
        <f>IF(N140&lt;&gt;0,N140/O140,0)</f>
        <v>0</v>
      </c>
      <c r="Q140" s="877"/>
      <c r="R140" s="865"/>
      <c r="S140" s="927"/>
      <c r="T140" s="888"/>
      <c r="U140" s="866"/>
      <c r="V140" s="858">
        <f t="shared" si="16"/>
        <v>0</v>
      </c>
      <c r="W140" s="874"/>
    </row>
    <row r="141" spans="1:23">
      <c r="A141" s="879"/>
      <c r="B141" s="880" t="s">
        <v>723</v>
      </c>
      <c r="C141" s="881"/>
      <c r="D141" s="882">
        <f>SUM(D137:D140)</f>
        <v>0</v>
      </c>
      <c r="E141" s="882"/>
      <c r="F141" s="882"/>
      <c r="G141" s="882">
        <f>SUM(G137:G140)</f>
        <v>0</v>
      </c>
      <c r="H141" s="883"/>
      <c r="I141" s="883">
        <f>V148</f>
        <v>0</v>
      </c>
      <c r="J141" s="883"/>
      <c r="K141" s="883"/>
      <c r="L141" s="882">
        <f>ROUND(SUM(L137:L140),0)</f>
        <v>0</v>
      </c>
      <c r="M141" s="882" t="e">
        <f>ROUND(SUM(M137:M140),0)</f>
        <v>#REF!</v>
      </c>
      <c r="N141" s="882">
        <f>ROUND(SUM(N137:N140),0)</f>
        <v>0</v>
      </c>
      <c r="O141" s="882">
        <f>ROUND(SUM(O137:O140),0)</f>
        <v>0</v>
      </c>
      <c r="P141" s="882"/>
      <c r="Q141" s="877"/>
      <c r="R141" s="865"/>
      <c r="S141" s="927"/>
      <c r="T141" s="271"/>
      <c r="U141" s="866"/>
      <c r="V141" s="858">
        <f t="shared" si="16"/>
        <v>0</v>
      </c>
      <c r="W141" s="874"/>
    </row>
    <row r="142" spans="1:23">
      <c r="Q142" s="877"/>
      <c r="R142" s="865"/>
      <c r="S142" s="927"/>
      <c r="T142" s="271"/>
      <c r="U142" s="866"/>
      <c r="V142" s="858">
        <f t="shared" si="16"/>
        <v>0</v>
      </c>
      <c r="W142" s="874"/>
    </row>
    <row r="143" spans="1:23" s="833" customFormat="1">
      <c r="A143" s="829"/>
      <c r="B143" s="829"/>
      <c r="C143" s="829"/>
      <c r="D143" s="829"/>
      <c r="E143" s="829"/>
      <c r="F143" s="829"/>
      <c r="G143" s="829"/>
      <c r="H143" s="829"/>
      <c r="I143" s="829"/>
      <c r="J143" s="829"/>
      <c r="K143" s="829"/>
      <c r="L143" s="829"/>
      <c r="M143" s="829"/>
      <c r="N143" s="829"/>
      <c r="O143" s="829"/>
      <c r="P143" s="829"/>
      <c r="Q143" s="877"/>
      <c r="R143" s="865"/>
      <c r="S143" s="927"/>
      <c r="T143" s="888"/>
      <c r="U143" s="888"/>
      <c r="V143" s="858">
        <f t="shared" si="16"/>
        <v>0</v>
      </c>
      <c r="W143" s="874"/>
    </row>
    <row r="144" spans="1:23">
      <c r="Q144" s="877"/>
      <c r="R144" s="865"/>
      <c r="S144" s="929"/>
      <c r="T144" s="888"/>
      <c r="U144" s="866"/>
      <c r="V144" s="858">
        <f t="shared" si="16"/>
        <v>0</v>
      </c>
      <c r="W144" s="874"/>
    </row>
    <row r="145" spans="1:23">
      <c r="Q145" s="877"/>
      <c r="R145" s="586"/>
      <c r="S145" s="927"/>
      <c r="T145" s="271"/>
      <c r="U145" s="271"/>
      <c r="V145" s="858">
        <f t="shared" si="16"/>
        <v>0</v>
      </c>
      <c r="W145" s="874"/>
    </row>
    <row r="146" spans="1:23">
      <c r="Q146" s="877"/>
      <c r="R146" s="930"/>
      <c r="S146" s="929"/>
      <c r="T146" s="888"/>
      <c r="U146" s="866"/>
      <c r="V146" s="858">
        <f t="shared" si="16"/>
        <v>0</v>
      </c>
      <c r="W146" s="874"/>
    </row>
    <row r="147" spans="1:23">
      <c r="Q147" s="877"/>
      <c r="R147" s="586"/>
      <c r="S147" s="861"/>
      <c r="T147" s="271"/>
      <c r="U147" s="271"/>
      <c r="V147" s="874"/>
      <c r="W147" s="874"/>
    </row>
    <row r="148" spans="1:23">
      <c r="R148" s="911"/>
      <c r="S148" s="912"/>
      <c r="T148" s="913"/>
      <c r="U148" s="932"/>
      <c r="V148" s="882">
        <f>SUM(V137:V147)</f>
        <v>0</v>
      </c>
      <c r="W148" s="892">
        <f>SUM(W137:W147)</f>
        <v>0</v>
      </c>
    </row>
    <row r="149" spans="1:23">
      <c r="R149" s="914"/>
      <c r="S149" s="927"/>
      <c r="T149" s="271"/>
      <c r="U149" s="271"/>
      <c r="V149" s="858">
        <f t="shared" ref="V149:V154" si="17">ROUND(T149*U149,0)</f>
        <v>0</v>
      </c>
      <c r="W149" s="858"/>
    </row>
    <row r="150" spans="1:23">
      <c r="R150" s="865"/>
      <c r="S150" s="927"/>
      <c r="T150" s="866"/>
      <c r="U150" s="866"/>
      <c r="V150" s="858">
        <f t="shared" si="17"/>
        <v>0</v>
      </c>
      <c r="W150" s="874"/>
    </row>
    <row r="151" spans="1:23">
      <c r="R151" s="865"/>
      <c r="S151" s="927"/>
      <c r="T151" s="866"/>
      <c r="U151" s="866"/>
      <c r="V151" s="858">
        <f t="shared" si="17"/>
        <v>0</v>
      </c>
      <c r="W151" s="874"/>
    </row>
    <row r="152" spans="1:23">
      <c r="R152" s="865"/>
      <c r="S152" s="927"/>
      <c r="T152" s="866"/>
      <c r="U152" s="866"/>
      <c r="V152" s="858">
        <f t="shared" si="17"/>
        <v>0</v>
      </c>
      <c r="W152" s="874"/>
    </row>
    <row r="153" spans="1:23">
      <c r="R153" s="865"/>
      <c r="S153" s="927"/>
      <c r="T153" s="866"/>
      <c r="U153" s="866"/>
      <c r="V153" s="858">
        <f t="shared" si="17"/>
        <v>0</v>
      </c>
      <c r="W153" s="874"/>
    </row>
    <row r="154" spans="1:23">
      <c r="R154" s="888"/>
      <c r="S154" s="861"/>
      <c r="T154" s="866"/>
      <c r="U154" s="866"/>
      <c r="V154" s="858">
        <f t="shared" si="17"/>
        <v>0</v>
      </c>
      <c r="W154" s="874"/>
    </row>
    <row r="155" spans="1:23" ht="16.5" customHeight="1">
      <c r="A155" s="833" t="s">
        <v>706</v>
      </c>
      <c r="B155" s="833"/>
      <c r="C155" s="834"/>
      <c r="D155" s="835"/>
      <c r="E155" s="835"/>
      <c r="F155" s="835"/>
      <c r="G155" s="832"/>
      <c r="H155" s="832"/>
      <c r="I155" s="832"/>
      <c r="J155" s="832"/>
      <c r="K155" s="832"/>
      <c r="L155" s="836"/>
      <c r="M155" s="832"/>
      <c r="N155" s="832"/>
      <c r="O155" s="837"/>
      <c r="P155" s="832"/>
      <c r="R155" s="832"/>
      <c r="S155" s="839"/>
    </row>
    <row r="156" spans="1:23" ht="16.5" customHeight="1">
      <c r="A156" s="840" t="s">
        <v>730</v>
      </c>
      <c r="B156" s="840"/>
      <c r="C156" s="840"/>
      <c r="D156" s="840"/>
      <c r="E156" s="840"/>
      <c r="F156" s="840"/>
      <c r="G156" s="840"/>
      <c r="H156" s="840"/>
      <c r="I156" s="840"/>
      <c r="J156" s="840"/>
      <c r="K156" s="840"/>
      <c r="L156" s="840"/>
      <c r="M156" s="840"/>
      <c r="N156" s="840"/>
      <c r="O156" s="840"/>
      <c r="P156" s="840"/>
      <c r="Q156" s="838"/>
      <c r="R156" s="832"/>
      <c r="S156" s="839"/>
    </row>
    <row r="157" spans="1:23" ht="11.25" customHeight="1">
      <c r="A157" s="841"/>
      <c r="B157" s="841"/>
      <c r="C157" s="842"/>
      <c r="D157" s="841"/>
      <c r="E157" s="841"/>
      <c r="F157" s="841"/>
      <c r="G157" s="841"/>
      <c r="H157" s="841"/>
      <c r="I157" s="841"/>
      <c r="J157" s="841"/>
      <c r="K157" s="841"/>
      <c r="L157" s="840"/>
      <c r="M157" s="841"/>
      <c r="N157" s="841"/>
      <c r="O157" s="843"/>
      <c r="P157" s="841"/>
      <c r="Q157" s="838"/>
      <c r="R157" s="832"/>
      <c r="S157" s="839"/>
    </row>
    <row r="158" spans="1:23" ht="11.25" customHeight="1">
      <c r="A158" s="844"/>
      <c r="B158" s="844"/>
      <c r="C158" s="845"/>
      <c r="D158" s="844"/>
      <c r="E158" s="844"/>
      <c r="F158" s="844"/>
      <c r="G158" s="844"/>
      <c r="H158" s="844"/>
      <c r="I158" s="844"/>
      <c r="J158" s="844"/>
      <c r="K158" s="844"/>
      <c r="L158" s="844"/>
      <c r="M158" s="844"/>
      <c r="N158" s="844"/>
      <c r="O158" s="846"/>
      <c r="P158" s="844"/>
      <c r="Q158" s="838"/>
      <c r="R158" s="832"/>
      <c r="S158" s="839"/>
    </row>
    <row r="159" spans="1:23" ht="28.5" customHeight="1">
      <c r="A159" s="849" t="s">
        <v>46</v>
      </c>
      <c r="B159" s="849" t="s">
        <v>708</v>
      </c>
      <c r="C159" s="850" t="s">
        <v>709</v>
      </c>
      <c r="D159" s="851" t="s">
        <v>710</v>
      </c>
      <c r="E159" s="851" t="s">
        <v>711</v>
      </c>
      <c r="F159" s="851" t="s">
        <v>712</v>
      </c>
      <c r="G159" s="851" t="s">
        <v>713</v>
      </c>
      <c r="H159" s="851" t="s">
        <v>714</v>
      </c>
      <c r="I159" s="851" t="s">
        <v>715</v>
      </c>
      <c r="J159" s="851" t="s">
        <v>716</v>
      </c>
      <c r="K159" s="852" t="s">
        <v>717</v>
      </c>
      <c r="L159" s="851" t="s">
        <v>718</v>
      </c>
      <c r="M159" s="852" t="s">
        <v>719</v>
      </c>
      <c r="N159" s="851" t="s">
        <v>720</v>
      </c>
      <c r="O159" s="853" t="s">
        <v>711</v>
      </c>
      <c r="P159" s="851" t="s">
        <v>721</v>
      </c>
      <c r="Q159" s="838"/>
      <c r="R159" s="849" t="s">
        <v>708</v>
      </c>
      <c r="S159" s="851" t="s">
        <v>675</v>
      </c>
      <c r="T159" s="851" t="s">
        <v>533</v>
      </c>
      <c r="U159" s="851" t="s">
        <v>712</v>
      </c>
      <c r="V159" s="851" t="s">
        <v>722</v>
      </c>
      <c r="W159" s="849" t="s">
        <v>722</v>
      </c>
    </row>
    <row r="160" spans="1:23" s="855" customFormat="1" ht="12" customHeight="1">
      <c r="A160" s="856" t="str">
        <f>IF(B160&lt;&gt;"",ROW()-(ROW()-1),"")</f>
        <v/>
      </c>
      <c r="B160" s="868"/>
      <c r="C160" s="857">
        <f>IF(ISNA(VLOOKUP(B160,NXT!$Q$61:$S$81,2,0)),0,VLOOKUP(B160,NXT!$Q$61:$S$81,2,0))</f>
        <v>0</v>
      </c>
      <c r="D160" s="706">
        <f>ROUND(C160*O160,0)</f>
        <v>0</v>
      </c>
      <c r="E160" s="706"/>
      <c r="F160" s="706"/>
      <c r="G160" s="858">
        <f>(D160+E160)*F160</f>
        <v>0</v>
      </c>
      <c r="H160" s="706">
        <f>IF($D$165&lt;&gt;0,H$165/($D$165+$E$165/5)*($D160+$E160/5),0)</f>
        <v>0</v>
      </c>
      <c r="I160" s="706">
        <f>IF($D$165&lt;&gt;0,I$165/$D$165*$D160,0)</f>
        <v>0</v>
      </c>
      <c r="J160" s="706">
        <f>IF($D$165&lt;&gt;0,J$165/$D$165*$D160,0)</f>
        <v>0</v>
      </c>
      <c r="K160" s="706">
        <f t="shared" ref="J160:K163" si="18">IF($D$165&lt;&gt;0,K$165/$D$165*$D160,0)</f>
        <v>0</v>
      </c>
      <c r="L160" s="858"/>
      <c r="M160" s="706" t="e">
        <f>34560000/($O$67+#REF!+#REF!)*O160</f>
        <v>#REF!</v>
      </c>
      <c r="N160" s="858">
        <f>ROUND(SUM(G160:L160),0)</f>
        <v>0</v>
      </c>
      <c r="O160" s="706"/>
      <c r="P160" s="706">
        <f>IF(N160&lt;&gt;0,N160/O160,0)</f>
        <v>0</v>
      </c>
      <c r="Q160" s="854"/>
      <c r="R160" s="860"/>
      <c r="S160" s="927"/>
      <c r="T160" s="271"/>
      <c r="U160" s="862"/>
      <c r="V160" s="858">
        <f t="shared" ref="V160:V170" si="19">ROUND(T160*U160,0)</f>
        <v>0</v>
      </c>
      <c r="W160" s="858"/>
    </row>
    <row r="161" spans="1:23" ht="12" customHeight="1">
      <c r="A161" s="856" t="str">
        <f>IF(B161&lt;&gt;"",A160+1,"")</f>
        <v/>
      </c>
      <c r="B161" s="868"/>
      <c r="C161" s="857">
        <f>IF(ISNA(VLOOKUP(B161,NXT!$Q$61:$S$81,2,0)),0,VLOOKUP(B161,NXT!$Q$61:$S$81,2,0))</f>
        <v>0</v>
      </c>
      <c r="D161" s="706">
        <f>ROUND(C161*O161,0)</f>
        <v>0</v>
      </c>
      <c r="E161" s="706"/>
      <c r="F161" s="706"/>
      <c r="G161" s="858">
        <f>(D161+E161)*F161</f>
        <v>0</v>
      </c>
      <c r="H161" s="706">
        <f>IF($D$165&lt;&gt;0,H$165/($D$165+$E$165/5)*($D161+$E161/5),0)</f>
        <v>0</v>
      </c>
      <c r="I161" s="706">
        <f>IF($D$165&lt;&gt;0,I$165/$D$165*$D161,0)</f>
        <v>0</v>
      </c>
      <c r="J161" s="706">
        <f t="shared" si="18"/>
        <v>0</v>
      </c>
      <c r="K161" s="706">
        <f t="shared" si="18"/>
        <v>0</v>
      </c>
      <c r="L161" s="706"/>
      <c r="M161" s="706">
        <v>25840000</v>
      </c>
      <c r="N161" s="858">
        <f>ROUND(SUM(G161:L161),0)</f>
        <v>0</v>
      </c>
      <c r="O161" s="864"/>
      <c r="P161" s="706">
        <f>IF(N161&lt;&gt;0,N161/O161,0)</f>
        <v>0</v>
      </c>
      <c r="Q161" s="877"/>
      <c r="R161" s="865"/>
      <c r="S161" s="927"/>
      <c r="T161" s="271"/>
      <c r="U161" s="866"/>
      <c r="V161" s="858">
        <f t="shared" si="19"/>
        <v>0</v>
      </c>
      <c r="W161" s="874"/>
    </row>
    <row r="162" spans="1:23" ht="12" customHeight="1">
      <c r="A162" s="856" t="str">
        <f>IF(B162&lt;&gt;"",A161+1,"")</f>
        <v/>
      </c>
      <c r="B162" s="868"/>
      <c r="C162" s="857">
        <f>IF(ISNA(VLOOKUP(B162,NXT!$Q$61:$S$81,2,0)),0,VLOOKUP(B162,NXT!$Q$61:$S$81,2,0))</f>
        <v>0</v>
      </c>
      <c r="D162" s="706">
        <f>ROUND(C162*O162,0)</f>
        <v>0</v>
      </c>
      <c r="E162" s="706"/>
      <c r="F162" s="706"/>
      <c r="G162" s="858">
        <f>(D162+E162)*F162</f>
        <v>0</v>
      </c>
      <c r="H162" s="706">
        <f>IF($D$165&lt;&gt;0,H$165/($D$165+$E$165/5)*($D162+$E162/5),0)</f>
        <v>0</v>
      </c>
      <c r="I162" s="706">
        <f>IF($D$165&lt;&gt;0,I$165/$D$165*$D162,0)</f>
        <v>0</v>
      </c>
      <c r="J162" s="706">
        <f t="shared" si="18"/>
        <v>0</v>
      </c>
      <c r="K162" s="706">
        <f t="shared" si="18"/>
        <v>0</v>
      </c>
      <c r="L162" s="706"/>
      <c r="M162" s="706" t="e">
        <f>34560000/($O$67+#REF!+#REF!)*O162</f>
        <v>#REF!</v>
      </c>
      <c r="N162" s="858">
        <f>ROUND(SUM(G162:L162),0)</f>
        <v>0</v>
      </c>
      <c r="O162" s="864"/>
      <c r="P162" s="706">
        <f>IF(N162&lt;&gt;0,N162/O162,0)</f>
        <v>0</v>
      </c>
      <c r="Q162" s="877"/>
      <c r="R162" s="865"/>
      <c r="S162" s="927"/>
      <c r="T162" s="271"/>
      <c r="U162" s="866"/>
      <c r="V162" s="858">
        <f t="shared" si="19"/>
        <v>0</v>
      </c>
      <c r="W162" s="874"/>
    </row>
    <row r="163" spans="1:23" ht="12" customHeight="1">
      <c r="A163" s="856" t="str">
        <f>IF(B163&lt;&gt;"",A162+1,"")</f>
        <v/>
      </c>
      <c r="B163" s="868"/>
      <c r="C163" s="857">
        <f>IF(ISNA(VLOOKUP(B163,NXT!$Q$61:$S$81,2,0)),0,VLOOKUP(B163,NXT!$Q$61:$S$81,2,0))</f>
        <v>0</v>
      </c>
      <c r="D163" s="706">
        <f>ROUND(C163*O163,0)</f>
        <v>0</v>
      </c>
      <c r="E163" s="706"/>
      <c r="F163" s="706"/>
      <c r="G163" s="858">
        <f>(D163+E163)*F163</f>
        <v>0</v>
      </c>
      <c r="H163" s="706">
        <f>IF($D$165&lt;&gt;0,H$165/($D$165+$E$165/5)*($D163+$E163/5),0)</f>
        <v>0</v>
      </c>
      <c r="I163" s="706">
        <f>IF($D$165&lt;&gt;0,I$165/$D$165*$D163,0)</f>
        <v>0</v>
      </c>
      <c r="J163" s="706">
        <f t="shared" si="18"/>
        <v>0</v>
      </c>
      <c r="K163" s="706">
        <f t="shared" si="18"/>
        <v>0</v>
      </c>
      <c r="L163" s="706"/>
      <c r="M163" s="706" t="e">
        <f>34560000/($O$67+#REF!+#REF!)*O163</f>
        <v>#REF!</v>
      </c>
      <c r="N163" s="858">
        <f>ROUND(SUM(G163:L163),0)</f>
        <v>0</v>
      </c>
      <c r="O163" s="864"/>
      <c r="P163" s="706">
        <f>IF(N163&lt;&gt;0,N163/O163,0)</f>
        <v>0</v>
      </c>
      <c r="Q163" s="877"/>
      <c r="R163" s="865"/>
      <c r="S163" s="927"/>
      <c r="T163" s="271"/>
      <c r="U163" s="866"/>
      <c r="V163" s="858">
        <f t="shared" si="19"/>
        <v>0</v>
      </c>
      <c r="W163" s="874"/>
    </row>
    <row r="164" spans="1:23" ht="12" customHeight="1">
      <c r="A164" s="856" t="str">
        <f>IF(B164&lt;&gt;"",#REF!+1,"")</f>
        <v/>
      </c>
      <c r="B164" s="869"/>
      <c r="C164" s="857">
        <f>IF(ISNA(VLOOKUP(B164,NXT!$Q$61:$S$81,2,0)),0,VLOOKUP(B164,NXT!$Q$61:$S$81,2,0))</f>
        <v>0</v>
      </c>
      <c r="D164" s="872"/>
      <c r="E164" s="872"/>
      <c r="F164" s="872"/>
      <c r="G164" s="873"/>
      <c r="H164" s="918"/>
      <c r="I164" s="872"/>
      <c r="J164" s="874"/>
      <c r="K164" s="872"/>
      <c r="L164" s="875"/>
      <c r="M164" s="872"/>
      <c r="N164" s="906"/>
      <c r="O164" s="876"/>
      <c r="P164" s="872"/>
      <c r="Q164" s="877"/>
      <c r="R164" s="865"/>
      <c r="S164" s="927"/>
      <c r="T164" s="271"/>
      <c r="U164" s="271"/>
      <c r="V164" s="858">
        <f t="shared" si="19"/>
        <v>0</v>
      </c>
      <c r="W164" s="874"/>
    </row>
    <row r="165" spans="1:23" ht="12" customHeight="1">
      <c r="A165" s="879"/>
      <c r="B165" s="880" t="s">
        <v>723</v>
      </c>
      <c r="C165" s="881"/>
      <c r="D165" s="882">
        <f>SUM(D160:D163)</f>
        <v>0</v>
      </c>
      <c r="E165" s="882">
        <f>SUM(E160:E163)</f>
        <v>0</v>
      </c>
      <c r="F165" s="882"/>
      <c r="G165" s="882">
        <f>SUM(G160:G163)</f>
        <v>0</v>
      </c>
      <c r="H165" s="883"/>
      <c r="I165" s="883">
        <f>V172</f>
        <v>0</v>
      </c>
      <c r="J165" s="883"/>
      <c r="K165" s="883"/>
      <c r="L165" s="882">
        <f>ROUND(SUM(L160:L164),0)</f>
        <v>0</v>
      </c>
      <c r="M165" s="882" t="e">
        <f>ROUND(SUM(M160:M164),0)</f>
        <v>#REF!</v>
      </c>
      <c r="N165" s="882">
        <f>ROUND(SUM(N160:N164),0)</f>
        <v>0</v>
      </c>
      <c r="O165" s="882">
        <f>ROUND(SUM(O160:O164),0)</f>
        <v>0</v>
      </c>
      <c r="P165" s="882"/>
      <c r="Q165" s="877"/>
      <c r="R165" s="865"/>
      <c r="S165" s="927"/>
      <c r="T165" s="271"/>
      <c r="U165" s="866"/>
      <c r="V165" s="858">
        <f t="shared" si="19"/>
        <v>0</v>
      </c>
      <c r="W165" s="874"/>
    </row>
    <row r="166" spans="1:23" ht="12" customHeight="1">
      <c r="Q166" s="877"/>
      <c r="R166" s="865"/>
      <c r="S166" s="927"/>
      <c r="T166" s="271"/>
      <c r="U166" s="888"/>
      <c r="V166" s="858">
        <f t="shared" si="19"/>
        <v>0</v>
      </c>
      <c r="W166" s="874"/>
    </row>
    <row r="167" spans="1:23" ht="12" customHeight="1">
      <c r="Q167" s="877"/>
      <c r="R167" s="865"/>
      <c r="S167" s="861"/>
      <c r="T167" s="888"/>
      <c r="U167" s="866"/>
      <c r="V167" s="858">
        <f t="shared" si="19"/>
        <v>0</v>
      </c>
      <c r="W167" s="874"/>
    </row>
    <row r="168" spans="1:23" ht="12" customHeight="1">
      <c r="Q168" s="877"/>
      <c r="R168" s="930"/>
      <c r="S168" s="861"/>
      <c r="T168" s="888"/>
      <c r="U168" s="866"/>
      <c r="V168" s="858">
        <f t="shared" si="19"/>
        <v>0</v>
      </c>
      <c r="W168" s="874"/>
    </row>
    <row r="169" spans="1:23" ht="12" customHeight="1">
      <c r="Q169" s="877"/>
      <c r="R169" s="865"/>
      <c r="S169" s="861"/>
      <c r="T169" s="271"/>
      <c r="U169" s="271"/>
      <c r="V169" s="858">
        <f t="shared" si="19"/>
        <v>0</v>
      </c>
      <c r="W169" s="874"/>
    </row>
    <row r="170" spans="1:23" ht="12" customHeight="1">
      <c r="Q170" s="877"/>
      <c r="R170" s="586"/>
      <c r="S170" s="861"/>
      <c r="T170" s="271"/>
      <c r="U170" s="271"/>
      <c r="V170" s="858">
        <f t="shared" si="19"/>
        <v>0</v>
      </c>
      <c r="W170" s="874"/>
    </row>
    <row r="171" spans="1:23" s="878" customFormat="1" ht="12" customHeight="1">
      <c r="A171" s="829"/>
      <c r="B171" s="829"/>
      <c r="C171" s="829"/>
      <c r="D171" s="829"/>
      <c r="E171" s="829"/>
      <c r="F171" s="829"/>
      <c r="G171" s="829"/>
      <c r="H171" s="829"/>
      <c r="I171" s="829"/>
      <c r="J171" s="829"/>
      <c r="K171" s="829"/>
      <c r="L171" s="829"/>
      <c r="M171" s="829"/>
      <c r="N171" s="829"/>
      <c r="O171" s="829"/>
      <c r="P171" s="829"/>
      <c r="Q171" s="877"/>
      <c r="R171" s="865"/>
      <c r="S171" s="861"/>
      <c r="T171" s="271"/>
      <c r="U171" s="271"/>
      <c r="V171" s="858"/>
      <c r="W171" s="874"/>
    </row>
    <row r="172" spans="1:23" s="833" customFormat="1" ht="12" customHeight="1">
      <c r="A172" s="829"/>
      <c r="B172" s="829"/>
      <c r="C172" s="829"/>
      <c r="D172" s="829"/>
      <c r="E172" s="829"/>
      <c r="F172" s="829"/>
      <c r="G172" s="829"/>
      <c r="H172" s="829"/>
      <c r="I172" s="829"/>
      <c r="J172" s="829"/>
      <c r="K172" s="829"/>
      <c r="L172" s="829"/>
      <c r="M172" s="829"/>
      <c r="N172" s="829"/>
      <c r="O172" s="829"/>
      <c r="P172" s="829"/>
      <c r="Q172" s="877"/>
      <c r="R172" s="911"/>
      <c r="S172" s="912"/>
      <c r="T172" s="913"/>
      <c r="U172" s="932"/>
      <c r="V172" s="892">
        <f>SUM(V160:V171)</f>
        <v>0</v>
      </c>
      <c r="W172" s="892">
        <f>SUM(W160:W171)</f>
        <v>0</v>
      </c>
    </row>
    <row r="173" spans="1:23" ht="12" customHeight="1">
      <c r="R173" s="865"/>
      <c r="S173" s="927"/>
      <c r="T173" s="866"/>
      <c r="U173" s="866"/>
      <c r="V173" s="858">
        <f t="shared" ref="V173:V180" si="20">ROUND(T173*U173,0)</f>
        <v>0</v>
      </c>
      <c r="W173" s="874"/>
    </row>
    <row r="174" spans="1:23" ht="12" customHeight="1">
      <c r="R174" s="914"/>
      <c r="S174" s="927"/>
      <c r="T174" s="271"/>
      <c r="U174" s="271"/>
      <c r="V174" s="858">
        <f t="shared" si="20"/>
        <v>0</v>
      </c>
      <c r="W174" s="858"/>
    </row>
    <row r="175" spans="1:23" ht="12" customHeight="1">
      <c r="R175" s="865"/>
      <c r="S175" s="861"/>
      <c r="T175" s="866"/>
      <c r="U175" s="866"/>
      <c r="V175" s="858">
        <f t="shared" si="20"/>
        <v>0</v>
      </c>
      <c r="W175" s="874"/>
    </row>
    <row r="176" spans="1:23" ht="12" customHeight="1">
      <c r="R176" s="865"/>
      <c r="S176" s="861"/>
      <c r="T176" s="866"/>
      <c r="U176" s="866"/>
      <c r="V176" s="858">
        <f t="shared" si="20"/>
        <v>0</v>
      </c>
      <c r="W176" s="874"/>
    </row>
    <row r="177" spans="1:23" ht="12" customHeight="1">
      <c r="R177" s="888"/>
      <c r="S177" s="861"/>
      <c r="T177" s="866"/>
      <c r="U177" s="866"/>
      <c r="V177" s="858">
        <f t="shared" si="20"/>
        <v>0</v>
      </c>
      <c r="W177" s="874"/>
    </row>
    <row r="178" spans="1:23" ht="12" customHeight="1">
      <c r="R178" s="888"/>
      <c r="S178" s="861"/>
      <c r="T178" s="866"/>
      <c r="U178" s="866"/>
      <c r="V178" s="858">
        <f t="shared" si="20"/>
        <v>0</v>
      </c>
      <c r="W178" s="874"/>
    </row>
    <row r="179" spans="1:23" ht="12" customHeight="1">
      <c r="R179" s="888"/>
      <c r="S179" s="861"/>
      <c r="T179" s="866"/>
      <c r="U179" s="866"/>
      <c r="V179" s="858">
        <f t="shared" si="20"/>
        <v>0</v>
      </c>
      <c r="W179" s="874"/>
    </row>
    <row r="180" spans="1:23" ht="12" customHeight="1">
      <c r="R180" s="888"/>
      <c r="S180" s="861"/>
      <c r="T180" s="866"/>
      <c r="U180" s="866"/>
      <c r="V180" s="858">
        <f t="shared" si="20"/>
        <v>0</v>
      </c>
      <c r="W180" s="874"/>
    </row>
    <row r="181" spans="1:23">
      <c r="R181" s="832"/>
      <c r="S181" s="839"/>
    </row>
    <row r="182" spans="1:23" ht="20.25" customHeight="1">
      <c r="A182" s="833" t="s">
        <v>706</v>
      </c>
      <c r="B182" s="833"/>
      <c r="C182" s="834"/>
      <c r="D182" s="835"/>
      <c r="E182" s="835"/>
      <c r="F182" s="835"/>
      <c r="G182" s="832"/>
      <c r="H182" s="832"/>
      <c r="I182" s="832"/>
      <c r="J182" s="832"/>
      <c r="K182" s="832"/>
      <c r="L182" s="836"/>
      <c r="M182" s="832"/>
      <c r="N182" s="832"/>
      <c r="O182" s="837"/>
      <c r="P182" s="832"/>
      <c r="R182" s="832"/>
      <c r="S182" s="839"/>
    </row>
    <row r="183" spans="1:23" ht="20.25" customHeight="1">
      <c r="A183" s="840" t="s">
        <v>731</v>
      </c>
      <c r="B183" s="840"/>
      <c r="C183" s="840"/>
      <c r="D183" s="840"/>
      <c r="E183" s="840"/>
      <c r="F183" s="840"/>
      <c r="G183" s="840"/>
      <c r="H183" s="840"/>
      <c r="I183" s="840"/>
      <c r="J183" s="840"/>
      <c r="K183" s="840"/>
      <c r="L183" s="840"/>
      <c r="M183" s="840"/>
      <c r="N183" s="840"/>
      <c r="O183" s="840"/>
      <c r="P183" s="840"/>
      <c r="Q183" s="838"/>
      <c r="R183" s="832"/>
      <c r="S183" s="839"/>
    </row>
    <row r="184" spans="1:23" ht="12" customHeight="1">
      <c r="A184" s="841"/>
      <c r="B184" s="841"/>
      <c r="C184" s="842"/>
      <c r="D184" s="841"/>
      <c r="E184" s="841"/>
      <c r="F184" s="841"/>
      <c r="G184" s="841"/>
      <c r="H184" s="841"/>
      <c r="I184" s="841"/>
      <c r="J184" s="841"/>
      <c r="K184" s="841"/>
      <c r="L184" s="840"/>
      <c r="M184" s="841"/>
      <c r="N184" s="841"/>
      <c r="O184" s="843"/>
      <c r="P184" s="841"/>
      <c r="Q184" s="838"/>
      <c r="R184" s="832"/>
      <c r="S184" s="839"/>
    </row>
    <row r="185" spans="1:23" ht="12" customHeight="1">
      <c r="A185" s="844"/>
      <c r="B185" s="844"/>
      <c r="C185" s="845"/>
      <c r="D185" s="844"/>
      <c r="E185" s="844"/>
      <c r="F185" s="844"/>
      <c r="G185" s="844"/>
      <c r="H185" s="844"/>
      <c r="I185" s="844"/>
      <c r="J185" s="844"/>
      <c r="K185" s="844"/>
      <c r="L185" s="844"/>
      <c r="M185" s="844"/>
      <c r="N185" s="844"/>
      <c r="O185" s="846"/>
      <c r="P185" s="844"/>
      <c r="Q185" s="838"/>
      <c r="R185" s="832"/>
      <c r="S185" s="839"/>
    </row>
    <row r="186" spans="1:23" ht="36.75" customHeight="1">
      <c r="A186" s="849" t="s">
        <v>46</v>
      </c>
      <c r="B186" s="849" t="s">
        <v>708</v>
      </c>
      <c r="C186" s="850" t="s">
        <v>709</v>
      </c>
      <c r="D186" s="851" t="s">
        <v>710</v>
      </c>
      <c r="E186" s="851" t="s">
        <v>711</v>
      </c>
      <c r="F186" s="851" t="s">
        <v>712</v>
      </c>
      <c r="G186" s="851" t="s">
        <v>713</v>
      </c>
      <c r="H186" s="851" t="s">
        <v>714</v>
      </c>
      <c r="I186" s="851" t="s">
        <v>715</v>
      </c>
      <c r="J186" s="851" t="s">
        <v>716</v>
      </c>
      <c r="K186" s="852" t="s">
        <v>717</v>
      </c>
      <c r="L186" s="851" t="s">
        <v>718</v>
      </c>
      <c r="M186" s="852" t="s">
        <v>719</v>
      </c>
      <c r="N186" s="851" t="s">
        <v>720</v>
      </c>
      <c r="O186" s="853" t="s">
        <v>711</v>
      </c>
      <c r="P186" s="851" t="s">
        <v>721</v>
      </c>
      <c r="Q186" s="838"/>
      <c r="R186" s="849" t="s">
        <v>708</v>
      </c>
      <c r="S186" s="851" t="s">
        <v>675</v>
      </c>
      <c r="T186" s="851" t="s">
        <v>533</v>
      </c>
      <c r="U186" s="851" t="s">
        <v>712</v>
      </c>
      <c r="V186" s="851" t="s">
        <v>722</v>
      </c>
      <c r="W186" s="849" t="s">
        <v>722</v>
      </c>
    </row>
    <row r="187" spans="1:23" s="855" customFormat="1" ht="13.5" customHeight="1">
      <c r="A187" s="856" t="str">
        <f>IF(B187&lt;&gt;"",ROW()-(ROW()-1),"")</f>
        <v/>
      </c>
      <c r="B187" s="868"/>
      <c r="C187" s="857">
        <f>IF(ISNA(VLOOKUP(B187,NXT!$Q$61:$S$81,2,0)),0,VLOOKUP(B187,NXT!$Q$61:$S$81,2,0))</f>
        <v>0</v>
      </c>
      <c r="D187" s="706">
        <f>ROUND(C187*O187,0)</f>
        <v>0</v>
      </c>
      <c r="E187" s="706"/>
      <c r="F187" s="706"/>
      <c r="G187" s="858">
        <f>(D187+E187)*F187</f>
        <v>0</v>
      </c>
      <c r="H187" s="706">
        <f>IF($E$193&lt;&gt;0,H$193/($D$193+$E$193/5)*($D187+$E187/5),0)</f>
        <v>0</v>
      </c>
      <c r="I187" s="706">
        <f>IF($D$193&lt;&gt;0,I$193/$D$193*$D187,0)</f>
        <v>0</v>
      </c>
      <c r="J187" s="706">
        <f t="shared" ref="J187:K191" si="21">IF($D$193&lt;&gt;0,J$193/$D$193*$D187,0)</f>
        <v>0</v>
      </c>
      <c r="K187" s="706">
        <f t="shared" si="21"/>
        <v>0</v>
      </c>
      <c r="L187" s="858"/>
      <c r="M187" s="706" t="e">
        <f>34560000/($O$67+#REF!+#REF!)*O187</f>
        <v>#REF!</v>
      </c>
      <c r="N187" s="858">
        <f>ROUND(SUM(G187:L187),0)</f>
        <v>0</v>
      </c>
      <c r="O187" s="706"/>
      <c r="P187" s="706">
        <f>IF(N187&lt;&gt;0,N187/O187,0)</f>
        <v>0</v>
      </c>
      <c r="Q187" s="854"/>
      <c r="R187" s="860"/>
      <c r="S187" s="927"/>
      <c r="T187" s="271"/>
      <c r="U187" s="271"/>
      <c r="V187" s="858">
        <f t="shared" ref="V187:V196" si="22">ROUND(T187*U187,0)</f>
        <v>0</v>
      </c>
      <c r="W187" s="858"/>
    </row>
    <row r="188" spans="1:23" ht="13.5" customHeight="1">
      <c r="A188" s="856" t="str">
        <f>IF(B188&lt;&gt;"",A187+1,"")</f>
        <v/>
      </c>
      <c r="B188" s="868"/>
      <c r="C188" s="857">
        <f>IF(ISNA(VLOOKUP(B188,NXT!$Q$61:$S$81,2,0)),0,VLOOKUP(B188,NXT!$Q$61:$S$81,2,0))</f>
        <v>0</v>
      </c>
      <c r="D188" s="706">
        <f>ROUND(C188*O188,0)</f>
        <v>0</v>
      </c>
      <c r="E188" s="706"/>
      <c r="F188" s="706"/>
      <c r="G188" s="858">
        <f>(D188+E188)*F188</f>
        <v>0</v>
      </c>
      <c r="H188" s="706">
        <f>IF($E$193&lt;&gt;0,H$193/($D$193+$E$193/5)*($D188+$E188/5),0)</f>
        <v>0</v>
      </c>
      <c r="I188" s="706">
        <f>IF($D$193&lt;&gt;0,I$193/$D$193*$D188,0)</f>
        <v>0</v>
      </c>
      <c r="J188" s="706">
        <f t="shared" si="21"/>
        <v>0</v>
      </c>
      <c r="K188" s="706">
        <f t="shared" si="21"/>
        <v>0</v>
      </c>
      <c r="L188" s="858"/>
      <c r="M188" s="706"/>
      <c r="N188" s="858">
        <f>ROUND(SUM(G188:L188),0)</f>
        <v>0</v>
      </c>
      <c r="O188" s="706"/>
      <c r="P188" s="706">
        <f>IF(N188&lt;&gt;0,N188/O188,0)</f>
        <v>0</v>
      </c>
      <c r="Q188" s="877"/>
      <c r="R188" s="865"/>
      <c r="S188" s="927"/>
      <c r="T188" s="271"/>
      <c r="U188" s="271"/>
      <c r="V188" s="858">
        <f t="shared" si="22"/>
        <v>0</v>
      </c>
      <c r="W188" s="874"/>
    </row>
    <row r="189" spans="1:23" ht="13.5" customHeight="1">
      <c r="A189" s="856" t="str">
        <f>IF(B189&lt;&gt;"",A188+1,"")</f>
        <v/>
      </c>
      <c r="B189" s="868"/>
      <c r="C189" s="857">
        <f>IF(ISNA(VLOOKUP(B189,NXT!$Q$61:$S$81,2,0)),0,VLOOKUP(B189,NXT!$Q$61:$S$81,2,0))</f>
        <v>0</v>
      </c>
      <c r="D189" s="706">
        <f>ROUND(C189*O189,0)</f>
        <v>0</v>
      </c>
      <c r="E189" s="706"/>
      <c r="F189" s="706"/>
      <c r="G189" s="858">
        <f>(D189+E189)*F189</f>
        <v>0</v>
      </c>
      <c r="H189" s="706">
        <f>IF($E$193&lt;&gt;0,H$193/($D$193+$E$193/5)*($D189+$E189/5),0)</f>
        <v>0</v>
      </c>
      <c r="I189" s="706">
        <f>IF($D$193&lt;&gt;0,I$193/$D$193*$D189,0)</f>
        <v>0</v>
      </c>
      <c r="J189" s="706">
        <f t="shared" si="21"/>
        <v>0</v>
      </c>
      <c r="K189" s="706">
        <f t="shared" si="21"/>
        <v>0</v>
      </c>
      <c r="L189" s="858"/>
      <c r="M189" s="706"/>
      <c r="N189" s="858">
        <f>ROUND(SUM(G189:L189),0)</f>
        <v>0</v>
      </c>
      <c r="O189" s="864"/>
      <c r="P189" s="706">
        <f>IF(N189&lt;&gt;0,N189/O189,0)</f>
        <v>0</v>
      </c>
      <c r="Q189" s="877"/>
      <c r="R189" s="865"/>
      <c r="S189" s="927"/>
      <c r="T189" s="271"/>
      <c r="U189" s="271"/>
      <c r="V189" s="858">
        <f t="shared" si="22"/>
        <v>0</v>
      </c>
      <c r="W189" s="874"/>
    </row>
    <row r="190" spans="1:23">
      <c r="A190" s="856" t="str">
        <f>IF(B190&lt;&gt;"",A189+1,"")</f>
        <v/>
      </c>
      <c r="B190" s="868"/>
      <c r="C190" s="857">
        <f>IF(ISNA(VLOOKUP(B190,NXT!$Q$61:$S$81,2,0)),0,VLOOKUP(B190,NXT!$Q$61:$S$81,2,0))</f>
        <v>0</v>
      </c>
      <c r="D190" s="706">
        <f>ROUND(C190*O190,0)</f>
        <v>0</v>
      </c>
      <c r="E190" s="706"/>
      <c r="F190" s="706"/>
      <c r="G190" s="858">
        <f>(D190+E190)*F190</f>
        <v>0</v>
      </c>
      <c r="H190" s="706">
        <f>IF($E$193&lt;&gt;0,H$193/($D$193+$E$193/5)*($D190+$E190/5),0)</f>
        <v>0</v>
      </c>
      <c r="I190" s="706">
        <f>IF($D$193&lt;&gt;0,I$193/$D$193*$D190,0)</f>
        <v>0</v>
      </c>
      <c r="J190" s="706">
        <f t="shared" si="21"/>
        <v>0</v>
      </c>
      <c r="K190" s="706">
        <f t="shared" si="21"/>
        <v>0</v>
      </c>
      <c r="L190" s="858"/>
      <c r="M190" s="706"/>
      <c r="N190" s="858">
        <f>ROUND(SUM(G190:L190),0)</f>
        <v>0</v>
      </c>
      <c r="O190" s="864"/>
      <c r="P190" s="706">
        <f>IF(N190&lt;&gt;0,N190/O190,0)</f>
        <v>0</v>
      </c>
      <c r="Q190" s="877"/>
      <c r="R190" s="865"/>
      <c r="S190" s="927"/>
      <c r="T190" s="271"/>
      <c r="U190" s="271"/>
      <c r="V190" s="858">
        <f t="shared" si="22"/>
        <v>0</v>
      </c>
      <c r="W190" s="874"/>
    </row>
    <row r="191" spans="1:23">
      <c r="A191" s="856" t="str">
        <f>IF(B191&lt;&gt;"",A190+1,"")</f>
        <v/>
      </c>
      <c r="B191" s="868"/>
      <c r="C191" s="857">
        <f>IF(ISNA(VLOOKUP(B191,NXT!$Q$61:$S$81,2,0)),0,VLOOKUP(B191,NXT!$Q$61:$S$81,2,0))</f>
        <v>0</v>
      </c>
      <c r="D191" s="706">
        <f>ROUND(C191*O191,0)</f>
        <v>0</v>
      </c>
      <c r="E191" s="706"/>
      <c r="F191" s="706"/>
      <c r="G191" s="858">
        <f>(D191+E191)*F191</f>
        <v>0</v>
      </c>
      <c r="H191" s="706">
        <f>IF($E$193&lt;&gt;0,H$193/($D$193+$E$193/5)*($D191+$E191/5),0)</f>
        <v>0</v>
      </c>
      <c r="I191" s="706">
        <f>IF($D$193&lt;&gt;0,I$193/$D$193*$D191,0)</f>
        <v>0</v>
      </c>
      <c r="J191" s="706">
        <f t="shared" si="21"/>
        <v>0</v>
      </c>
      <c r="K191" s="706">
        <f t="shared" si="21"/>
        <v>0</v>
      </c>
      <c r="L191" s="706"/>
      <c r="M191" s="706"/>
      <c r="N191" s="858">
        <f>ROUND(SUM(G191:L191),0)</f>
        <v>0</v>
      </c>
      <c r="O191" s="864"/>
      <c r="P191" s="706">
        <f>IF(N191&lt;&gt;0,N191/O191,0)</f>
        <v>0</v>
      </c>
      <c r="Q191" s="877"/>
      <c r="R191" s="865"/>
      <c r="S191" s="927"/>
      <c r="T191" s="271"/>
      <c r="U191" s="271"/>
      <c r="V191" s="858">
        <f t="shared" si="22"/>
        <v>0</v>
      </c>
      <c r="W191" s="874"/>
    </row>
    <row r="192" spans="1:23">
      <c r="A192" s="856" t="str">
        <f>IF(B192&lt;&gt;"",#REF!+1,"")</f>
        <v/>
      </c>
      <c r="B192" s="869"/>
      <c r="C192" s="870"/>
      <c r="D192" s="872"/>
      <c r="E192" s="872"/>
      <c r="F192" s="872"/>
      <c r="G192" s="873"/>
      <c r="H192" s="918"/>
      <c r="I192" s="872"/>
      <c r="J192" s="874"/>
      <c r="K192" s="872"/>
      <c r="L192" s="875"/>
      <c r="M192" s="872"/>
      <c r="N192" s="906"/>
      <c r="O192" s="876"/>
      <c r="P192" s="872"/>
      <c r="Q192" s="877"/>
      <c r="R192" s="865"/>
      <c r="S192" s="927"/>
      <c r="T192" s="271"/>
      <c r="U192" s="271"/>
      <c r="V192" s="858">
        <f t="shared" si="22"/>
        <v>0</v>
      </c>
      <c r="W192" s="874"/>
    </row>
    <row r="193" spans="1:23">
      <c r="A193" s="879"/>
      <c r="B193" s="880" t="s">
        <v>723</v>
      </c>
      <c r="C193" s="881"/>
      <c r="D193" s="882">
        <f>SUM(D187:D191)</f>
        <v>0</v>
      </c>
      <c r="E193" s="882">
        <f>SUM(E187:E191)</f>
        <v>0</v>
      </c>
      <c r="F193" s="882"/>
      <c r="G193" s="882">
        <f>SUM(G187:G191)</f>
        <v>0</v>
      </c>
      <c r="H193" s="883"/>
      <c r="I193" s="883">
        <f>V198</f>
        <v>0</v>
      </c>
      <c r="J193" s="883"/>
      <c r="K193" s="883"/>
      <c r="L193" s="882">
        <f>ROUND(SUM(L187:L192),0)</f>
        <v>0</v>
      </c>
      <c r="M193" s="882" t="e">
        <f>ROUND(SUM(M187:M192),0)</f>
        <v>#REF!</v>
      </c>
      <c r="N193" s="882">
        <f>ROUND(SUM(N187:N192),0)</f>
        <v>0</v>
      </c>
      <c r="O193" s="882">
        <f>ROUND(SUM(O187:O192),0)</f>
        <v>0</v>
      </c>
      <c r="P193" s="882"/>
      <c r="Q193" s="877"/>
      <c r="R193" s="865"/>
      <c r="S193" s="927"/>
      <c r="T193" s="271"/>
      <c r="U193" s="271"/>
      <c r="V193" s="858">
        <f t="shared" si="22"/>
        <v>0</v>
      </c>
      <c r="W193" s="874"/>
    </row>
    <row r="194" spans="1:23">
      <c r="Q194" s="877"/>
      <c r="R194" s="865"/>
      <c r="S194" s="927"/>
      <c r="T194" s="888"/>
      <c r="U194" s="866"/>
      <c r="V194" s="858">
        <f t="shared" si="22"/>
        <v>0</v>
      </c>
      <c r="W194" s="874"/>
    </row>
    <row r="195" spans="1:23">
      <c r="Q195" s="877"/>
      <c r="R195" s="930"/>
      <c r="S195" s="927"/>
      <c r="T195" s="888"/>
      <c r="U195" s="866"/>
      <c r="V195" s="858">
        <f t="shared" si="22"/>
        <v>0</v>
      </c>
      <c r="W195" s="874"/>
    </row>
    <row r="196" spans="1:23">
      <c r="Q196" s="877"/>
      <c r="R196" s="586"/>
      <c r="S196" s="927"/>
      <c r="T196" s="271"/>
      <c r="U196" s="271"/>
      <c r="V196" s="858">
        <f t="shared" si="22"/>
        <v>0</v>
      </c>
      <c r="W196" s="874"/>
    </row>
    <row r="197" spans="1:23" s="878" customFormat="1">
      <c r="A197" s="829"/>
      <c r="B197" s="829"/>
      <c r="C197" s="829"/>
      <c r="D197" s="829"/>
      <c r="E197" s="829"/>
      <c r="F197" s="829"/>
      <c r="G197" s="829"/>
      <c r="H197" s="829"/>
      <c r="I197" s="829"/>
      <c r="J197" s="829"/>
      <c r="K197" s="829"/>
      <c r="L197" s="829"/>
      <c r="M197" s="829"/>
      <c r="N197" s="829"/>
      <c r="O197" s="829"/>
      <c r="P197" s="829"/>
      <c r="Q197" s="877"/>
      <c r="R197" s="865"/>
      <c r="S197" s="861"/>
      <c r="T197" s="271"/>
      <c r="U197" s="271"/>
      <c r="V197" s="858"/>
      <c r="W197" s="874"/>
    </row>
    <row r="198" spans="1:23" s="833" customFormat="1">
      <c r="A198" s="829"/>
      <c r="B198" s="829"/>
      <c r="C198" s="829"/>
      <c r="D198" s="829"/>
      <c r="E198" s="829"/>
      <c r="F198" s="829"/>
      <c r="G198" s="829"/>
      <c r="H198" s="829"/>
      <c r="I198" s="829"/>
      <c r="J198" s="829"/>
      <c r="K198" s="829"/>
      <c r="L198" s="829"/>
      <c r="M198" s="829"/>
      <c r="N198" s="829"/>
      <c r="O198" s="829"/>
      <c r="P198" s="829"/>
      <c r="Q198" s="877"/>
      <c r="R198" s="911"/>
      <c r="S198" s="912"/>
      <c r="T198" s="913"/>
      <c r="U198" s="932"/>
      <c r="V198" s="892">
        <f>SUM(V187:V197)</f>
        <v>0</v>
      </c>
      <c r="W198" s="892">
        <f>SUM(W187:W197)</f>
        <v>0</v>
      </c>
    </row>
    <row r="199" spans="1:23">
      <c r="R199" s="914"/>
      <c r="S199" s="927"/>
      <c r="T199" s="271"/>
      <c r="U199" s="271"/>
      <c r="V199" s="858">
        <f t="shared" ref="V199:V206" si="23">ROUND(T199*U199,0)</f>
        <v>0</v>
      </c>
      <c r="W199" s="858"/>
    </row>
    <row r="200" spans="1:23">
      <c r="R200" s="914"/>
      <c r="S200" s="927"/>
      <c r="T200" s="866"/>
      <c r="U200" s="866"/>
      <c r="V200" s="858">
        <f t="shared" si="23"/>
        <v>0</v>
      </c>
      <c r="W200" s="874"/>
    </row>
    <row r="201" spans="1:23">
      <c r="R201" s="865"/>
      <c r="S201" s="927"/>
      <c r="T201" s="866"/>
      <c r="U201" s="866"/>
      <c r="V201" s="858">
        <f t="shared" si="23"/>
        <v>0</v>
      </c>
      <c r="W201" s="874"/>
    </row>
    <row r="202" spans="1:23">
      <c r="R202" s="888"/>
      <c r="S202" s="927"/>
      <c r="T202" s="866"/>
      <c r="U202" s="866"/>
      <c r="V202" s="858">
        <f t="shared" si="23"/>
        <v>0</v>
      </c>
      <c r="W202" s="874"/>
    </row>
    <row r="203" spans="1:23">
      <c r="R203" s="865"/>
      <c r="S203" s="861"/>
      <c r="T203" s="866"/>
      <c r="U203" s="866"/>
      <c r="V203" s="858">
        <f t="shared" si="23"/>
        <v>0</v>
      </c>
      <c r="W203" s="874"/>
    </row>
    <row r="204" spans="1:23">
      <c r="R204" s="865"/>
      <c r="S204" s="861"/>
      <c r="T204" s="866"/>
      <c r="U204" s="866"/>
      <c r="V204" s="858">
        <f t="shared" si="23"/>
        <v>0</v>
      </c>
      <c r="W204" s="874"/>
    </row>
    <row r="205" spans="1:23">
      <c r="R205" s="888"/>
      <c r="S205" s="861"/>
      <c r="T205" s="866"/>
      <c r="U205" s="866"/>
      <c r="V205" s="858">
        <f t="shared" si="23"/>
        <v>0</v>
      </c>
      <c r="W205" s="874"/>
    </row>
    <row r="206" spans="1:23">
      <c r="R206" s="888"/>
      <c r="S206" s="861"/>
      <c r="T206" s="866"/>
      <c r="U206" s="866"/>
      <c r="V206" s="858">
        <f t="shared" si="23"/>
        <v>0</v>
      </c>
      <c r="W206" s="874"/>
    </row>
    <row r="207" spans="1:23">
      <c r="A207" s="841"/>
      <c r="B207" s="841"/>
      <c r="C207" s="842"/>
      <c r="D207" s="841"/>
      <c r="E207" s="841"/>
      <c r="F207" s="841"/>
      <c r="G207" s="841"/>
      <c r="H207" s="841"/>
      <c r="I207" s="841"/>
      <c r="J207" s="841"/>
      <c r="K207" s="841"/>
      <c r="L207" s="840"/>
      <c r="M207" s="841"/>
      <c r="N207" s="841"/>
      <c r="O207" s="843"/>
      <c r="P207" s="841"/>
      <c r="R207" s="832"/>
      <c r="S207" s="839"/>
    </row>
    <row r="208" spans="1:23" ht="18.75" customHeight="1">
      <c r="A208" s="848"/>
      <c r="B208" s="848"/>
      <c r="C208" s="935"/>
      <c r="D208" s="848"/>
      <c r="E208" s="848"/>
      <c r="F208" s="848"/>
      <c r="G208" s="848"/>
      <c r="H208" s="848"/>
      <c r="I208" s="848"/>
      <c r="J208" s="848"/>
      <c r="K208" s="848"/>
      <c r="L208" s="848"/>
      <c r="M208" s="848"/>
      <c r="N208" s="848"/>
      <c r="O208" s="900"/>
      <c r="P208" s="848"/>
      <c r="Q208" s="838"/>
      <c r="R208" s="832"/>
      <c r="S208" s="839"/>
    </row>
    <row r="209" spans="1:23" ht="20.25" customHeight="1">
      <c r="A209" s="833" t="s">
        <v>706</v>
      </c>
      <c r="B209" s="833"/>
      <c r="C209" s="834"/>
      <c r="D209" s="835"/>
      <c r="E209" s="835"/>
      <c r="F209" s="835"/>
      <c r="G209" s="832"/>
      <c r="H209" s="832"/>
      <c r="I209" s="832"/>
      <c r="J209" s="832"/>
      <c r="K209" s="832"/>
      <c r="L209" s="836"/>
      <c r="M209" s="832"/>
      <c r="N209" s="832"/>
      <c r="O209" s="837"/>
      <c r="P209" s="832"/>
      <c r="Q209" s="838"/>
      <c r="R209" s="832"/>
      <c r="S209" s="839"/>
    </row>
    <row r="210" spans="1:23" ht="20.25" customHeight="1">
      <c r="A210" s="840" t="s">
        <v>732</v>
      </c>
      <c r="B210" s="840"/>
      <c r="C210" s="840"/>
      <c r="D210" s="840"/>
      <c r="E210" s="840"/>
      <c r="F210" s="840"/>
      <c r="G210" s="840"/>
      <c r="H210" s="840"/>
      <c r="I210" s="840"/>
      <c r="J210" s="840"/>
      <c r="K210" s="840"/>
      <c r="L210" s="840"/>
      <c r="M210" s="840"/>
      <c r="N210" s="840"/>
      <c r="O210" s="840"/>
      <c r="P210" s="840"/>
      <c r="Q210" s="838"/>
      <c r="R210" s="832"/>
      <c r="S210" s="839"/>
    </row>
    <row r="211" spans="1:23" ht="12" customHeight="1">
      <c r="A211" s="841"/>
      <c r="B211" s="841"/>
      <c r="C211" s="842"/>
      <c r="D211" s="841"/>
      <c r="E211" s="841"/>
      <c r="F211" s="841"/>
      <c r="G211" s="841"/>
      <c r="H211" s="841"/>
      <c r="I211" s="841"/>
      <c r="J211" s="841"/>
      <c r="K211" s="841"/>
      <c r="L211" s="840"/>
      <c r="M211" s="841"/>
      <c r="N211" s="841"/>
      <c r="O211" s="843"/>
      <c r="P211" s="841"/>
      <c r="Q211" s="838"/>
      <c r="R211" s="832"/>
      <c r="S211" s="839"/>
    </row>
    <row r="212" spans="1:23" ht="12" customHeight="1">
      <c r="A212" s="844"/>
      <c r="B212" s="844"/>
      <c r="C212" s="845"/>
      <c r="D212" s="844"/>
      <c r="E212" s="844"/>
      <c r="F212" s="844"/>
      <c r="G212" s="844"/>
      <c r="H212" s="844"/>
      <c r="I212" s="844"/>
      <c r="J212" s="844"/>
      <c r="K212" s="844"/>
      <c r="L212" s="844"/>
      <c r="M212" s="844"/>
      <c r="N212" s="844"/>
      <c r="O212" s="846"/>
      <c r="P212" s="844"/>
      <c r="Q212" s="838"/>
      <c r="R212" s="832"/>
      <c r="S212" s="839"/>
    </row>
    <row r="213" spans="1:23" ht="36.75" customHeight="1">
      <c r="A213" s="849" t="s">
        <v>46</v>
      </c>
      <c r="B213" s="849" t="s">
        <v>708</v>
      </c>
      <c r="C213" s="850" t="s">
        <v>709</v>
      </c>
      <c r="D213" s="851" t="s">
        <v>710</v>
      </c>
      <c r="E213" s="851" t="s">
        <v>711</v>
      </c>
      <c r="F213" s="851" t="s">
        <v>712</v>
      </c>
      <c r="G213" s="851" t="s">
        <v>713</v>
      </c>
      <c r="H213" s="851" t="s">
        <v>714</v>
      </c>
      <c r="I213" s="851" t="s">
        <v>715</v>
      </c>
      <c r="J213" s="851" t="s">
        <v>716</v>
      </c>
      <c r="K213" s="852" t="s">
        <v>717</v>
      </c>
      <c r="L213" s="851" t="s">
        <v>718</v>
      </c>
      <c r="M213" s="852" t="s">
        <v>719</v>
      </c>
      <c r="N213" s="851" t="s">
        <v>720</v>
      </c>
      <c r="O213" s="853" t="s">
        <v>711</v>
      </c>
      <c r="P213" s="851" t="s">
        <v>721</v>
      </c>
      <c r="Q213" s="838"/>
      <c r="R213" s="849" t="s">
        <v>708</v>
      </c>
      <c r="S213" s="851" t="s">
        <v>675</v>
      </c>
      <c r="T213" s="851" t="s">
        <v>533</v>
      </c>
      <c r="U213" s="851" t="s">
        <v>712</v>
      </c>
      <c r="V213" s="851" t="s">
        <v>722</v>
      </c>
      <c r="W213" s="849" t="s">
        <v>722</v>
      </c>
    </row>
    <row r="214" spans="1:23" s="855" customFormat="1" ht="13.5" customHeight="1">
      <c r="A214" s="856" t="str">
        <f>IF(B214&lt;&gt;"",ROW()-(ROW()-1),"")</f>
        <v/>
      </c>
      <c r="B214" s="868"/>
      <c r="C214" s="857">
        <f>IF(ISNA(VLOOKUP(B214,NXT!$Q$61:$S$81,2,0)),0,VLOOKUP(B214,NXT!$Q$61:$S$81,2,0))</f>
        <v>0</v>
      </c>
      <c r="D214" s="706">
        <f t="shared" ref="D214:D219" si="24">ROUND(C214*O214,0)</f>
        <v>0</v>
      </c>
      <c r="E214" s="706"/>
      <c r="F214" s="706"/>
      <c r="G214" s="858">
        <f t="shared" ref="G214:G219" si="25">(D214+E214)*F214</f>
        <v>0</v>
      </c>
      <c r="H214" s="706">
        <f t="shared" ref="H214:H219" si="26">IF($D$221&lt;&gt;0,H$221/($D$221+$E$221/4)*($D214+$E214/4),0)</f>
        <v>0</v>
      </c>
      <c r="I214" s="706">
        <f t="shared" ref="I214:K219" si="27">IF($D$221&lt;&gt;0,I$221/$D$221*$D214,0)</f>
        <v>0</v>
      </c>
      <c r="J214" s="706">
        <f t="shared" si="27"/>
        <v>0</v>
      </c>
      <c r="K214" s="706">
        <f t="shared" si="27"/>
        <v>0</v>
      </c>
      <c r="L214" s="706"/>
      <c r="M214" s="706"/>
      <c r="N214" s="858">
        <f t="shared" ref="N214:N219" si="28">ROUND(SUM(G214:L214),0)</f>
        <v>0</v>
      </c>
      <c r="O214" s="864"/>
      <c r="P214" s="706">
        <f t="shared" ref="P214:P219" si="29">IF(N214&lt;&gt;0,N214/O214,0)</f>
        <v>0</v>
      </c>
      <c r="Q214" s="854"/>
      <c r="R214" s="860"/>
      <c r="S214" s="927"/>
      <c r="T214" s="271"/>
      <c r="U214" s="271"/>
      <c r="V214" s="858">
        <f t="shared" ref="V214:V223" si="30">ROUND(T214*U214,0)</f>
        <v>0</v>
      </c>
      <c r="W214" s="858"/>
    </row>
    <row r="215" spans="1:23" ht="13.5" customHeight="1">
      <c r="A215" s="856" t="str">
        <f t="shared" ref="A215:A220" si="31">IF(B215&lt;&gt;"",A214+1,"")</f>
        <v/>
      </c>
      <c r="B215" s="868"/>
      <c r="C215" s="857">
        <f>IF(ISNA(VLOOKUP(B215,NXT!$Q$61:$S$81,2,0)),0,VLOOKUP(B215,NXT!$Q$61:$S$81,2,0))</f>
        <v>0</v>
      </c>
      <c r="D215" s="706">
        <f t="shared" si="24"/>
        <v>0</v>
      </c>
      <c r="E215" s="706"/>
      <c r="F215" s="706"/>
      <c r="G215" s="858">
        <f t="shared" si="25"/>
        <v>0</v>
      </c>
      <c r="H215" s="706">
        <f t="shared" si="26"/>
        <v>0</v>
      </c>
      <c r="I215" s="706">
        <f>IF($D$221&lt;&gt;0,I$221/$D$221*$D215,0)</f>
        <v>0</v>
      </c>
      <c r="J215" s="706">
        <f t="shared" si="27"/>
        <v>0</v>
      </c>
      <c r="K215" s="706">
        <f t="shared" si="27"/>
        <v>0</v>
      </c>
      <c r="L215" s="858"/>
      <c r="M215" s="706" t="e">
        <f>34560000/($O$67+#REF!+#REF!)*O215</f>
        <v>#REF!</v>
      </c>
      <c r="N215" s="858">
        <f t="shared" si="28"/>
        <v>0</v>
      </c>
      <c r="O215" s="706"/>
      <c r="P215" s="706">
        <f t="shared" si="29"/>
        <v>0</v>
      </c>
      <c r="Q215" s="877"/>
      <c r="R215" s="865"/>
      <c r="S215" s="927"/>
      <c r="T215" s="271"/>
      <c r="U215" s="271"/>
      <c r="V215" s="858">
        <f t="shared" si="30"/>
        <v>0</v>
      </c>
      <c r="W215" s="874"/>
    </row>
    <row r="216" spans="1:23" ht="13.5" customHeight="1">
      <c r="A216" s="856" t="str">
        <f t="shared" si="31"/>
        <v/>
      </c>
      <c r="B216" s="581"/>
      <c r="C216" s="857">
        <f>IF(ISNA(VLOOKUP(B216,NXT!$Q$61:$S$81,2,0)),0,VLOOKUP(B216,NXT!$Q$61:$S$81,2,0))</f>
        <v>0</v>
      </c>
      <c r="D216" s="706">
        <f t="shared" si="24"/>
        <v>0</v>
      </c>
      <c r="E216" s="706"/>
      <c r="F216" s="706"/>
      <c r="G216" s="858">
        <f t="shared" si="25"/>
        <v>0</v>
      </c>
      <c r="H216" s="706">
        <f t="shared" si="26"/>
        <v>0</v>
      </c>
      <c r="I216" s="706">
        <f t="shared" si="27"/>
        <v>0</v>
      </c>
      <c r="J216" s="706">
        <f t="shared" si="27"/>
        <v>0</v>
      </c>
      <c r="K216" s="706">
        <f t="shared" si="27"/>
        <v>0</v>
      </c>
      <c r="L216" s="706"/>
      <c r="M216" s="706"/>
      <c r="N216" s="858">
        <f t="shared" si="28"/>
        <v>0</v>
      </c>
      <c r="O216" s="864"/>
      <c r="P216" s="706">
        <f t="shared" si="29"/>
        <v>0</v>
      </c>
      <c r="Q216" s="877"/>
      <c r="R216" s="865"/>
      <c r="S216" s="927"/>
      <c r="T216" s="271"/>
      <c r="U216" s="271"/>
      <c r="V216" s="858">
        <f t="shared" si="30"/>
        <v>0</v>
      </c>
      <c r="W216" s="874"/>
    </row>
    <row r="217" spans="1:23" ht="13.5" customHeight="1">
      <c r="A217" s="856" t="str">
        <f t="shared" si="31"/>
        <v/>
      </c>
      <c r="B217" s="868"/>
      <c r="C217" s="857">
        <f>IF(ISNA(VLOOKUP(B217,NXT!$Q$61:$S$81,2,0)),0,VLOOKUP(B217,NXT!$Q$61:$S$81,2,0))</f>
        <v>0</v>
      </c>
      <c r="D217" s="706">
        <f t="shared" si="24"/>
        <v>0</v>
      </c>
      <c r="E217" s="706"/>
      <c r="F217" s="706"/>
      <c r="G217" s="858">
        <f t="shared" si="25"/>
        <v>0</v>
      </c>
      <c r="H217" s="706">
        <f t="shared" si="26"/>
        <v>0</v>
      </c>
      <c r="I217" s="706">
        <f t="shared" si="27"/>
        <v>0</v>
      </c>
      <c r="J217" s="706">
        <f t="shared" si="27"/>
        <v>0</v>
      </c>
      <c r="K217" s="706">
        <f t="shared" si="27"/>
        <v>0</v>
      </c>
      <c r="L217" s="706"/>
      <c r="M217" s="706"/>
      <c r="N217" s="858">
        <f t="shared" si="28"/>
        <v>0</v>
      </c>
      <c r="O217" s="864"/>
      <c r="P217" s="706">
        <f t="shared" si="29"/>
        <v>0</v>
      </c>
      <c r="Q217" s="877"/>
      <c r="R217" s="865"/>
      <c r="S217" s="927"/>
      <c r="T217" s="271"/>
      <c r="U217" s="271"/>
      <c r="V217" s="858">
        <f t="shared" si="30"/>
        <v>0</v>
      </c>
      <c r="W217" s="874"/>
    </row>
    <row r="218" spans="1:23" ht="13.5" customHeight="1">
      <c r="A218" s="856" t="str">
        <f t="shared" si="31"/>
        <v/>
      </c>
      <c r="B218" s="868"/>
      <c r="C218" s="857">
        <f>IF(ISNA(VLOOKUP(B218,NXT!$Q$61:$S$81,2,0)),0,VLOOKUP(B218,NXT!$Q$61:$S$81,2,0))</f>
        <v>0</v>
      </c>
      <c r="D218" s="706">
        <f t="shared" si="24"/>
        <v>0</v>
      </c>
      <c r="E218" s="706"/>
      <c r="F218" s="706"/>
      <c r="G218" s="858">
        <f t="shared" si="25"/>
        <v>0</v>
      </c>
      <c r="H218" s="706">
        <f t="shared" si="26"/>
        <v>0</v>
      </c>
      <c r="I218" s="706">
        <f t="shared" si="27"/>
        <v>0</v>
      </c>
      <c r="J218" s="706">
        <f t="shared" si="27"/>
        <v>0</v>
      </c>
      <c r="K218" s="706">
        <f t="shared" si="27"/>
        <v>0</v>
      </c>
      <c r="L218" s="706"/>
      <c r="M218" s="706"/>
      <c r="N218" s="858">
        <f t="shared" si="28"/>
        <v>0</v>
      </c>
      <c r="O218" s="864"/>
      <c r="P218" s="706">
        <f t="shared" si="29"/>
        <v>0</v>
      </c>
      <c r="Q218" s="877"/>
      <c r="R218" s="865"/>
      <c r="S218" s="927"/>
      <c r="T218" s="271"/>
      <c r="U218" s="271"/>
      <c r="V218" s="858">
        <f t="shared" si="30"/>
        <v>0</v>
      </c>
      <c r="W218" s="874"/>
    </row>
    <row r="219" spans="1:23">
      <c r="A219" s="856" t="str">
        <f t="shared" si="31"/>
        <v/>
      </c>
      <c r="B219" s="868"/>
      <c r="C219" s="857">
        <f>IF(ISNA(VLOOKUP(B219,NXT!$Q$61:$S$81,2,0)),0,VLOOKUP(B219,NXT!$Q$61:$S$81,2,0))</f>
        <v>0</v>
      </c>
      <c r="D219" s="706">
        <f t="shared" si="24"/>
        <v>0</v>
      </c>
      <c r="E219" s="706"/>
      <c r="F219" s="706"/>
      <c r="G219" s="858">
        <f t="shared" si="25"/>
        <v>0</v>
      </c>
      <c r="H219" s="706">
        <f t="shared" si="26"/>
        <v>0</v>
      </c>
      <c r="I219" s="706">
        <f t="shared" si="27"/>
        <v>0</v>
      </c>
      <c r="J219" s="706">
        <f t="shared" si="27"/>
        <v>0</v>
      </c>
      <c r="K219" s="706">
        <f t="shared" si="27"/>
        <v>0</v>
      </c>
      <c r="L219" s="706"/>
      <c r="M219" s="706"/>
      <c r="N219" s="858">
        <f t="shared" si="28"/>
        <v>0</v>
      </c>
      <c r="O219" s="864"/>
      <c r="P219" s="706">
        <f t="shared" si="29"/>
        <v>0</v>
      </c>
      <c r="Q219" s="877"/>
      <c r="R219" s="865"/>
      <c r="S219" s="927"/>
      <c r="T219" s="271"/>
      <c r="U219" s="866"/>
      <c r="V219" s="858">
        <f t="shared" si="30"/>
        <v>0</v>
      </c>
      <c r="W219" s="874"/>
    </row>
    <row r="220" spans="1:23">
      <c r="A220" s="856" t="str">
        <f t="shared" si="31"/>
        <v/>
      </c>
      <c r="B220" s="869"/>
      <c r="C220" s="870"/>
      <c r="D220" s="872"/>
      <c r="E220" s="872"/>
      <c r="F220" s="872"/>
      <c r="G220" s="873"/>
      <c r="H220" s="918"/>
      <c r="I220" s="872"/>
      <c r="J220" s="874"/>
      <c r="K220" s="872"/>
      <c r="L220" s="875"/>
      <c r="M220" s="872"/>
      <c r="N220" s="906"/>
      <c r="O220" s="876"/>
      <c r="P220" s="872"/>
      <c r="Q220" s="877"/>
      <c r="R220" s="865"/>
      <c r="S220" s="929"/>
      <c r="T220" s="271"/>
      <c r="U220" s="271"/>
      <c r="V220" s="858">
        <f t="shared" si="30"/>
        <v>0</v>
      </c>
      <c r="W220" s="874"/>
    </row>
    <row r="221" spans="1:23" s="878" customFormat="1">
      <c r="A221" s="879"/>
      <c r="B221" s="880" t="s">
        <v>723</v>
      </c>
      <c r="C221" s="881"/>
      <c r="D221" s="882">
        <f>SUM(D214:D219)</f>
        <v>0</v>
      </c>
      <c r="E221" s="882">
        <f>SUM(E214:E219)</f>
        <v>0</v>
      </c>
      <c r="F221" s="882"/>
      <c r="G221" s="882">
        <f>SUM(G214:G220)</f>
        <v>0</v>
      </c>
      <c r="H221" s="883"/>
      <c r="I221" s="883">
        <f>V225</f>
        <v>0</v>
      </c>
      <c r="J221" s="883"/>
      <c r="K221" s="883"/>
      <c r="L221" s="882">
        <f>ROUND(SUM(L214:L220),0)</f>
        <v>0</v>
      </c>
      <c r="M221" s="882" t="e">
        <f>ROUND(SUM(M214:M220),0)</f>
        <v>#REF!</v>
      </c>
      <c r="N221" s="882">
        <f>ROUND(SUM(N214:N220),0)</f>
        <v>0</v>
      </c>
      <c r="O221" s="882">
        <f>ROUND(SUM(O214:O220),0)</f>
        <v>0</v>
      </c>
      <c r="P221" s="882"/>
      <c r="Q221" s="877"/>
      <c r="R221" s="865"/>
      <c r="S221" s="929"/>
      <c r="T221" s="888"/>
      <c r="U221" s="866"/>
      <c r="V221" s="858">
        <f t="shared" si="30"/>
        <v>0</v>
      </c>
      <c r="W221" s="874"/>
    </row>
    <row r="222" spans="1:23" s="833" customFormat="1">
      <c r="A222" s="829"/>
      <c r="B222" s="829"/>
      <c r="C222" s="829"/>
      <c r="D222" s="829"/>
      <c r="E222" s="829"/>
      <c r="F222" s="829"/>
      <c r="G222" s="829"/>
      <c r="H222" s="829"/>
      <c r="I222" s="829"/>
      <c r="J222" s="829"/>
      <c r="K222" s="829"/>
      <c r="L222" s="829"/>
      <c r="M222" s="829"/>
      <c r="N222" s="829"/>
      <c r="O222" s="829"/>
      <c r="P222" s="829"/>
      <c r="Q222" s="877"/>
      <c r="R222" s="930"/>
      <c r="S222" s="929"/>
      <c r="T222" s="888"/>
      <c r="U222" s="866"/>
      <c r="V222" s="858">
        <f t="shared" si="30"/>
        <v>0</v>
      </c>
      <c r="W222" s="874"/>
    </row>
    <row r="223" spans="1:23">
      <c r="Q223" s="877"/>
      <c r="R223" s="586"/>
      <c r="S223" s="929"/>
      <c r="T223" s="271"/>
      <c r="U223" s="271"/>
      <c r="V223" s="858">
        <f t="shared" si="30"/>
        <v>0</v>
      </c>
      <c r="W223" s="874"/>
    </row>
    <row r="224" spans="1:23">
      <c r="Q224" s="877"/>
      <c r="R224" s="931"/>
      <c r="S224" s="861"/>
      <c r="T224" s="271"/>
      <c r="U224" s="271"/>
      <c r="V224" s="874"/>
      <c r="W224" s="874"/>
    </row>
    <row r="225" spans="1:23">
      <c r="Q225" s="877"/>
      <c r="R225" s="911"/>
      <c r="S225" s="912"/>
      <c r="T225" s="913"/>
      <c r="U225" s="932"/>
      <c r="V225" s="892">
        <f>SUM(V214:V224)</f>
        <v>0</v>
      </c>
      <c r="W225" s="892">
        <f>SUM(W214:W224)</f>
        <v>0</v>
      </c>
    </row>
    <row r="226" spans="1:23">
      <c r="R226" s="865"/>
      <c r="S226" s="927"/>
      <c r="T226" s="271"/>
      <c r="U226" s="866"/>
      <c r="V226" s="858">
        <f t="shared" ref="V226:V233" si="32">ROUND(T226*U226,0)</f>
        <v>0</v>
      </c>
      <c r="W226" s="858"/>
    </row>
    <row r="227" spans="1:23">
      <c r="R227" s="865"/>
      <c r="S227" s="927"/>
      <c r="T227" s="866"/>
      <c r="U227" s="866"/>
      <c r="V227" s="858">
        <f t="shared" si="32"/>
        <v>0</v>
      </c>
      <c r="W227" s="874"/>
    </row>
    <row r="228" spans="1:23">
      <c r="R228" s="598"/>
      <c r="S228" s="927"/>
      <c r="T228" s="866"/>
      <c r="U228" s="866"/>
      <c r="V228" s="858">
        <f t="shared" si="32"/>
        <v>0</v>
      </c>
      <c r="W228" s="874"/>
    </row>
    <row r="229" spans="1:23">
      <c r="R229" s="888"/>
      <c r="S229" s="927"/>
      <c r="T229" s="866"/>
      <c r="U229" s="866"/>
      <c r="V229" s="858">
        <f t="shared" si="32"/>
        <v>0</v>
      </c>
      <c r="W229" s="874"/>
    </row>
    <row r="230" spans="1:23">
      <c r="R230" s="865"/>
      <c r="S230" s="927"/>
      <c r="T230" s="866"/>
      <c r="U230" s="866"/>
      <c r="V230" s="858">
        <f t="shared" si="32"/>
        <v>0</v>
      </c>
      <c r="W230" s="874"/>
    </row>
    <row r="231" spans="1:23">
      <c r="R231" s="865"/>
      <c r="S231" s="861"/>
      <c r="T231" s="866"/>
      <c r="U231" s="866"/>
      <c r="V231" s="858">
        <f t="shared" si="32"/>
        <v>0</v>
      </c>
      <c r="W231" s="874"/>
    </row>
    <row r="232" spans="1:23">
      <c r="R232" s="888"/>
      <c r="S232" s="861"/>
      <c r="T232" s="866"/>
      <c r="U232" s="866"/>
      <c r="V232" s="858">
        <f t="shared" si="32"/>
        <v>0</v>
      </c>
      <c r="W232" s="874"/>
    </row>
    <row r="233" spans="1:23">
      <c r="R233" s="888"/>
      <c r="S233" s="861"/>
      <c r="T233" s="866"/>
      <c r="U233" s="866"/>
      <c r="V233" s="858">
        <f t="shared" si="32"/>
        <v>0</v>
      </c>
      <c r="W233" s="874"/>
    </row>
    <row r="234" spans="1:23">
      <c r="R234" s="838"/>
      <c r="S234" s="915"/>
      <c r="T234" s="848"/>
      <c r="U234" s="848"/>
      <c r="V234" s="886"/>
      <c r="W234" s="916"/>
    </row>
    <row r="235" spans="1:23" ht="20.25" customHeight="1">
      <c r="A235" s="833" t="s">
        <v>706</v>
      </c>
      <c r="B235" s="833"/>
      <c r="C235" s="834"/>
      <c r="D235" s="835"/>
      <c r="E235" s="835"/>
      <c r="F235" s="835"/>
      <c r="G235" s="832"/>
      <c r="H235" s="832"/>
      <c r="I235" s="832"/>
      <c r="J235" s="832"/>
      <c r="K235" s="832"/>
      <c r="L235" s="836"/>
      <c r="M235" s="832"/>
      <c r="N235" s="832"/>
      <c r="O235" s="837"/>
      <c r="P235" s="832"/>
      <c r="R235" s="832"/>
      <c r="S235" s="839"/>
    </row>
    <row r="236" spans="1:23" ht="20.25" customHeight="1">
      <c r="A236" s="840" t="s">
        <v>733</v>
      </c>
      <c r="B236" s="840"/>
      <c r="C236" s="840"/>
      <c r="D236" s="840"/>
      <c r="E236" s="840"/>
      <c r="F236" s="840"/>
      <c r="G236" s="840"/>
      <c r="H236" s="840"/>
      <c r="I236" s="840"/>
      <c r="J236" s="840"/>
      <c r="K236" s="840"/>
      <c r="L236" s="840"/>
      <c r="M236" s="840"/>
      <c r="N236" s="840"/>
      <c r="O236" s="840"/>
      <c r="P236" s="840"/>
      <c r="Q236" s="838"/>
      <c r="R236" s="832"/>
      <c r="S236" s="839"/>
    </row>
    <row r="237" spans="1:23" ht="12" customHeight="1">
      <c r="A237" s="841"/>
      <c r="B237" s="841"/>
      <c r="C237" s="842"/>
      <c r="D237" s="841"/>
      <c r="E237" s="841"/>
      <c r="F237" s="841"/>
      <c r="G237" s="841"/>
      <c r="H237" s="841"/>
      <c r="I237" s="841"/>
      <c r="J237" s="841"/>
      <c r="K237" s="841"/>
      <c r="L237" s="840"/>
      <c r="M237" s="841"/>
      <c r="N237" s="841"/>
      <c r="O237" s="843"/>
      <c r="P237" s="841"/>
      <c r="Q237" s="838"/>
      <c r="R237" s="832"/>
      <c r="S237" s="839"/>
    </row>
    <row r="238" spans="1:23" ht="12" customHeight="1">
      <c r="A238" s="844"/>
      <c r="B238" s="844"/>
      <c r="C238" s="845"/>
      <c r="D238" s="844"/>
      <c r="E238" s="844"/>
      <c r="F238" s="844"/>
      <c r="G238" s="844"/>
      <c r="H238" s="844"/>
      <c r="I238" s="844"/>
      <c r="J238" s="844"/>
      <c r="K238" s="844"/>
      <c r="L238" s="844"/>
      <c r="M238" s="844"/>
      <c r="N238" s="844"/>
      <c r="O238" s="846"/>
      <c r="P238" s="844"/>
      <c r="Q238" s="838"/>
      <c r="R238" s="832"/>
      <c r="S238" s="839"/>
    </row>
    <row r="239" spans="1:23" ht="36.75" customHeight="1">
      <c r="A239" s="849" t="s">
        <v>46</v>
      </c>
      <c r="B239" s="849" t="s">
        <v>708</v>
      </c>
      <c r="C239" s="850" t="s">
        <v>709</v>
      </c>
      <c r="D239" s="851" t="s">
        <v>710</v>
      </c>
      <c r="E239" s="851" t="s">
        <v>711</v>
      </c>
      <c r="F239" s="851" t="s">
        <v>712</v>
      </c>
      <c r="G239" s="851" t="s">
        <v>713</v>
      </c>
      <c r="H239" s="851" t="s">
        <v>714</v>
      </c>
      <c r="I239" s="851" t="s">
        <v>715</v>
      </c>
      <c r="J239" s="851" t="s">
        <v>716</v>
      </c>
      <c r="K239" s="852" t="s">
        <v>717</v>
      </c>
      <c r="L239" s="851" t="s">
        <v>718</v>
      </c>
      <c r="M239" s="852" t="s">
        <v>719</v>
      </c>
      <c r="N239" s="851" t="s">
        <v>720</v>
      </c>
      <c r="O239" s="853" t="s">
        <v>711</v>
      </c>
      <c r="P239" s="851" t="s">
        <v>721</v>
      </c>
      <c r="Q239" s="838"/>
      <c r="R239" s="849" t="s">
        <v>708</v>
      </c>
      <c r="S239" s="851" t="s">
        <v>675</v>
      </c>
      <c r="T239" s="851" t="s">
        <v>533</v>
      </c>
      <c r="U239" s="851" t="s">
        <v>712</v>
      </c>
      <c r="V239" s="851" t="s">
        <v>722</v>
      </c>
      <c r="W239" s="849" t="s">
        <v>722</v>
      </c>
    </row>
    <row r="240" spans="1:23" s="855" customFormat="1" ht="13.5" customHeight="1">
      <c r="A240" s="856" t="str">
        <f>IF(B240&lt;&gt;"",ROW()-(ROW()-1),"")</f>
        <v/>
      </c>
      <c r="B240" s="868"/>
      <c r="C240" s="857">
        <f>IF(ISNA(VLOOKUP(B240,NXT!$Q$61:$S$81,2,0)),0,VLOOKUP(B240,NXT!$Q$61:$S$81,2,0))</f>
        <v>0</v>
      </c>
      <c r="D240" s="706">
        <f t="shared" ref="D240:D245" si="33">ROUND(C240*O240,0)</f>
        <v>0</v>
      </c>
      <c r="E240" s="706"/>
      <c r="F240" s="706"/>
      <c r="G240" s="858">
        <f t="shared" ref="G240:G245" si="34">(D240+E240)*F240</f>
        <v>0</v>
      </c>
      <c r="H240" s="706">
        <f t="shared" ref="H240:H245" si="35">IF($D$247&lt;&gt;0,H$247/($D$247+$E$247/4)*($D240+$E240/4),0)</f>
        <v>0</v>
      </c>
      <c r="I240" s="706">
        <f t="shared" ref="I240:I245" si="36">IF($D$247&lt;&gt;0,I$247/$D$247*$D240,0)</f>
        <v>0</v>
      </c>
      <c r="J240" s="706">
        <f t="shared" ref="J240:K245" si="37">IF($D$247&lt;&gt;0,J$247/$D$247*$D240,0)</f>
        <v>0</v>
      </c>
      <c r="K240" s="706">
        <f t="shared" si="37"/>
        <v>0</v>
      </c>
      <c r="L240" s="858">
        <f t="shared" ref="L240:L245" si="38">V252</f>
        <v>0</v>
      </c>
      <c r="M240" s="706" t="e">
        <f>34560000/($O$67+#REF!+#REF!)*O240</f>
        <v>#REF!</v>
      </c>
      <c r="N240" s="858"/>
      <c r="O240" s="864"/>
      <c r="P240" s="706">
        <f t="shared" ref="P240:P245" si="39">IF(N240&lt;&gt;0,N240/O240,0)</f>
        <v>0</v>
      </c>
      <c r="Q240" s="854"/>
      <c r="R240" s="860"/>
      <c r="S240" s="927"/>
      <c r="T240" s="271"/>
      <c r="U240" s="271"/>
      <c r="V240" s="858">
        <f t="shared" ref="V240:V249" si="40">ROUND(T240*U240,0)</f>
        <v>0</v>
      </c>
      <c r="W240" s="858"/>
    </row>
    <row r="241" spans="1:23" ht="13.5" customHeight="1">
      <c r="A241" s="856" t="str">
        <f t="shared" ref="A241:A246" si="41">IF(B241&lt;&gt;"",A240+1,"")</f>
        <v/>
      </c>
      <c r="B241" s="868"/>
      <c r="C241" s="857">
        <f>IF(ISNA(VLOOKUP(B241,NXT!$Q$61:$S$81,2,0)),0,VLOOKUP(B241,NXT!$Q$61:$S$81,2,0))</f>
        <v>0</v>
      </c>
      <c r="D241" s="706">
        <f t="shared" si="33"/>
        <v>0</v>
      </c>
      <c r="E241" s="706"/>
      <c r="F241" s="706"/>
      <c r="G241" s="858">
        <f t="shared" si="34"/>
        <v>0</v>
      </c>
      <c r="H241" s="706">
        <f t="shared" si="35"/>
        <v>0</v>
      </c>
      <c r="I241" s="706">
        <f t="shared" si="36"/>
        <v>0</v>
      </c>
      <c r="J241" s="706">
        <f t="shared" si="37"/>
        <v>0</v>
      </c>
      <c r="K241" s="706">
        <f t="shared" si="37"/>
        <v>0</v>
      </c>
      <c r="L241" s="706">
        <f t="shared" si="38"/>
        <v>0</v>
      </c>
      <c r="M241" s="706"/>
      <c r="N241" s="858"/>
      <c r="O241" s="864"/>
      <c r="P241" s="706">
        <f t="shared" si="39"/>
        <v>0</v>
      </c>
      <c r="Q241" s="877"/>
      <c r="R241" s="865"/>
      <c r="S241" s="927"/>
      <c r="T241" s="271"/>
      <c r="U241" s="271"/>
      <c r="V241" s="858">
        <f t="shared" si="40"/>
        <v>0</v>
      </c>
      <c r="W241" s="874"/>
    </row>
    <row r="242" spans="1:23" ht="13.5" customHeight="1">
      <c r="A242" s="856" t="str">
        <f t="shared" si="41"/>
        <v/>
      </c>
      <c r="B242" s="868"/>
      <c r="C242" s="857">
        <f>IF(ISNA(VLOOKUP(B242,NXT!$Q$61:$S$81,2,0)),0,VLOOKUP(B242,NXT!$Q$61:$S$81,2,0))</f>
        <v>0</v>
      </c>
      <c r="D242" s="706">
        <f t="shared" si="33"/>
        <v>0</v>
      </c>
      <c r="E242" s="706"/>
      <c r="F242" s="706"/>
      <c r="G242" s="858">
        <f t="shared" si="34"/>
        <v>0</v>
      </c>
      <c r="H242" s="706">
        <f t="shared" si="35"/>
        <v>0</v>
      </c>
      <c r="I242" s="706">
        <f t="shared" si="36"/>
        <v>0</v>
      </c>
      <c r="J242" s="706">
        <f t="shared" si="37"/>
        <v>0</v>
      </c>
      <c r="K242" s="706">
        <f t="shared" si="37"/>
        <v>0</v>
      </c>
      <c r="L242" s="706">
        <f t="shared" si="38"/>
        <v>0</v>
      </c>
      <c r="M242" s="706">
        <v>25840000</v>
      </c>
      <c r="N242" s="858"/>
      <c r="O242" s="864"/>
      <c r="P242" s="706">
        <f t="shared" si="39"/>
        <v>0</v>
      </c>
      <c r="Q242" s="877"/>
      <c r="R242" s="865"/>
      <c r="S242" s="927"/>
      <c r="T242" s="271"/>
      <c r="U242" s="271"/>
      <c r="V242" s="858">
        <f t="shared" si="40"/>
        <v>0</v>
      </c>
      <c r="W242" s="874"/>
    </row>
    <row r="243" spans="1:23" ht="13.5" customHeight="1">
      <c r="A243" s="856" t="str">
        <f t="shared" si="41"/>
        <v/>
      </c>
      <c r="B243" s="868"/>
      <c r="C243" s="857">
        <f>IF(ISNA(VLOOKUP(B243,NXT!$Q$61:$S$81,2,0)),0,VLOOKUP(B243,NXT!$Q$61:$S$81,2,0))</f>
        <v>0</v>
      </c>
      <c r="D243" s="706">
        <f t="shared" si="33"/>
        <v>0</v>
      </c>
      <c r="E243" s="706"/>
      <c r="F243" s="706"/>
      <c r="G243" s="858">
        <f t="shared" si="34"/>
        <v>0</v>
      </c>
      <c r="H243" s="706">
        <f t="shared" si="35"/>
        <v>0</v>
      </c>
      <c r="I243" s="706">
        <f t="shared" si="36"/>
        <v>0</v>
      </c>
      <c r="J243" s="706">
        <f t="shared" si="37"/>
        <v>0</v>
      </c>
      <c r="K243" s="706">
        <f t="shared" si="37"/>
        <v>0</v>
      </c>
      <c r="L243" s="706">
        <f t="shared" si="38"/>
        <v>0</v>
      </c>
      <c r="M243" s="706" t="e">
        <f>34560000/($O$67+#REF!+#REF!)*O243</f>
        <v>#REF!</v>
      </c>
      <c r="N243" s="858"/>
      <c r="O243" s="864"/>
      <c r="P243" s="706">
        <f t="shared" si="39"/>
        <v>0</v>
      </c>
      <c r="Q243" s="877"/>
      <c r="R243" s="865"/>
      <c r="S243" s="927"/>
      <c r="T243" s="271"/>
      <c r="U243" s="271"/>
      <c r="V243" s="858">
        <f t="shared" si="40"/>
        <v>0</v>
      </c>
      <c r="W243" s="874"/>
    </row>
    <row r="244" spans="1:23" ht="13.5" customHeight="1">
      <c r="A244" s="856" t="str">
        <f t="shared" si="41"/>
        <v/>
      </c>
      <c r="B244" s="868"/>
      <c r="C244" s="857">
        <f>IF(ISNA(VLOOKUP(B244,NXT!$Q$61:$S$81,2,0)),0,VLOOKUP(B244,NXT!$Q$61:$S$81,2,0))</f>
        <v>0</v>
      </c>
      <c r="D244" s="706">
        <f t="shared" si="33"/>
        <v>0</v>
      </c>
      <c r="E244" s="706"/>
      <c r="F244" s="706"/>
      <c r="G244" s="858">
        <f t="shared" si="34"/>
        <v>0</v>
      </c>
      <c r="H244" s="706">
        <f t="shared" si="35"/>
        <v>0</v>
      </c>
      <c r="I244" s="706">
        <f t="shared" si="36"/>
        <v>0</v>
      </c>
      <c r="J244" s="706">
        <f t="shared" si="37"/>
        <v>0</v>
      </c>
      <c r="K244" s="706">
        <f t="shared" si="37"/>
        <v>0</v>
      </c>
      <c r="L244" s="706">
        <f t="shared" si="38"/>
        <v>0</v>
      </c>
      <c r="M244" s="706"/>
      <c r="N244" s="858"/>
      <c r="O244" s="864"/>
      <c r="P244" s="706">
        <f t="shared" si="39"/>
        <v>0</v>
      </c>
      <c r="Q244" s="877"/>
      <c r="R244" s="865"/>
      <c r="S244" s="927"/>
      <c r="T244" s="271"/>
      <c r="U244" s="271"/>
      <c r="V244" s="858">
        <f t="shared" si="40"/>
        <v>0</v>
      </c>
      <c r="W244" s="874"/>
    </row>
    <row r="245" spans="1:23">
      <c r="A245" s="856" t="str">
        <f t="shared" si="41"/>
        <v/>
      </c>
      <c r="B245" s="868"/>
      <c r="C245" s="857"/>
      <c r="D245" s="706">
        <f t="shared" si="33"/>
        <v>0</v>
      </c>
      <c r="E245" s="706"/>
      <c r="F245" s="706"/>
      <c r="G245" s="858">
        <f t="shared" si="34"/>
        <v>0</v>
      </c>
      <c r="H245" s="706">
        <f t="shared" si="35"/>
        <v>0</v>
      </c>
      <c r="I245" s="706">
        <f t="shared" si="36"/>
        <v>0</v>
      </c>
      <c r="J245" s="706">
        <f t="shared" si="37"/>
        <v>0</v>
      </c>
      <c r="K245" s="706">
        <f t="shared" si="37"/>
        <v>0</v>
      </c>
      <c r="L245" s="706">
        <f t="shared" si="38"/>
        <v>0</v>
      </c>
      <c r="M245" s="706" t="e">
        <f>34560000/($O$67+#REF!+#REF!)*O245</f>
        <v>#REF!</v>
      </c>
      <c r="N245" s="858"/>
      <c r="O245" s="864"/>
      <c r="P245" s="706">
        <f t="shared" si="39"/>
        <v>0</v>
      </c>
      <c r="Q245" s="877"/>
      <c r="R245" s="865"/>
      <c r="S245" s="927"/>
      <c r="T245" s="271"/>
      <c r="U245" s="866"/>
      <c r="V245" s="858">
        <f t="shared" si="40"/>
        <v>0</v>
      </c>
      <c r="W245" s="874"/>
    </row>
    <row r="246" spans="1:23">
      <c r="A246" s="856" t="str">
        <f t="shared" si="41"/>
        <v/>
      </c>
      <c r="B246" s="869"/>
      <c r="C246" s="870"/>
      <c r="D246" s="872"/>
      <c r="E246" s="872"/>
      <c r="F246" s="872"/>
      <c r="G246" s="873"/>
      <c r="H246" s="918"/>
      <c r="I246" s="872"/>
      <c r="J246" s="874"/>
      <c r="K246" s="872"/>
      <c r="L246" s="875"/>
      <c r="M246" s="872"/>
      <c r="N246" s="906"/>
      <c r="O246" s="876"/>
      <c r="P246" s="872"/>
      <c r="Q246" s="877"/>
      <c r="R246" s="865"/>
      <c r="S246" s="929"/>
      <c r="T246" s="271"/>
      <c r="U246" s="271"/>
      <c r="V246" s="858">
        <f t="shared" si="40"/>
        <v>0</v>
      </c>
      <c r="W246" s="874"/>
    </row>
    <row r="247" spans="1:23" s="878" customFormat="1">
      <c r="A247" s="879"/>
      <c r="B247" s="880" t="s">
        <v>723</v>
      </c>
      <c r="C247" s="881"/>
      <c r="D247" s="882">
        <f>SUM(D240:D245)</f>
        <v>0</v>
      </c>
      <c r="E247" s="882">
        <f>SUM(E240:E245)</f>
        <v>0</v>
      </c>
      <c r="F247" s="882"/>
      <c r="G247" s="882">
        <f>SUM(G240:G245)</f>
        <v>0</v>
      </c>
      <c r="H247" s="883"/>
      <c r="I247" s="883">
        <f>V251</f>
        <v>0</v>
      </c>
      <c r="J247" s="883"/>
      <c r="K247" s="883"/>
      <c r="L247" s="882">
        <f>ROUND(SUM(L240:L246),0)</f>
        <v>0</v>
      </c>
      <c r="M247" s="882" t="e">
        <f>ROUND(SUM(M240:M246),0)</f>
        <v>#REF!</v>
      </c>
      <c r="N247" s="882">
        <f>ROUND(SUM(N240:N246),0)</f>
        <v>0</v>
      </c>
      <c r="O247" s="882">
        <f>ROUND(SUM(O240:O246),0)</f>
        <v>0</v>
      </c>
      <c r="P247" s="882"/>
      <c r="Q247" s="877"/>
      <c r="R247" s="865"/>
      <c r="S247" s="929"/>
      <c r="T247" s="888"/>
      <c r="U247" s="866"/>
      <c r="V247" s="858">
        <f t="shared" si="40"/>
        <v>0</v>
      </c>
      <c r="W247" s="874"/>
    </row>
    <row r="248" spans="1:23" s="833" customFormat="1">
      <c r="A248" s="829"/>
      <c r="B248" s="829"/>
      <c r="C248" s="829"/>
      <c r="D248" s="829"/>
      <c r="E248" s="829"/>
      <c r="F248" s="829"/>
      <c r="G248" s="829"/>
      <c r="H248" s="829"/>
      <c r="I248" s="829"/>
      <c r="J248" s="829"/>
      <c r="K248" s="829"/>
      <c r="L248" s="829"/>
      <c r="M248" s="829"/>
      <c r="N248" s="829"/>
      <c r="O248" s="829"/>
      <c r="P248" s="829"/>
      <c r="Q248" s="877"/>
      <c r="R248" s="930"/>
      <c r="S248" s="929"/>
      <c r="T248" s="888"/>
      <c r="U248" s="866"/>
      <c r="V248" s="858">
        <f t="shared" si="40"/>
        <v>0</v>
      </c>
      <c r="W248" s="874"/>
    </row>
    <row r="249" spans="1:23">
      <c r="Q249" s="877"/>
      <c r="R249" s="586"/>
      <c r="S249" s="929"/>
      <c r="T249" s="271"/>
      <c r="U249" s="271"/>
      <c r="V249" s="858">
        <f t="shared" si="40"/>
        <v>0</v>
      </c>
      <c r="W249" s="874"/>
    </row>
    <row r="250" spans="1:23">
      <c r="Q250" s="877"/>
      <c r="R250" s="931"/>
      <c r="S250" s="861"/>
      <c r="T250" s="271"/>
      <c r="U250" s="271"/>
      <c r="V250" s="874"/>
      <c r="W250" s="874"/>
    </row>
    <row r="251" spans="1:23">
      <c r="Q251" s="877"/>
      <c r="R251" s="911"/>
      <c r="S251" s="912"/>
      <c r="T251" s="913"/>
      <c r="U251" s="932"/>
      <c r="V251" s="892">
        <f>SUM(V240:V250)</f>
        <v>0</v>
      </c>
      <c r="W251" s="892">
        <f>SUM(W240:W250)</f>
        <v>0</v>
      </c>
    </row>
    <row r="252" spans="1:23">
      <c r="R252" s="888"/>
      <c r="S252" s="927"/>
      <c r="T252" s="271"/>
      <c r="U252" s="271"/>
      <c r="V252" s="858">
        <f t="shared" ref="V252:V257" si="42">ROUND(T252*U252,0)</f>
        <v>0</v>
      </c>
      <c r="W252" s="858"/>
    </row>
    <row r="253" spans="1:23">
      <c r="R253" s="865"/>
      <c r="S253" s="927"/>
      <c r="T253" s="866"/>
      <c r="U253" s="866"/>
      <c r="V253" s="858">
        <f t="shared" si="42"/>
        <v>0</v>
      </c>
      <c r="W253" s="874"/>
    </row>
    <row r="254" spans="1:23">
      <c r="R254" s="888"/>
      <c r="S254" s="927"/>
      <c r="T254" s="866"/>
      <c r="U254" s="866"/>
      <c r="V254" s="858">
        <f t="shared" si="42"/>
        <v>0</v>
      </c>
      <c r="W254" s="874"/>
    </row>
    <row r="255" spans="1:23">
      <c r="R255" s="865"/>
      <c r="S255" s="861"/>
      <c r="T255" s="866"/>
      <c r="U255" s="866"/>
      <c r="V255" s="858">
        <f t="shared" si="42"/>
        <v>0</v>
      </c>
      <c r="W255" s="874"/>
    </row>
    <row r="256" spans="1:23">
      <c r="R256" s="865"/>
      <c r="S256" s="861"/>
      <c r="T256" s="866"/>
      <c r="U256" s="866"/>
      <c r="V256" s="858">
        <f t="shared" si="42"/>
        <v>0</v>
      </c>
      <c r="W256" s="874"/>
    </row>
    <row r="257" spans="1:23">
      <c r="R257" s="888"/>
      <c r="S257" s="861"/>
      <c r="T257" s="866"/>
      <c r="U257" s="866"/>
      <c r="V257" s="858">
        <f t="shared" si="42"/>
        <v>0</v>
      </c>
      <c r="W257" s="874"/>
    </row>
    <row r="258" spans="1:23">
      <c r="R258" s="888"/>
      <c r="S258" s="861"/>
      <c r="T258" s="866"/>
      <c r="U258" s="866"/>
      <c r="V258" s="937">
        <f>SUM(V252:V257)</f>
        <v>0</v>
      </c>
      <c r="W258" s="874"/>
    </row>
    <row r="259" spans="1:23">
      <c r="A259" s="840"/>
      <c r="B259" s="840"/>
      <c r="C259" s="840"/>
      <c r="D259" s="840"/>
      <c r="E259" s="840"/>
      <c r="F259" s="840"/>
      <c r="G259" s="840"/>
      <c r="H259" s="840"/>
      <c r="I259" s="840"/>
      <c r="J259" s="840"/>
      <c r="K259" s="840"/>
      <c r="L259" s="840"/>
      <c r="M259" s="840"/>
      <c r="N259" s="840"/>
      <c r="O259" s="840"/>
      <c r="P259" s="840"/>
      <c r="R259" s="832"/>
      <c r="S259" s="839"/>
    </row>
    <row r="260" spans="1:23" ht="20.25" customHeight="1">
      <c r="A260" s="833" t="s">
        <v>706</v>
      </c>
      <c r="B260" s="833"/>
      <c r="C260" s="834"/>
      <c r="D260" s="835"/>
      <c r="E260" s="835"/>
      <c r="F260" s="835"/>
      <c r="G260" s="832"/>
      <c r="H260" s="832"/>
      <c r="I260" s="832"/>
      <c r="J260" s="832"/>
      <c r="K260" s="832"/>
      <c r="L260" s="836"/>
      <c r="M260" s="832"/>
      <c r="N260" s="832"/>
      <c r="O260" s="837"/>
      <c r="P260" s="832"/>
      <c r="Q260" s="838"/>
      <c r="R260" s="832"/>
      <c r="S260" s="839"/>
    </row>
    <row r="261" spans="1:23" ht="20.25" customHeight="1">
      <c r="A261" s="840" t="s">
        <v>734</v>
      </c>
      <c r="B261" s="840"/>
      <c r="C261" s="840"/>
      <c r="D261" s="840"/>
      <c r="E261" s="840"/>
      <c r="F261" s="840"/>
      <c r="G261" s="840"/>
      <c r="H261" s="840"/>
      <c r="I261" s="840"/>
      <c r="J261" s="840"/>
      <c r="K261" s="840"/>
      <c r="L261" s="840"/>
      <c r="M261" s="840"/>
      <c r="N261" s="840"/>
      <c r="O261" s="840"/>
      <c r="P261" s="840"/>
      <c r="Q261" s="838"/>
      <c r="R261" s="832"/>
      <c r="S261" s="839"/>
    </row>
    <row r="262" spans="1:23" ht="12" customHeight="1">
      <c r="A262" s="841"/>
      <c r="B262" s="841"/>
      <c r="C262" s="842"/>
      <c r="D262" s="841"/>
      <c r="E262" s="841"/>
      <c r="F262" s="841"/>
      <c r="G262" s="841"/>
      <c r="H262" s="841"/>
      <c r="I262" s="841"/>
      <c r="J262" s="841"/>
      <c r="K262" s="841"/>
      <c r="L262" s="840"/>
      <c r="M262" s="841"/>
      <c r="N262" s="841"/>
      <c r="O262" s="843"/>
      <c r="P262" s="841"/>
      <c r="Q262" s="838"/>
      <c r="R262" s="832"/>
      <c r="S262" s="839"/>
    </row>
    <row r="263" spans="1:23" ht="12" customHeight="1">
      <c r="A263" s="844"/>
      <c r="B263" s="844"/>
      <c r="C263" s="845"/>
      <c r="D263" s="844"/>
      <c r="E263" s="844"/>
      <c r="F263" s="844"/>
      <c r="G263" s="844"/>
      <c r="H263" s="844"/>
      <c r="I263" s="844"/>
      <c r="J263" s="844"/>
      <c r="K263" s="844"/>
      <c r="L263" s="844"/>
      <c r="M263" s="844"/>
      <c r="N263" s="844"/>
      <c r="O263" s="846"/>
      <c r="P263" s="844"/>
      <c r="Q263" s="838"/>
      <c r="R263" s="832"/>
      <c r="S263" s="839"/>
    </row>
    <row r="264" spans="1:23" ht="36.75" customHeight="1">
      <c r="A264" s="849" t="s">
        <v>46</v>
      </c>
      <c r="B264" s="849" t="s">
        <v>708</v>
      </c>
      <c r="C264" s="850" t="s">
        <v>709</v>
      </c>
      <c r="D264" s="851" t="s">
        <v>710</v>
      </c>
      <c r="E264" s="851" t="s">
        <v>711</v>
      </c>
      <c r="F264" s="851" t="s">
        <v>712</v>
      </c>
      <c r="G264" s="851" t="s">
        <v>713</v>
      </c>
      <c r="H264" s="851" t="s">
        <v>714</v>
      </c>
      <c r="I264" s="851" t="s">
        <v>715</v>
      </c>
      <c r="J264" s="851" t="s">
        <v>716</v>
      </c>
      <c r="K264" s="852" t="s">
        <v>717</v>
      </c>
      <c r="L264" s="851" t="s">
        <v>718</v>
      </c>
      <c r="M264" s="852" t="s">
        <v>719</v>
      </c>
      <c r="N264" s="851" t="s">
        <v>720</v>
      </c>
      <c r="O264" s="853" t="s">
        <v>711</v>
      </c>
      <c r="P264" s="851" t="s">
        <v>721</v>
      </c>
      <c r="Q264" s="838"/>
      <c r="R264" s="849" t="s">
        <v>708</v>
      </c>
      <c r="S264" s="851" t="s">
        <v>675</v>
      </c>
      <c r="T264" s="851" t="s">
        <v>533</v>
      </c>
      <c r="U264" s="851" t="s">
        <v>712</v>
      </c>
      <c r="V264" s="851" t="s">
        <v>722</v>
      </c>
      <c r="W264" s="849" t="s">
        <v>722</v>
      </c>
    </row>
    <row r="265" spans="1:23" s="855" customFormat="1" ht="13.5" customHeight="1">
      <c r="A265" s="856" t="str">
        <f>IF(B265&lt;&gt;"",ROW()-(ROW()-1),"")</f>
        <v/>
      </c>
      <c r="B265" s="934"/>
      <c r="C265" s="857">
        <f>IF(ISNA(VLOOKUP(B265,NXT!$Q$61:$S$81,2,0)),0,VLOOKUP(B265,NXT!$Q$61:$S$81,2,0))</f>
        <v>0</v>
      </c>
      <c r="D265" s="706">
        <f t="shared" ref="D265:D270" si="43">ROUND(C265*O265,0)</f>
        <v>0</v>
      </c>
      <c r="E265" s="706"/>
      <c r="F265" s="706"/>
      <c r="G265" s="858">
        <f t="shared" ref="G265:G270" si="44">(D265+E265)*F265</f>
        <v>0</v>
      </c>
      <c r="H265" s="706">
        <f t="shared" ref="H265:H270" si="45">IF($D$272&lt;&gt;0,H$272/($D$272+$E$272/4)*($D265+$E265/4),0)</f>
        <v>0</v>
      </c>
      <c r="I265" s="706">
        <f t="shared" ref="I265:I270" si="46">IF($D$272&lt;&gt;0,I$272/$D$272*$D265,0)</f>
        <v>0</v>
      </c>
      <c r="J265" s="706">
        <f t="shared" ref="J265:K270" si="47">IF($D$272&lt;&gt;0,J$272/$D$272*$D265,0)</f>
        <v>0</v>
      </c>
      <c r="K265" s="706">
        <f t="shared" si="47"/>
        <v>0</v>
      </c>
      <c r="L265" s="938"/>
      <c r="M265" s="706" t="e">
        <f>34560000/($O$67+#REF!+#REF!)*O265</f>
        <v>#REF!</v>
      </c>
      <c r="N265" s="858">
        <f t="shared" ref="N265:N270" si="48">ROUND(SUM(G265:L265),0)</f>
        <v>0</v>
      </c>
      <c r="O265" s="706"/>
      <c r="P265" s="706">
        <f t="shared" ref="P265:P270" si="49">IF(N265&lt;&gt;0,N265/O265,0)</f>
        <v>0</v>
      </c>
      <c r="Q265" s="854"/>
      <c r="R265" s="860"/>
      <c r="S265" s="927"/>
      <c r="T265" s="271"/>
      <c r="U265" s="271"/>
      <c r="V265" s="858">
        <f t="shared" ref="V265:V274" si="50">ROUND(T265*U265,0)</f>
        <v>0</v>
      </c>
      <c r="W265" s="858"/>
    </row>
    <row r="266" spans="1:23" ht="13.5" customHeight="1">
      <c r="A266" s="856" t="str">
        <f t="shared" ref="A266:A271" si="51">IF(B266&lt;&gt;"",A265+1,"")</f>
        <v/>
      </c>
      <c r="B266" s="868"/>
      <c r="C266" s="857">
        <f>IF(ISNA(VLOOKUP(B266,NXT!$Q$61:$S$81,2,0)),0,VLOOKUP(B266,NXT!$Q$61:$S$81,2,0))</f>
        <v>0</v>
      </c>
      <c r="D266" s="706">
        <f t="shared" si="43"/>
        <v>0</v>
      </c>
      <c r="E266" s="706"/>
      <c r="F266" s="706"/>
      <c r="G266" s="858">
        <f t="shared" si="44"/>
        <v>0</v>
      </c>
      <c r="H266" s="706">
        <f t="shared" si="45"/>
        <v>0</v>
      </c>
      <c r="I266" s="706">
        <f t="shared" si="46"/>
        <v>0</v>
      </c>
      <c r="J266" s="706">
        <f t="shared" si="47"/>
        <v>0</v>
      </c>
      <c r="K266" s="706">
        <f t="shared" si="47"/>
        <v>0</v>
      </c>
      <c r="L266" s="938"/>
      <c r="M266" s="706"/>
      <c r="N266" s="858">
        <f t="shared" si="48"/>
        <v>0</v>
      </c>
      <c r="O266" s="864"/>
      <c r="P266" s="706">
        <f t="shared" si="49"/>
        <v>0</v>
      </c>
      <c r="Q266" s="877"/>
      <c r="R266" s="865"/>
      <c r="S266" s="927"/>
      <c r="T266" s="271"/>
      <c r="U266" s="271"/>
      <c r="V266" s="858">
        <f t="shared" si="50"/>
        <v>0</v>
      </c>
      <c r="W266" s="874"/>
    </row>
    <row r="267" spans="1:23" ht="13.5" customHeight="1">
      <c r="A267" s="856" t="str">
        <f t="shared" si="51"/>
        <v/>
      </c>
      <c r="B267" s="868"/>
      <c r="C267" s="857">
        <f>IF(ISNA(VLOOKUP(B267,NXT!$Q$61:$S$81,2,0)),0,VLOOKUP(B267,NXT!$Q$61:$S$81,2,0))</f>
        <v>0</v>
      </c>
      <c r="D267" s="706">
        <f t="shared" si="43"/>
        <v>0</v>
      </c>
      <c r="E267" s="706"/>
      <c r="F267" s="706"/>
      <c r="G267" s="858">
        <f t="shared" si="44"/>
        <v>0</v>
      </c>
      <c r="H267" s="706">
        <f t="shared" si="45"/>
        <v>0</v>
      </c>
      <c r="I267" s="706">
        <f t="shared" si="46"/>
        <v>0</v>
      </c>
      <c r="J267" s="706">
        <f t="shared" si="47"/>
        <v>0</v>
      </c>
      <c r="K267" s="706">
        <f t="shared" si="47"/>
        <v>0</v>
      </c>
      <c r="L267" s="938"/>
      <c r="M267" s="706">
        <v>25840000</v>
      </c>
      <c r="N267" s="858">
        <f t="shared" si="48"/>
        <v>0</v>
      </c>
      <c r="O267" s="864"/>
      <c r="P267" s="706">
        <f t="shared" si="49"/>
        <v>0</v>
      </c>
      <c r="Q267" s="877"/>
      <c r="R267" s="865"/>
      <c r="S267" s="927"/>
      <c r="T267" s="271"/>
      <c r="U267" s="271"/>
      <c r="V267" s="858">
        <f t="shared" si="50"/>
        <v>0</v>
      </c>
      <c r="W267" s="874"/>
    </row>
    <row r="268" spans="1:23" ht="13.5" customHeight="1">
      <c r="A268" s="856" t="str">
        <f t="shared" si="51"/>
        <v/>
      </c>
      <c r="B268" s="868"/>
      <c r="C268" s="857">
        <f>IF(ISNA(VLOOKUP(B268,NXT!$Q$61:$S$81,2,0)),0,VLOOKUP(B268,NXT!$Q$61:$S$81,2,0))</f>
        <v>0</v>
      </c>
      <c r="D268" s="706">
        <f t="shared" si="43"/>
        <v>0</v>
      </c>
      <c r="E268" s="706"/>
      <c r="F268" s="706"/>
      <c r="G268" s="858">
        <f t="shared" si="44"/>
        <v>0</v>
      </c>
      <c r="H268" s="706">
        <f t="shared" si="45"/>
        <v>0</v>
      </c>
      <c r="I268" s="706">
        <f t="shared" si="46"/>
        <v>0</v>
      </c>
      <c r="J268" s="706">
        <f t="shared" si="47"/>
        <v>0</v>
      </c>
      <c r="K268" s="706">
        <f t="shared" si="47"/>
        <v>0</v>
      </c>
      <c r="L268" s="706"/>
      <c r="M268" s="706" t="e">
        <f>34560000/($O$67+#REF!+#REF!)*O268</f>
        <v>#REF!</v>
      </c>
      <c r="N268" s="858">
        <f t="shared" si="48"/>
        <v>0</v>
      </c>
      <c r="O268" s="864"/>
      <c r="P268" s="706">
        <f t="shared" si="49"/>
        <v>0</v>
      </c>
      <c r="Q268" s="877"/>
      <c r="R268" s="865"/>
      <c r="S268" s="927"/>
      <c r="T268" s="271"/>
      <c r="U268" s="271"/>
      <c r="V268" s="858">
        <f t="shared" si="50"/>
        <v>0</v>
      </c>
      <c r="W268" s="874"/>
    </row>
    <row r="269" spans="1:23" ht="13.5" customHeight="1">
      <c r="A269" s="856" t="str">
        <f t="shared" si="51"/>
        <v/>
      </c>
      <c r="B269" s="868"/>
      <c r="C269" s="857">
        <f>IF(ISNA(VLOOKUP(B269,NXT!$Q$61:$S$81,2,0)),0,VLOOKUP(B269,NXT!$Q$61:$S$81,2,0))</f>
        <v>0</v>
      </c>
      <c r="D269" s="706">
        <f t="shared" si="43"/>
        <v>0</v>
      </c>
      <c r="E269" s="706"/>
      <c r="F269" s="706"/>
      <c r="G269" s="858">
        <f t="shared" si="44"/>
        <v>0</v>
      </c>
      <c r="H269" s="706">
        <f t="shared" si="45"/>
        <v>0</v>
      </c>
      <c r="I269" s="706">
        <f t="shared" si="46"/>
        <v>0</v>
      </c>
      <c r="J269" s="706">
        <f t="shared" si="47"/>
        <v>0</v>
      </c>
      <c r="K269" s="706">
        <f t="shared" si="47"/>
        <v>0</v>
      </c>
      <c r="L269" s="706"/>
      <c r="M269" s="706"/>
      <c r="N269" s="858">
        <f t="shared" si="48"/>
        <v>0</v>
      </c>
      <c r="O269" s="864"/>
      <c r="P269" s="706">
        <f t="shared" si="49"/>
        <v>0</v>
      </c>
      <c r="Q269" s="877"/>
      <c r="R269" s="865"/>
      <c r="S269" s="927"/>
      <c r="T269" s="271"/>
      <c r="U269" s="271"/>
      <c r="V269" s="858">
        <f t="shared" si="50"/>
        <v>0</v>
      </c>
      <c r="W269" s="874"/>
    </row>
    <row r="270" spans="1:23">
      <c r="A270" s="856" t="str">
        <f t="shared" si="51"/>
        <v/>
      </c>
      <c r="B270" s="868"/>
      <c r="C270" s="857">
        <f>IF(ISNA(VLOOKUP(B270,NXT!$Q$61:$S$81,2,0)),0,VLOOKUP(B270,NXT!$Q$61:$S$81,2,0))</f>
        <v>0</v>
      </c>
      <c r="D270" s="706">
        <f t="shared" si="43"/>
        <v>0</v>
      </c>
      <c r="E270" s="706"/>
      <c r="F270" s="706"/>
      <c r="G270" s="858">
        <f t="shared" si="44"/>
        <v>0</v>
      </c>
      <c r="H270" s="706">
        <f t="shared" si="45"/>
        <v>0</v>
      </c>
      <c r="I270" s="706">
        <f t="shared" si="46"/>
        <v>0</v>
      </c>
      <c r="J270" s="706">
        <f t="shared" si="47"/>
        <v>0</v>
      </c>
      <c r="K270" s="706">
        <f t="shared" si="47"/>
        <v>0</v>
      </c>
      <c r="L270" s="706"/>
      <c r="M270" s="706" t="e">
        <f>34560000/($O$67+#REF!+#REF!)*O270</f>
        <v>#REF!</v>
      </c>
      <c r="N270" s="858">
        <f t="shared" si="48"/>
        <v>0</v>
      </c>
      <c r="O270" s="864"/>
      <c r="P270" s="706">
        <f t="shared" si="49"/>
        <v>0</v>
      </c>
      <c r="Q270" s="877"/>
      <c r="R270" s="865"/>
      <c r="S270" s="927"/>
      <c r="T270" s="271"/>
      <c r="U270" s="866"/>
      <c r="V270" s="858">
        <f t="shared" si="50"/>
        <v>0</v>
      </c>
      <c r="W270" s="874"/>
    </row>
    <row r="271" spans="1:23">
      <c r="A271" s="856" t="str">
        <f t="shared" si="51"/>
        <v/>
      </c>
      <c r="B271" s="869"/>
      <c r="C271" s="870"/>
      <c r="D271" s="872"/>
      <c r="E271" s="872"/>
      <c r="F271" s="872"/>
      <c r="G271" s="873"/>
      <c r="H271" s="918"/>
      <c r="I271" s="872"/>
      <c r="J271" s="874"/>
      <c r="K271" s="872"/>
      <c r="L271" s="875"/>
      <c r="M271" s="872"/>
      <c r="N271" s="906"/>
      <c r="O271" s="876"/>
      <c r="P271" s="872"/>
      <c r="Q271" s="877"/>
      <c r="R271" s="865"/>
      <c r="S271" s="927"/>
      <c r="T271" s="271"/>
      <c r="U271" s="271"/>
      <c r="V271" s="858">
        <f t="shared" si="50"/>
        <v>0</v>
      </c>
      <c r="W271" s="874"/>
    </row>
    <row r="272" spans="1:23" s="878" customFormat="1">
      <c r="A272" s="879"/>
      <c r="B272" s="880" t="s">
        <v>723</v>
      </c>
      <c r="C272" s="881"/>
      <c r="D272" s="882">
        <f>SUM(D265:D270)</f>
        <v>0</v>
      </c>
      <c r="E272" s="882">
        <f>SUM(E265:E270)</f>
        <v>0</v>
      </c>
      <c r="F272" s="882"/>
      <c r="G272" s="882">
        <f>SUM(G265:G270)</f>
        <v>0</v>
      </c>
      <c r="H272" s="883"/>
      <c r="I272" s="883">
        <f>V276</f>
        <v>0</v>
      </c>
      <c r="J272" s="883"/>
      <c r="K272" s="883"/>
      <c r="L272" s="882">
        <f>ROUND(SUM(L265:L271),0)</f>
        <v>0</v>
      </c>
      <c r="M272" s="882" t="e">
        <f>ROUND(SUM(M265:M271),0)</f>
        <v>#REF!</v>
      </c>
      <c r="N272" s="882">
        <f>ROUND(SUM(N265:N271),0)</f>
        <v>0</v>
      </c>
      <c r="O272" s="882">
        <f>ROUND(SUM(O265:O271),0)</f>
        <v>0</v>
      </c>
      <c r="P272" s="882"/>
      <c r="Q272" s="877"/>
      <c r="R272" s="865"/>
      <c r="S272" s="861"/>
      <c r="T272" s="888"/>
      <c r="U272" s="866"/>
      <c r="V272" s="858">
        <f t="shared" si="50"/>
        <v>0</v>
      </c>
      <c r="W272" s="874"/>
    </row>
    <row r="273" spans="1:23" s="833" customFormat="1">
      <c r="A273" s="829"/>
      <c r="B273" s="829"/>
      <c r="C273" s="829"/>
      <c r="D273" s="829"/>
      <c r="E273" s="829"/>
      <c r="F273" s="829"/>
      <c r="G273" s="829"/>
      <c r="H273" s="829"/>
      <c r="I273" s="829"/>
      <c r="J273" s="829"/>
      <c r="K273" s="829"/>
      <c r="L273" s="829"/>
      <c r="M273" s="829"/>
      <c r="N273" s="829"/>
      <c r="O273" s="829"/>
      <c r="P273" s="829"/>
      <c r="Q273" s="877"/>
      <c r="R273" s="930"/>
      <c r="S273" s="861"/>
      <c r="T273" s="888"/>
      <c r="U273" s="866"/>
      <c r="V273" s="858">
        <f t="shared" si="50"/>
        <v>0</v>
      </c>
      <c r="W273" s="874"/>
    </row>
    <row r="274" spans="1:23">
      <c r="L274" s="837">
        <f>L272-V284</f>
        <v>0</v>
      </c>
      <c r="Q274" s="877"/>
      <c r="R274" s="586"/>
      <c r="S274" s="861"/>
      <c r="T274" s="271"/>
      <c r="U274" s="271"/>
      <c r="V274" s="858">
        <f t="shared" si="50"/>
        <v>0</v>
      </c>
      <c r="W274" s="874"/>
    </row>
    <row r="275" spans="1:23">
      <c r="Q275" s="877"/>
      <c r="R275" s="931"/>
      <c r="S275" s="861"/>
      <c r="T275" s="271"/>
      <c r="U275" s="271"/>
      <c r="V275" s="874"/>
      <c r="W275" s="874"/>
    </row>
    <row r="276" spans="1:23">
      <c r="Q276" s="877"/>
      <c r="R276" s="911"/>
      <c r="S276" s="912"/>
      <c r="T276" s="913"/>
      <c r="U276" s="932"/>
      <c r="V276" s="892">
        <f>SUM(V265:V275)</f>
        <v>0</v>
      </c>
      <c r="W276" s="892">
        <f>SUM(W265:W275)</f>
        <v>0</v>
      </c>
    </row>
    <row r="277" spans="1:23">
      <c r="R277" s="914"/>
      <c r="S277" s="927"/>
      <c r="T277" s="271"/>
      <c r="U277" s="271"/>
      <c r="V277" s="858">
        <f t="shared" ref="V277:V283" si="52">ROUND(T277*U277,0)</f>
        <v>0</v>
      </c>
      <c r="W277" s="858"/>
    </row>
    <row r="278" spans="1:23">
      <c r="R278" s="865"/>
      <c r="S278" s="927"/>
      <c r="T278" s="866"/>
      <c r="U278" s="271"/>
      <c r="V278" s="858">
        <f t="shared" si="52"/>
        <v>0</v>
      </c>
      <c r="W278" s="874"/>
    </row>
    <row r="279" spans="1:23">
      <c r="R279" s="865"/>
      <c r="S279" s="927"/>
      <c r="T279" s="866"/>
      <c r="U279" s="271"/>
      <c r="V279" s="858">
        <f t="shared" si="52"/>
        <v>0</v>
      </c>
      <c r="W279" s="874"/>
    </row>
    <row r="280" spans="1:23">
      <c r="R280" s="865"/>
      <c r="S280" s="927"/>
      <c r="T280" s="866"/>
      <c r="U280" s="866"/>
      <c r="V280" s="858">
        <f t="shared" si="52"/>
        <v>0</v>
      </c>
      <c r="W280" s="874"/>
    </row>
    <row r="281" spans="1:23">
      <c r="R281" s="865"/>
      <c r="S281" s="861"/>
      <c r="T281" s="866"/>
      <c r="U281" s="866"/>
      <c r="V281" s="858">
        <f t="shared" si="52"/>
        <v>0</v>
      </c>
      <c r="W281" s="874"/>
    </row>
    <row r="282" spans="1:23">
      <c r="R282" s="865"/>
      <c r="S282" s="861"/>
      <c r="T282" s="866"/>
      <c r="U282" s="866"/>
      <c r="V282" s="858">
        <f t="shared" si="52"/>
        <v>0</v>
      </c>
      <c r="W282" s="874"/>
    </row>
    <row r="283" spans="1:23">
      <c r="R283" s="888"/>
      <c r="S283" s="861"/>
      <c r="T283" s="866"/>
      <c r="U283" s="866"/>
      <c r="V283" s="858">
        <f t="shared" si="52"/>
        <v>0</v>
      </c>
      <c r="W283" s="874"/>
    </row>
    <row r="284" spans="1:23">
      <c r="R284" s="888"/>
      <c r="S284" s="861"/>
      <c r="T284" s="866"/>
      <c r="U284" s="866"/>
      <c r="V284" s="937">
        <f>SUM(V277:V283)</f>
        <v>0</v>
      </c>
      <c r="W284" s="874"/>
    </row>
    <row r="286" spans="1:23">
      <c r="G286" s="832"/>
      <c r="N286" s="832"/>
    </row>
    <row r="287" spans="1:23">
      <c r="G287" s="832"/>
      <c r="H287" s="832"/>
      <c r="I287" s="832"/>
      <c r="J287" s="832"/>
      <c r="K287" s="832"/>
      <c r="L287" s="832"/>
      <c r="M287" s="832"/>
      <c r="N287" s="832"/>
    </row>
    <row r="288" spans="1:23">
      <c r="G288" s="894"/>
      <c r="N288" s="894"/>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8" customWidth="1"/>
    <col min="2" max="2" width="15.7109375" style="968" customWidth="1"/>
    <col min="3" max="3" width="16.85546875" style="968" customWidth="1"/>
    <col min="4" max="8" width="15.28515625" style="968" customWidth="1"/>
    <col min="9" max="9" width="10.140625" style="968" customWidth="1"/>
    <col min="10" max="10" width="5.85546875" style="968" customWidth="1"/>
    <col min="11" max="16384" width="10.28515625" style="968"/>
  </cols>
  <sheetData>
    <row r="1" spans="1:10" s="940" customFormat="1" ht="15" customHeight="1">
      <c r="A1" s="939" t="s">
        <v>512</v>
      </c>
      <c r="B1" s="939"/>
      <c r="D1" s="941"/>
      <c r="E1" s="941"/>
      <c r="F1" s="1261" t="s">
        <v>735</v>
      </c>
      <c r="G1" s="1261"/>
      <c r="H1" s="1261"/>
      <c r="I1" s="942"/>
      <c r="J1" s="943"/>
    </row>
    <row r="2" spans="1:10" s="940" customFormat="1" ht="29.25" customHeight="1">
      <c r="A2" s="939" t="s">
        <v>736</v>
      </c>
      <c r="B2" s="939"/>
      <c r="D2" s="944"/>
      <c r="E2" s="944"/>
      <c r="F2" s="1262" t="s">
        <v>224</v>
      </c>
      <c r="G2" s="1262"/>
      <c r="H2" s="1262"/>
      <c r="I2" s="942"/>
      <c r="J2" s="796">
        <v>1</v>
      </c>
    </row>
    <row r="3" spans="1:10" s="940" customFormat="1" ht="15">
      <c r="A3" s="945"/>
      <c r="B3" s="946"/>
      <c r="C3" s="944"/>
      <c r="D3" s="944"/>
      <c r="E3" s="944"/>
      <c r="F3" s="1262"/>
      <c r="G3" s="1262"/>
      <c r="H3" s="1262"/>
      <c r="I3" s="942"/>
    </row>
    <row r="4" spans="1:10" s="948" customFormat="1" ht="17.25" customHeight="1">
      <c r="A4" s="1263" t="s">
        <v>737</v>
      </c>
      <c r="B4" s="1263"/>
      <c r="C4" s="1263"/>
      <c r="D4" s="1263"/>
      <c r="E4" s="1263"/>
      <c r="F4" s="1263"/>
      <c r="G4" s="1263"/>
      <c r="H4" s="1263"/>
      <c r="I4" s="947"/>
    </row>
    <row r="5" spans="1:10" s="949" customFormat="1" ht="17.25" customHeight="1">
      <c r="B5" s="950"/>
      <c r="C5" s="951" t="s">
        <v>640</v>
      </c>
      <c r="D5" s="950" t="str">
        <f>IF($J$2&lt;10,"0"&amp;$J$2&amp;"  năm 2016",$J$2&amp;"  năm 2016")</f>
        <v>01  năm 2016</v>
      </c>
      <c r="E5" s="950"/>
      <c r="F5" s="950"/>
      <c r="G5" s="950"/>
      <c r="H5" s="950"/>
      <c r="I5" s="952"/>
    </row>
    <row r="6" spans="1:10" s="949" customFormat="1" ht="17.25" customHeight="1">
      <c r="B6" s="953"/>
      <c r="C6" s="1264" t="s">
        <v>738</v>
      </c>
      <c r="D6" s="1264"/>
      <c r="E6" s="1265" t="s">
        <v>625</v>
      </c>
      <c r="F6" s="1265"/>
      <c r="H6" s="953"/>
      <c r="I6" s="952"/>
    </row>
    <row r="7" spans="1:10" s="956" customFormat="1" ht="9.75" customHeight="1">
      <c r="A7" s="954"/>
      <c r="B7" s="954"/>
      <c r="C7" s="954"/>
      <c r="D7" s="954"/>
      <c r="E7" s="954"/>
      <c r="F7" s="954"/>
      <c r="G7" s="954"/>
      <c r="H7" s="954"/>
      <c r="I7" s="955"/>
    </row>
    <row r="8" spans="1:10" s="958" customFormat="1" ht="17.25" customHeight="1">
      <c r="A8" s="1266" t="s">
        <v>739</v>
      </c>
      <c r="B8" s="1267" t="s">
        <v>740</v>
      </c>
      <c r="C8" s="1267" t="s">
        <v>741</v>
      </c>
      <c r="D8" s="1267"/>
      <c r="E8" s="1267"/>
      <c r="F8" s="1267"/>
      <c r="G8" s="1267"/>
      <c r="H8" s="1267"/>
      <c r="I8" s="957"/>
    </row>
    <row r="9" spans="1:10" s="961" customFormat="1" ht="28.5">
      <c r="A9" s="1266"/>
      <c r="B9" s="1267"/>
      <c r="C9" s="959" t="s">
        <v>742</v>
      </c>
      <c r="D9" s="959" t="s">
        <v>743</v>
      </c>
      <c r="E9" s="959" t="s">
        <v>744</v>
      </c>
      <c r="F9" s="959" t="s">
        <v>745</v>
      </c>
      <c r="G9" s="959" t="s">
        <v>746</v>
      </c>
      <c r="H9" s="959" t="s">
        <v>747</v>
      </c>
      <c r="I9" s="960"/>
    </row>
    <row r="10" spans="1:10" s="964" customFormat="1" ht="15">
      <c r="A10" s="962" t="s">
        <v>2</v>
      </c>
      <c r="B10" s="963">
        <v>1</v>
      </c>
      <c r="C10" s="963">
        <v>2</v>
      </c>
      <c r="D10" s="963">
        <v>3</v>
      </c>
      <c r="E10" s="963">
        <v>4</v>
      </c>
      <c r="F10" s="963">
        <v>5</v>
      </c>
      <c r="G10" s="963">
        <v>6</v>
      </c>
      <c r="H10" s="963">
        <v>7</v>
      </c>
      <c r="I10" s="942"/>
    </row>
    <row r="11" spans="1:10" s="949" customFormat="1" ht="15">
      <c r="A11" s="965" t="s">
        <v>748</v>
      </c>
      <c r="B11" s="966">
        <f>ROUND(SUM(C11:H11),0)</f>
        <v>0</v>
      </c>
      <c r="C11" s="966">
        <v>0</v>
      </c>
      <c r="D11" s="966">
        <v>0</v>
      </c>
      <c r="E11" s="966">
        <v>0</v>
      </c>
      <c r="F11" s="966">
        <v>0</v>
      </c>
      <c r="G11" s="966">
        <v>0</v>
      </c>
      <c r="H11" s="966">
        <v>0</v>
      </c>
      <c r="I11" s="952"/>
    </row>
    <row r="12" spans="1:10" s="949" customFormat="1" ht="15">
      <c r="A12" s="965" t="s">
        <v>749</v>
      </c>
      <c r="B12" s="966">
        <f ca="1">ROUND(SUM(C12:H12),0)</f>
        <v>0</v>
      </c>
      <c r="C12" s="966">
        <f ca="1">IF(ISNA(VLOOKUP($E6,INDIRECT("DSSP"&amp;$J$2),6,0)),0,VLOOKUP($E6,INDIRECT("DSSP"&amp;$J$2),6,0))</f>
        <v>0</v>
      </c>
      <c r="D12" s="966">
        <f ca="1">IF(ISNA(VLOOKUP($E6,INDIRECT("DSSP"&amp;$J$2),7,0)),0,VLOOKUP($E6,INDIRECT("DSSP"&amp;$J$2),7,0))</f>
        <v>0</v>
      </c>
      <c r="E12" s="966">
        <f ca="1">IF(ISNA(VLOOKUP($E6,INDIRECT("DSSP"&amp;$J$2),8,0)),0,VLOOKUP($E6,INDIRECT("DSSP"&amp;$J$2),8,0))</f>
        <v>0</v>
      </c>
      <c r="F12" s="966">
        <f ca="1">IF(ISNA(VLOOKUP($E6,INDIRECT("DSSP"&amp;$J$2),9,0)),0,VLOOKUP($E6,INDIRECT("DSSP"&amp;$J$2),9,0))</f>
        <v>0</v>
      </c>
      <c r="G12" s="966">
        <f ca="1">IF(ISNA(VLOOKUP($E6,INDIRECT("DSSP"&amp;$J$2),10,0)),0,VLOOKUP($E6,INDIRECT("DSSP"&amp;$J$2),10,0))</f>
        <v>0</v>
      </c>
      <c r="H12" s="966">
        <f ca="1">IF(ISNA(VLOOKUP($E6,INDIRECT("DSSP"&amp;$J$2),11,0)),0,VLOOKUP($E6,INDIRECT("DSSP"&amp;$J$2),11,0))</f>
        <v>0</v>
      </c>
      <c r="I12" s="952"/>
    </row>
    <row r="13" spans="1:10" s="949" customFormat="1" ht="15">
      <c r="A13" s="965" t="s">
        <v>750</v>
      </c>
      <c r="B13" s="966">
        <f ca="1">ROUND(IF(ISNA(VLOOKUP($E6,INDIRECT("DSSP"&amp;$J$2),13,0)),0,VLOOKUP($E6,INDIRECT("DSSP"&amp;$J$2),13,0)),0)</f>
        <v>0</v>
      </c>
      <c r="C13" s="966">
        <f t="shared" ref="C13:H13" ca="1" si="0">C12</f>
        <v>0</v>
      </c>
      <c r="D13" s="966">
        <f t="shared" ca="1" si="0"/>
        <v>0</v>
      </c>
      <c r="E13" s="966">
        <f t="shared" ca="1" si="0"/>
        <v>0</v>
      </c>
      <c r="F13" s="966">
        <f t="shared" ca="1" si="0"/>
        <v>0</v>
      </c>
      <c r="G13" s="966">
        <f t="shared" ca="1" si="0"/>
        <v>0</v>
      </c>
      <c r="H13" s="966">
        <f t="shared" ca="1" si="0"/>
        <v>0</v>
      </c>
      <c r="I13" s="952"/>
    </row>
    <row r="14" spans="1:10" s="949" customFormat="1" ht="15">
      <c r="A14" s="965" t="s">
        <v>751</v>
      </c>
      <c r="B14" s="966">
        <f ca="1">B12-B13</f>
        <v>0</v>
      </c>
      <c r="C14" s="966">
        <f t="shared" ref="C14:H14" ca="1" si="1">C12-C13</f>
        <v>0</v>
      </c>
      <c r="D14" s="966">
        <f t="shared" ca="1" si="1"/>
        <v>0</v>
      </c>
      <c r="E14" s="966">
        <f t="shared" ca="1" si="1"/>
        <v>0</v>
      </c>
      <c r="F14" s="966">
        <f t="shared" ca="1" si="1"/>
        <v>0</v>
      </c>
      <c r="G14" s="966">
        <f t="shared" ca="1" si="1"/>
        <v>0</v>
      </c>
      <c r="H14" s="966">
        <f t="shared" ca="1" si="1"/>
        <v>0</v>
      </c>
      <c r="I14" s="952"/>
    </row>
    <row r="15" spans="1:10" s="949" customFormat="1" ht="15">
      <c r="B15" s="952"/>
      <c r="C15" s="952"/>
      <c r="D15" s="952"/>
      <c r="E15" s="952"/>
      <c r="F15" s="952"/>
      <c r="G15" s="952"/>
      <c r="H15" s="952"/>
      <c r="I15" s="952"/>
    </row>
    <row r="16" spans="1:10" s="949" customFormat="1" ht="15">
      <c r="B16" s="952"/>
      <c r="C16" s="952"/>
      <c r="D16" s="952"/>
      <c r="E16" s="1260" t="str">
        <f xml:space="preserve"> IF(OR($J$2=1,$J$2=4,$J$2=6,$J$2=9,$J$2=11),"Ngày  30  tháng  "&amp;$J$2&amp;"  năm 2016",IF(OR($J$2=3,$J$2=5,$J$2=7,$J$2=8,$J$2=10,$J$2=12),"Ngày  31  tháng  "&amp;$J$2&amp;"  năm 2016","Ngày  29  tháng  "&amp;$J$2&amp;"  năm 2016"))</f>
        <v>Ngày  30  tháng  1  năm 2016</v>
      </c>
      <c r="F16" s="1260"/>
      <c r="G16" s="1260"/>
      <c r="H16" s="1260"/>
      <c r="I16" s="952"/>
    </row>
    <row r="17" spans="1:9" s="949" customFormat="1" ht="15">
      <c r="A17" s="967" t="s">
        <v>752</v>
      </c>
      <c r="B17" s="952"/>
      <c r="C17" s="952"/>
      <c r="D17" s="952"/>
      <c r="E17" s="1260" t="s">
        <v>15</v>
      </c>
      <c r="F17" s="1260"/>
      <c r="G17" s="1260"/>
      <c r="H17" s="1260"/>
      <c r="I17" s="952"/>
    </row>
    <row r="19" spans="1:9" ht="15">
      <c r="E19" s="969"/>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93" customWidth="1"/>
    <col min="2" max="2" width="11" style="493" customWidth="1"/>
    <col min="3" max="3" width="22.140625" style="493" customWidth="1"/>
    <col min="4" max="4" width="6.7109375" style="493" customWidth="1"/>
    <col min="5" max="5" width="6.42578125" style="493" customWidth="1"/>
    <col min="6" max="6" width="8.85546875" style="493" customWidth="1"/>
    <col min="7" max="7" width="20.7109375" style="493" customWidth="1"/>
    <col min="8" max="11" width="9.140625" style="493"/>
    <col min="12" max="12" width="10.85546875" style="493" customWidth="1"/>
    <col min="13" max="16384" width="9.140625" style="493"/>
  </cols>
  <sheetData>
    <row r="1" spans="1:12">
      <c r="A1" s="134" t="s">
        <v>213</v>
      </c>
      <c r="D1" s="1270"/>
      <c r="E1" s="1270"/>
      <c r="F1" s="1270"/>
      <c r="G1" s="1270"/>
      <c r="I1" s="1270" t="s">
        <v>363</v>
      </c>
      <c r="J1" s="1270"/>
      <c r="K1" s="1270"/>
      <c r="L1" s="1270"/>
    </row>
    <row r="2" spans="1:12">
      <c r="A2" s="448" t="s">
        <v>214</v>
      </c>
      <c r="D2" s="1270"/>
      <c r="E2" s="1270"/>
      <c r="F2" s="1270"/>
      <c r="G2" s="1270"/>
      <c r="I2" s="1270" t="s">
        <v>344</v>
      </c>
      <c r="J2" s="1270"/>
      <c r="K2" s="1270"/>
      <c r="L2" s="1270"/>
    </row>
    <row r="3" spans="1:12">
      <c r="D3" s="1270"/>
      <c r="E3" s="1270"/>
      <c r="F3" s="1270"/>
      <c r="G3" s="1270"/>
      <c r="I3" s="1270" t="s">
        <v>364</v>
      </c>
      <c r="J3" s="1270"/>
      <c r="K3" s="1270"/>
      <c r="L3" s="1270"/>
    </row>
    <row r="8" spans="1:12" ht="40.5" customHeight="1">
      <c r="H8" s="494"/>
      <c r="I8" s="494"/>
      <c r="J8" s="494"/>
    </row>
    <row r="10" spans="1:12" ht="29.25" customHeight="1">
      <c r="A10" s="1268" t="s">
        <v>147</v>
      </c>
      <c r="B10" s="1268"/>
      <c r="C10" s="1268"/>
      <c r="D10" s="1268"/>
      <c r="E10" s="1268"/>
      <c r="F10" s="1268"/>
      <c r="G10" s="1268"/>
    </row>
    <row r="11" spans="1:12" ht="6" customHeight="1">
      <c r="H11" s="495"/>
      <c r="I11" s="495"/>
    </row>
    <row r="12" spans="1:12" ht="20.25">
      <c r="A12" s="1269" t="s">
        <v>365</v>
      </c>
      <c r="B12" s="1269"/>
      <c r="C12" s="1269"/>
      <c r="D12" s="1269"/>
      <c r="E12" s="1269"/>
      <c r="F12" s="1269"/>
      <c r="G12" s="1269"/>
    </row>
    <row r="13" spans="1:12" ht="64.5" customHeight="1"/>
    <row r="16" spans="1:12" ht="22.5" customHeight="1">
      <c r="B16" s="496" t="s">
        <v>366</v>
      </c>
    </row>
    <row r="17" spans="2:2" ht="22.5" customHeight="1">
      <c r="B17" s="496" t="s">
        <v>367</v>
      </c>
    </row>
    <row r="18" spans="2:2" ht="22.5" customHeight="1">
      <c r="B18" s="496"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2016-08-02T07:37:15Z</cp:lastPrinted>
  <dcterms:created xsi:type="dcterms:W3CDTF">1996-10-14T23:33:28Z</dcterms:created>
  <dcterms:modified xsi:type="dcterms:W3CDTF">2016-08-02T08:13:45Z</dcterms:modified>
</cp:coreProperties>
</file>