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KDP---KNA\0310686815\2016\"/>
    </mc:Choice>
  </mc:AlternateContent>
  <bookViews>
    <workbookView xWindow="120" yWindow="450" windowWidth="15150" windowHeight="834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TH!$B$10:$AJ$21</definedName>
    <definedName name="DS_01">'L - 1'!$B$9:$T$21</definedName>
    <definedName name="DS_02">'L - 2'!$B$9:$T$21</definedName>
    <definedName name="DS_03">'L - 3'!$B$9:$T$21</definedName>
    <definedName name="DS_04">'L - 4'!$B$9:$T$18</definedName>
    <definedName name="DS_05">'L - 5'!$B$9:$T$18</definedName>
    <definedName name="DS_06">'L - 6'!$B$9:$T$18</definedName>
    <definedName name="DS_07">'L - 7'!$B$9:$T$18</definedName>
    <definedName name="DS_08">'L - 8'!$B$9:$T$18</definedName>
    <definedName name="DS_09">'L - 9'!$B$9:$T$18</definedName>
    <definedName name="DS_10">'L - 10'!$B$9:$T$18</definedName>
    <definedName name="DS_11">'L - 11'!$B$9:$T$18</definedName>
    <definedName name="DS_12">'L - 12'!$B$9:$T$18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-1'!$A$1:$AS$45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-2'!$A$1:$AQ$45</definedName>
    <definedName name="_xlnm.Print_Area" localSheetId="5">'CC -3'!$A$1:$AS$45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AH19" i="15" l="1"/>
  <c r="A11" i="15"/>
  <c r="A12" i="15"/>
  <c r="A13" i="15"/>
  <c r="A14" i="15"/>
  <c r="A15" i="15"/>
  <c r="A16" i="15"/>
  <c r="A10" i="15"/>
  <c r="S11" i="15"/>
  <c r="S14" i="15"/>
  <c r="S16" i="15"/>
  <c r="S17" i="15"/>
  <c r="S18" i="15"/>
  <c r="Q11" i="15"/>
  <c r="Q14" i="15"/>
  <c r="Q16" i="15"/>
  <c r="Q17" i="15"/>
  <c r="Q18" i="15"/>
  <c r="O17" i="15"/>
  <c r="O18" i="15"/>
  <c r="M18" i="15"/>
  <c r="K17" i="15"/>
  <c r="K18" i="15"/>
  <c r="M17" i="15"/>
  <c r="U11" i="15"/>
  <c r="U14" i="15"/>
  <c r="U16" i="15"/>
  <c r="U17" i="15"/>
  <c r="U18" i="15"/>
  <c r="W11" i="15"/>
  <c r="W14" i="15"/>
  <c r="W16" i="15"/>
  <c r="W17" i="15"/>
  <c r="W18" i="15"/>
  <c r="AA17" i="15"/>
  <c r="AA18" i="15"/>
  <c r="Y11" i="15"/>
  <c r="Y14" i="15"/>
  <c r="Y16" i="15"/>
  <c r="Y17" i="15"/>
  <c r="Y18" i="15"/>
  <c r="AA11" i="15"/>
  <c r="AA14" i="15"/>
  <c r="AA16" i="15"/>
  <c r="AC11" i="15"/>
  <c r="AC14" i="15"/>
  <c r="AC16" i="15"/>
  <c r="AC17" i="15"/>
  <c r="AC18" i="15"/>
  <c r="AE11" i="15"/>
  <c r="AE14" i="15"/>
  <c r="AE16" i="15"/>
  <c r="AE17" i="15"/>
  <c r="AE18" i="15"/>
  <c r="AG11" i="15"/>
  <c r="AG14" i="15"/>
  <c r="AG16" i="15"/>
  <c r="AG17" i="15"/>
  <c r="AG18" i="15"/>
  <c r="S20" i="46"/>
  <c r="S20" i="44"/>
  <c r="S20" i="42"/>
  <c r="S20" i="40"/>
  <c r="S20" i="38"/>
  <c r="S20" i="36"/>
  <c r="S20" i="34"/>
  <c r="S20" i="54"/>
  <c r="S20" i="16"/>
  <c r="N17" i="48"/>
  <c r="O17" i="48"/>
  <c r="P17" i="48"/>
  <c r="N18" i="48"/>
  <c r="O18" i="48"/>
  <c r="P18" i="48"/>
  <c r="N19" i="48"/>
  <c r="O19" i="48"/>
  <c r="P19" i="48"/>
  <c r="P16" i="48"/>
  <c r="O16" i="48"/>
  <c r="N16" i="48"/>
  <c r="P15" i="48"/>
  <c r="O15" i="48"/>
  <c r="N15" i="48"/>
  <c r="N11" i="48"/>
  <c r="O11" i="48"/>
  <c r="P11" i="48"/>
  <c r="O10" i="48"/>
  <c r="P10" i="48"/>
  <c r="N10" i="48"/>
  <c r="N17" i="50"/>
  <c r="O17" i="50"/>
  <c r="P17" i="50"/>
  <c r="N18" i="50"/>
  <c r="O18" i="50"/>
  <c r="P18" i="50"/>
  <c r="N19" i="50"/>
  <c r="O19" i="50"/>
  <c r="P19" i="50"/>
  <c r="P16" i="50"/>
  <c r="O16" i="50"/>
  <c r="N16" i="50"/>
  <c r="P15" i="50"/>
  <c r="O15" i="50"/>
  <c r="N15" i="50"/>
  <c r="N11" i="50"/>
  <c r="O11" i="50"/>
  <c r="P11" i="50"/>
  <c r="O10" i="50"/>
  <c r="P10" i="50"/>
  <c r="N10" i="50"/>
  <c r="N17" i="52"/>
  <c r="O17" i="52"/>
  <c r="P17" i="52"/>
  <c r="N18" i="52"/>
  <c r="O18" i="52"/>
  <c r="P18" i="52"/>
  <c r="N19" i="52"/>
  <c r="O19" i="52"/>
  <c r="P19" i="52"/>
  <c r="P16" i="52"/>
  <c r="O16" i="52"/>
  <c r="N16" i="52"/>
  <c r="P15" i="52"/>
  <c r="O15" i="52"/>
  <c r="N15" i="52"/>
  <c r="N11" i="52"/>
  <c r="O11" i="52"/>
  <c r="P11" i="52"/>
  <c r="O10" i="52"/>
  <c r="P10" i="52"/>
  <c r="N10" i="52"/>
  <c r="N15" i="54"/>
  <c r="O15" i="54"/>
  <c r="P15" i="54"/>
  <c r="N16" i="54"/>
  <c r="O16" i="54"/>
  <c r="P16" i="54"/>
  <c r="P14" i="54"/>
  <c r="O14" i="54"/>
  <c r="N14" i="54"/>
  <c r="O10" i="54"/>
  <c r="P10" i="54"/>
  <c r="N10" i="54"/>
  <c r="N15" i="16"/>
  <c r="O15" i="16"/>
  <c r="P15" i="16"/>
  <c r="N16" i="16"/>
  <c r="O16" i="16"/>
  <c r="P16" i="16"/>
  <c r="P14" i="16"/>
  <c r="O14" i="16"/>
  <c r="N14" i="16"/>
  <c r="O10" i="16"/>
  <c r="P10" i="16"/>
  <c r="N10" i="16"/>
  <c r="N15" i="34"/>
  <c r="O15" i="34"/>
  <c r="P15" i="34"/>
  <c r="N16" i="34"/>
  <c r="O16" i="34"/>
  <c r="P16" i="34"/>
  <c r="P14" i="34"/>
  <c r="O14" i="34"/>
  <c r="N14" i="34"/>
  <c r="O10" i="34"/>
  <c r="P10" i="34"/>
  <c r="N10" i="34"/>
  <c r="N15" i="36"/>
  <c r="O15" i="36"/>
  <c r="P15" i="36"/>
  <c r="N16" i="36"/>
  <c r="O16" i="36"/>
  <c r="P16" i="36"/>
  <c r="P14" i="36"/>
  <c r="O14" i="36"/>
  <c r="N14" i="36"/>
  <c r="O10" i="36"/>
  <c r="P10" i="36"/>
  <c r="N10" i="36"/>
  <c r="N15" i="38"/>
  <c r="O15" i="38"/>
  <c r="P15" i="38"/>
  <c r="N16" i="38"/>
  <c r="O16" i="38"/>
  <c r="P16" i="38"/>
  <c r="P14" i="38"/>
  <c r="O14" i="38"/>
  <c r="N14" i="38"/>
  <c r="O10" i="38"/>
  <c r="P10" i="38"/>
  <c r="N10" i="38"/>
  <c r="N15" i="40"/>
  <c r="O15" i="40"/>
  <c r="P15" i="40"/>
  <c r="N16" i="40"/>
  <c r="O16" i="40"/>
  <c r="P16" i="40"/>
  <c r="P14" i="40"/>
  <c r="O14" i="40"/>
  <c r="N14" i="40"/>
  <c r="O10" i="40"/>
  <c r="P10" i="40"/>
  <c r="N10" i="40"/>
  <c r="N15" i="42"/>
  <c r="O15" i="42"/>
  <c r="P15" i="42"/>
  <c r="N16" i="42"/>
  <c r="O16" i="42"/>
  <c r="P16" i="42"/>
  <c r="P14" i="42"/>
  <c r="O14" i="42"/>
  <c r="N14" i="42"/>
  <c r="O10" i="42"/>
  <c r="P10" i="42"/>
  <c r="N10" i="42"/>
  <c r="N15" i="44"/>
  <c r="O15" i="44"/>
  <c r="P15" i="44"/>
  <c r="N16" i="44"/>
  <c r="O16" i="44"/>
  <c r="P16" i="44"/>
  <c r="P14" i="44"/>
  <c r="O14" i="44"/>
  <c r="N14" i="44"/>
  <c r="O10" i="44"/>
  <c r="P10" i="44"/>
  <c r="N10" i="44"/>
  <c r="N15" i="46"/>
  <c r="O15" i="46"/>
  <c r="P15" i="46"/>
  <c r="N16" i="46"/>
  <c r="O16" i="46"/>
  <c r="P16" i="46"/>
  <c r="P14" i="46"/>
  <c r="O14" i="46"/>
  <c r="N14" i="46"/>
  <c r="O10" i="46"/>
  <c r="P10" i="46"/>
  <c r="N10" i="46"/>
  <c r="S23" i="52"/>
  <c r="S23" i="50"/>
  <c r="S23" i="48"/>
  <c r="AF20" i="15" a="1"/>
  <c r="AF20" i="15" s="1"/>
  <c r="AD20" i="15" a="1"/>
  <c r="AD20" i="15" s="1"/>
  <c r="AB20" i="15" a="1"/>
  <c r="AB20" i="15" s="1"/>
  <c r="Z20" i="15" a="1"/>
  <c r="Z20" i="15" s="1"/>
  <c r="X20" i="15" a="1"/>
  <c r="X20" i="15" s="1"/>
  <c r="V20" i="15" a="1"/>
  <c r="V20" i="15" s="1"/>
  <c r="T20" i="15" a="1"/>
  <c r="T20" i="15" s="1"/>
  <c r="R20" i="15" a="1"/>
  <c r="R20" i="15" s="1"/>
  <c r="P20" i="15" a="1"/>
  <c r="P20" i="15" s="1"/>
  <c r="N20" i="15" a="1"/>
  <c r="N20" i="15" s="1"/>
  <c r="L20" i="15" a="1"/>
  <c r="L20" i="15"/>
  <c r="K19" i="15"/>
  <c r="AG19" i="15"/>
  <c r="M19" i="15"/>
  <c r="O19" i="15"/>
  <c r="Q19" i="15"/>
  <c r="S19" i="15"/>
  <c r="U19" i="15"/>
  <c r="W19" i="15"/>
  <c r="Y19" i="15"/>
  <c r="AA19" i="15"/>
  <c r="AC19" i="15"/>
  <c r="AE19" i="15"/>
  <c r="AH18" i="15" l="1"/>
  <c r="AH17" i="15"/>
  <c r="R15" i="46" l="1"/>
  <c r="E15" i="46"/>
  <c r="D15" i="46"/>
  <c r="C15" i="46"/>
  <c r="R16" i="46"/>
  <c r="E16" i="46"/>
  <c r="D16" i="46"/>
  <c r="C16" i="46"/>
  <c r="AL14" i="45"/>
  <c r="D14" i="45"/>
  <c r="C14" i="45"/>
  <c r="AL16" i="45"/>
  <c r="D16" i="45"/>
  <c r="C16" i="45"/>
  <c r="R15" i="44"/>
  <c r="E15" i="44"/>
  <c r="D15" i="44"/>
  <c r="C15" i="44"/>
  <c r="R16" i="44"/>
  <c r="E16" i="44"/>
  <c r="D16" i="44"/>
  <c r="C16" i="44"/>
  <c r="AL14" i="43"/>
  <c r="D14" i="43"/>
  <c r="C14" i="43"/>
  <c r="AL16" i="43"/>
  <c r="D16" i="43"/>
  <c r="C16" i="43"/>
  <c r="R15" i="42"/>
  <c r="E15" i="42"/>
  <c r="D15" i="42"/>
  <c r="C15" i="42"/>
  <c r="R16" i="42"/>
  <c r="E16" i="42"/>
  <c r="D16" i="42"/>
  <c r="C16" i="42"/>
  <c r="AL14" i="41"/>
  <c r="D14" i="41"/>
  <c r="C14" i="41"/>
  <c r="AL16" i="41"/>
  <c r="D16" i="41"/>
  <c r="C16" i="41"/>
  <c r="R15" i="40"/>
  <c r="E15" i="40"/>
  <c r="D15" i="40"/>
  <c r="C15" i="40"/>
  <c r="R16" i="40"/>
  <c r="E16" i="40"/>
  <c r="D16" i="40"/>
  <c r="C16" i="40"/>
  <c r="AL14" i="39"/>
  <c r="D14" i="39"/>
  <c r="C14" i="39"/>
  <c r="AL16" i="39"/>
  <c r="D16" i="39"/>
  <c r="C16" i="39"/>
  <c r="R15" i="38"/>
  <c r="E15" i="38"/>
  <c r="D15" i="38"/>
  <c r="C15" i="38"/>
  <c r="R16" i="38"/>
  <c r="E16" i="38"/>
  <c r="D16" i="38"/>
  <c r="C16" i="38"/>
  <c r="AL14" i="37"/>
  <c r="D14" i="37"/>
  <c r="C14" i="37"/>
  <c r="AL16" i="37"/>
  <c r="D16" i="37"/>
  <c r="C16" i="37"/>
  <c r="R15" i="36"/>
  <c r="E15" i="36"/>
  <c r="D15" i="36"/>
  <c r="C15" i="36"/>
  <c r="R16" i="36"/>
  <c r="E16" i="36"/>
  <c r="D16" i="36"/>
  <c r="C16" i="36"/>
  <c r="AL14" i="35"/>
  <c r="D14" i="35"/>
  <c r="C14" i="35"/>
  <c r="AL16" i="35"/>
  <c r="D16" i="35"/>
  <c r="C16" i="35"/>
  <c r="R15" i="34"/>
  <c r="E15" i="34"/>
  <c r="D15" i="34"/>
  <c r="C15" i="34"/>
  <c r="R16" i="34"/>
  <c r="E16" i="34"/>
  <c r="D16" i="34"/>
  <c r="C16" i="34"/>
  <c r="AL14" i="33"/>
  <c r="D14" i="33"/>
  <c r="C14" i="33"/>
  <c r="AL16" i="33"/>
  <c r="D16" i="33"/>
  <c r="C16" i="33"/>
  <c r="R15" i="16"/>
  <c r="E15" i="16"/>
  <c r="D15" i="16"/>
  <c r="C15" i="16"/>
  <c r="R16" i="16"/>
  <c r="E16" i="16"/>
  <c r="D16" i="16"/>
  <c r="C16" i="16"/>
  <c r="AL14" i="14"/>
  <c r="D14" i="14"/>
  <c r="C14" i="14"/>
  <c r="AL16" i="14"/>
  <c r="D16" i="14"/>
  <c r="C16" i="14"/>
  <c r="C15" i="54" l="1"/>
  <c r="D15" i="54"/>
  <c r="E15" i="54"/>
  <c r="R15" i="54"/>
  <c r="C16" i="54"/>
  <c r="D16" i="54"/>
  <c r="E16" i="54"/>
  <c r="R16" i="54"/>
  <c r="AK14" i="53"/>
  <c r="D14" i="53"/>
  <c r="C14" i="53"/>
  <c r="AK16" i="53"/>
  <c r="D16" i="53"/>
  <c r="C16" i="53"/>
  <c r="C16" i="52"/>
  <c r="D16" i="52"/>
  <c r="E16" i="52"/>
  <c r="R16" i="52"/>
  <c r="C17" i="52"/>
  <c r="D17" i="52"/>
  <c r="E17" i="52"/>
  <c r="R17" i="52"/>
  <c r="C18" i="52"/>
  <c r="D18" i="52"/>
  <c r="E18" i="52"/>
  <c r="R18" i="52"/>
  <c r="C19" i="52"/>
  <c r="D19" i="52"/>
  <c r="E19" i="52"/>
  <c r="R19" i="52"/>
  <c r="C11" i="52"/>
  <c r="D11" i="52"/>
  <c r="E11" i="52"/>
  <c r="R11" i="52"/>
  <c r="AL16" i="51"/>
  <c r="D16" i="51"/>
  <c r="C16" i="51"/>
  <c r="AL20" i="51"/>
  <c r="D20" i="51"/>
  <c r="C20" i="51"/>
  <c r="AL18" i="51"/>
  <c r="D18" i="51"/>
  <c r="C18" i="51"/>
  <c r="AL11" i="51"/>
  <c r="D11" i="51"/>
  <c r="C11" i="51"/>
  <c r="C16" i="50"/>
  <c r="D16" i="50"/>
  <c r="E16" i="50"/>
  <c r="R16" i="50"/>
  <c r="C17" i="50"/>
  <c r="D17" i="50"/>
  <c r="E17" i="50"/>
  <c r="R17" i="50"/>
  <c r="C18" i="50"/>
  <c r="D18" i="50"/>
  <c r="E18" i="50"/>
  <c r="R18" i="50"/>
  <c r="C19" i="50"/>
  <c r="D19" i="50"/>
  <c r="E19" i="50"/>
  <c r="R19" i="50"/>
  <c r="C11" i="50"/>
  <c r="D11" i="50"/>
  <c r="E11" i="50"/>
  <c r="R11" i="50"/>
  <c r="AJ16" i="49"/>
  <c r="D16" i="49"/>
  <c r="C16" i="49"/>
  <c r="AJ20" i="49"/>
  <c r="D20" i="49"/>
  <c r="C20" i="49"/>
  <c r="AJ18" i="49"/>
  <c r="D18" i="49"/>
  <c r="C18" i="49"/>
  <c r="AJ11" i="49"/>
  <c r="D11" i="49"/>
  <c r="C11" i="49"/>
  <c r="R17" i="48"/>
  <c r="E17" i="48"/>
  <c r="D17" i="48"/>
  <c r="C17" i="48"/>
  <c r="R16" i="48"/>
  <c r="E16" i="48"/>
  <c r="D16" i="48"/>
  <c r="C16" i="48"/>
  <c r="R15" i="48"/>
  <c r="E15" i="48"/>
  <c r="D15" i="48"/>
  <c r="C15" i="48"/>
  <c r="AL16" i="47"/>
  <c r="D16" i="47"/>
  <c r="C16" i="47"/>
  <c r="AL20" i="47"/>
  <c r="D20" i="47"/>
  <c r="C20" i="47"/>
  <c r="AL18" i="47"/>
  <c r="D18" i="47"/>
  <c r="C18" i="47"/>
  <c r="AL11" i="47"/>
  <c r="D11" i="47"/>
  <c r="C11" i="47"/>
  <c r="C11" i="48"/>
  <c r="D11" i="48"/>
  <c r="E11" i="48"/>
  <c r="R11" i="48"/>
  <c r="A17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AL12" i="33"/>
  <c r="D12" i="33"/>
  <c r="C12" i="33"/>
  <c r="AL12" i="14"/>
  <c r="D12" i="14"/>
  <c r="C12" i="14"/>
  <c r="AK12" i="53"/>
  <c r="D12" i="53"/>
  <c r="C12" i="53"/>
  <c r="C22" i="51"/>
  <c r="AL22" i="51"/>
  <c r="D22" i="51"/>
  <c r="AL14" i="51"/>
  <c r="D14" i="51"/>
  <c r="C14" i="51"/>
  <c r="R14" i="54"/>
  <c r="O18" i="54"/>
  <c r="E14" i="54"/>
  <c r="D14" i="54"/>
  <c r="C14" i="54"/>
  <c r="R10" i="54"/>
  <c r="E10" i="54"/>
  <c r="D10" i="54"/>
  <c r="C10" i="54"/>
  <c r="E4" i="54"/>
  <c r="AK9" i="53"/>
  <c r="D9" i="53"/>
  <c r="C9" i="53"/>
  <c r="F5" i="53"/>
  <c r="F6" i="53" s="1"/>
  <c r="S1" i="53"/>
  <c r="R15" i="52"/>
  <c r="R21" i="52" s="1"/>
  <c r="P21" i="52"/>
  <c r="E15" i="52"/>
  <c r="E21" i="52" s="1"/>
  <c r="D15" i="52"/>
  <c r="C15" i="52"/>
  <c r="R10" i="52"/>
  <c r="E10" i="52"/>
  <c r="D10" i="52"/>
  <c r="C10" i="52"/>
  <c r="E4" i="52"/>
  <c r="AL9" i="51"/>
  <c r="D9" i="51"/>
  <c r="C9" i="51"/>
  <c r="F5" i="51"/>
  <c r="F6" i="51" s="1"/>
  <c r="S1" i="51"/>
  <c r="R15" i="50"/>
  <c r="E15" i="50"/>
  <c r="D15" i="50"/>
  <c r="C15" i="50"/>
  <c r="R10" i="50"/>
  <c r="E10" i="50"/>
  <c r="D10" i="50"/>
  <c r="C10" i="50"/>
  <c r="E4" i="50"/>
  <c r="AJ22" i="49"/>
  <c r="D22" i="49"/>
  <c r="C22" i="49"/>
  <c r="AJ14" i="49"/>
  <c r="D14" i="49"/>
  <c r="C14" i="49"/>
  <c r="AJ9" i="49"/>
  <c r="D9" i="49"/>
  <c r="C9" i="49"/>
  <c r="F5" i="49"/>
  <c r="F6" i="49" s="1"/>
  <c r="S1" i="49"/>
  <c r="R19" i="48"/>
  <c r="E19" i="48"/>
  <c r="D19" i="48"/>
  <c r="C19" i="48"/>
  <c r="R18" i="48"/>
  <c r="E18" i="48"/>
  <c r="D18" i="48"/>
  <c r="C18" i="48"/>
  <c r="R10" i="48"/>
  <c r="R13" i="48" s="1"/>
  <c r="P13" i="48"/>
  <c r="O13" i="48"/>
  <c r="E10" i="48"/>
  <c r="E13" i="48" s="1"/>
  <c r="D10" i="48"/>
  <c r="C10" i="48"/>
  <c r="E4" i="48"/>
  <c r="AL22" i="47"/>
  <c r="D22" i="47"/>
  <c r="C22" i="47"/>
  <c r="AL14" i="47"/>
  <c r="D14" i="47"/>
  <c r="C14" i="47"/>
  <c r="AL9" i="47"/>
  <c r="D9" i="47"/>
  <c r="C9" i="47"/>
  <c r="F5" i="47"/>
  <c r="F6" i="47" s="1"/>
  <c r="S1" i="47"/>
  <c r="N13" i="48" l="1"/>
  <c r="E21" i="48"/>
  <c r="E21" i="50"/>
  <c r="R21" i="50"/>
  <c r="E18" i="54"/>
  <c r="R18" i="54"/>
  <c r="N18" i="54"/>
  <c r="D1" i="50"/>
  <c r="R13" i="52"/>
  <c r="N13" i="50"/>
  <c r="P12" i="54"/>
  <c r="N13" i="52"/>
  <c r="O12" i="54"/>
  <c r="N12" i="54"/>
  <c r="R12" i="54"/>
  <c r="P18" i="54"/>
  <c r="D1" i="52"/>
  <c r="D1" i="48"/>
  <c r="D1" i="54"/>
  <c r="O13" i="52"/>
  <c r="N21" i="52"/>
  <c r="G5" i="53"/>
  <c r="E12" i="54"/>
  <c r="R21" i="48"/>
  <c r="R13" i="50"/>
  <c r="P21" i="50"/>
  <c r="P13" i="52"/>
  <c r="O21" i="52"/>
  <c r="O13" i="50"/>
  <c r="N21" i="50"/>
  <c r="G5" i="51"/>
  <c r="E13" i="52"/>
  <c r="P21" i="48"/>
  <c r="P13" i="50"/>
  <c r="O21" i="50"/>
  <c r="N21" i="48"/>
  <c r="G5" i="49"/>
  <c r="E13" i="50"/>
  <c r="O21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R14" i="46"/>
  <c r="E14" i="46"/>
  <c r="D14" i="46"/>
  <c r="C14" i="46"/>
  <c r="R10" i="46"/>
  <c r="E10" i="46"/>
  <c r="D10" i="46"/>
  <c r="C10" i="46"/>
  <c r="E4" i="46"/>
  <c r="AL9" i="45"/>
  <c r="D9" i="45"/>
  <c r="C9" i="45"/>
  <c r="F5" i="45"/>
  <c r="G5" i="45" s="1"/>
  <c r="S1" i="45"/>
  <c r="R14" i="44"/>
  <c r="E14" i="44"/>
  <c r="D14" i="44"/>
  <c r="C14" i="44"/>
  <c r="R10" i="44"/>
  <c r="E10" i="44"/>
  <c r="D10" i="44"/>
  <c r="C10" i="44"/>
  <c r="E4" i="44"/>
  <c r="AL9" i="43"/>
  <c r="D9" i="43"/>
  <c r="C9" i="43"/>
  <c r="F5" i="43"/>
  <c r="G5" i="43" s="1"/>
  <c r="S1" i="43"/>
  <c r="R14" i="42"/>
  <c r="E14" i="42"/>
  <c r="D14" i="42"/>
  <c r="C14" i="42"/>
  <c r="R10" i="42"/>
  <c r="E10" i="42"/>
  <c r="D10" i="42"/>
  <c r="C10" i="42"/>
  <c r="E4" i="42"/>
  <c r="AL9" i="41"/>
  <c r="D9" i="41"/>
  <c r="C9" i="41"/>
  <c r="F5" i="41"/>
  <c r="G5" i="41" s="1"/>
  <c r="S1" i="41"/>
  <c r="O12" i="42" l="1"/>
  <c r="O12" i="46"/>
  <c r="N12" i="42"/>
  <c r="E12" i="46"/>
  <c r="R12" i="46"/>
  <c r="J5" i="53"/>
  <c r="I6" i="53"/>
  <c r="J5" i="51"/>
  <c r="I6" i="51"/>
  <c r="E12" i="44"/>
  <c r="R12" i="44"/>
  <c r="N12" i="46"/>
  <c r="P12" i="44"/>
  <c r="J5" i="49"/>
  <c r="I6" i="49"/>
  <c r="O12" i="44"/>
  <c r="P12" i="46"/>
  <c r="N12" i="44"/>
  <c r="I6" i="47"/>
  <c r="J5" i="47"/>
  <c r="F6" i="43"/>
  <c r="E18" i="42"/>
  <c r="R18" i="42"/>
  <c r="E18" i="44"/>
  <c r="R18" i="44"/>
  <c r="F6" i="45"/>
  <c r="F6" i="41"/>
  <c r="E18" i="46"/>
  <c r="P18" i="42"/>
  <c r="D1" i="42"/>
  <c r="P18" i="44"/>
  <c r="D1" i="44"/>
  <c r="O18" i="46"/>
  <c r="P18" i="46"/>
  <c r="N18" i="46"/>
  <c r="R18" i="46"/>
  <c r="D1" i="46"/>
  <c r="G6" i="45"/>
  <c r="H5" i="45"/>
  <c r="N18" i="44"/>
  <c r="O18" i="44"/>
  <c r="G6" i="43"/>
  <c r="H5" i="43"/>
  <c r="N18" i="42"/>
  <c r="P12" i="42"/>
  <c r="R12" i="42"/>
  <c r="O18" i="42"/>
  <c r="G6" i="41"/>
  <c r="H5" i="41"/>
  <c r="E12" i="42"/>
  <c r="R14" i="40"/>
  <c r="E14" i="40"/>
  <c r="D14" i="40"/>
  <c r="C14" i="40"/>
  <c r="R10" i="40"/>
  <c r="E10" i="40"/>
  <c r="D10" i="40"/>
  <c r="C10" i="40"/>
  <c r="E4" i="40"/>
  <c r="AL9" i="39"/>
  <c r="D9" i="39"/>
  <c r="C9" i="39"/>
  <c r="F5" i="39"/>
  <c r="G5" i="39" s="1"/>
  <c r="S1" i="39"/>
  <c r="R14" i="38"/>
  <c r="E14" i="38"/>
  <c r="D14" i="38"/>
  <c r="C14" i="38"/>
  <c r="R10" i="38"/>
  <c r="E10" i="38"/>
  <c r="D10" i="38"/>
  <c r="C10" i="38"/>
  <c r="E4" i="38"/>
  <c r="AL9" i="37"/>
  <c r="D9" i="37"/>
  <c r="C9" i="37"/>
  <c r="F5" i="37"/>
  <c r="F6" i="37" s="1"/>
  <c r="S1" i="37"/>
  <c r="R14" i="36"/>
  <c r="E14" i="36"/>
  <c r="D14" i="36"/>
  <c r="C14" i="36"/>
  <c r="R10" i="36"/>
  <c r="E10" i="36"/>
  <c r="D10" i="36"/>
  <c r="C10" i="36"/>
  <c r="E4" i="36"/>
  <c r="AL9" i="35"/>
  <c r="D9" i="35"/>
  <c r="C9" i="35"/>
  <c r="F5" i="35"/>
  <c r="F6" i="35" s="1"/>
  <c r="S1" i="35"/>
  <c r="N12" i="40" l="1"/>
  <c r="O12" i="36"/>
  <c r="O12" i="38"/>
  <c r="O12" i="40"/>
  <c r="N12" i="38"/>
  <c r="D1" i="36"/>
  <c r="J6" i="53"/>
  <c r="K5" i="53"/>
  <c r="J6" i="51"/>
  <c r="K5" i="51"/>
  <c r="J6" i="49"/>
  <c r="K5" i="49"/>
  <c r="J6" i="47"/>
  <c r="K5" i="47"/>
  <c r="D1" i="38"/>
  <c r="P18" i="40"/>
  <c r="I5" i="45"/>
  <c r="H6" i="45"/>
  <c r="R12" i="38"/>
  <c r="P18" i="38"/>
  <c r="N18" i="40"/>
  <c r="I5" i="43"/>
  <c r="H6" i="43"/>
  <c r="E18" i="40"/>
  <c r="R18" i="40"/>
  <c r="I5" i="41"/>
  <c r="H6" i="41"/>
  <c r="R12" i="36"/>
  <c r="P18" i="36"/>
  <c r="E18" i="38"/>
  <c r="R18" i="38"/>
  <c r="P12" i="40"/>
  <c r="R12" i="40"/>
  <c r="O18" i="40"/>
  <c r="F6" i="39"/>
  <c r="D1" i="40"/>
  <c r="G6" i="39"/>
  <c r="H5" i="39"/>
  <c r="E12" i="40"/>
  <c r="N12" i="36"/>
  <c r="E18" i="36"/>
  <c r="R18" i="36"/>
  <c r="N18" i="38"/>
  <c r="P12" i="38"/>
  <c r="O18" i="38"/>
  <c r="G5" i="37"/>
  <c r="E12" i="38"/>
  <c r="N18" i="36"/>
  <c r="P12" i="36"/>
  <c r="O18" i="36"/>
  <c r="G5" i="35"/>
  <c r="E12" i="36"/>
  <c r="C14" i="16"/>
  <c r="D14" i="16"/>
  <c r="E14" i="16"/>
  <c r="R14" i="16"/>
  <c r="C10" i="16"/>
  <c r="D10" i="16"/>
  <c r="E10" i="16"/>
  <c r="R10" i="16"/>
  <c r="P12" i="16" l="1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2" i="16"/>
  <c r="G6" i="37"/>
  <c r="H5" i="37"/>
  <c r="P18" i="16"/>
  <c r="O18" i="16"/>
  <c r="E18" i="16"/>
  <c r="R18" i="16"/>
  <c r="N18" i="16"/>
  <c r="N12" i="16"/>
  <c r="R12" i="16"/>
  <c r="G6" i="35"/>
  <c r="H5" i="35"/>
  <c r="O12" i="16"/>
  <c r="A18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4" i="34"/>
  <c r="E14" i="34"/>
  <c r="D14" i="34"/>
  <c r="C14" i="34"/>
  <c r="R10" i="34"/>
  <c r="R12" i="34" s="1"/>
  <c r="E10" i="34"/>
  <c r="E12" i="34" s="1"/>
  <c r="D10" i="34"/>
  <c r="C10" i="34"/>
  <c r="E4" i="34"/>
  <c r="AL9" i="33"/>
  <c r="D9" i="33"/>
  <c r="C9" i="33"/>
  <c r="F5" i="33"/>
  <c r="G5" i="33" s="1"/>
  <c r="S1" i="33"/>
  <c r="N12" i="34" l="1"/>
  <c r="O12" i="34"/>
  <c r="P12" i="34"/>
  <c r="N5" i="53"/>
  <c r="M6" i="53"/>
  <c r="N5" i="51"/>
  <c r="M6" i="51"/>
  <c r="M6" i="49"/>
  <c r="N5" i="49"/>
  <c r="N5" i="47"/>
  <c r="M6" i="47"/>
  <c r="K6" i="45"/>
  <c r="L5" i="45"/>
  <c r="K6" i="43"/>
  <c r="L5" i="43"/>
  <c r="N18" i="34"/>
  <c r="K6" i="41"/>
  <c r="L5" i="41"/>
  <c r="J6" i="39"/>
  <c r="K5" i="39"/>
  <c r="O18" i="34"/>
  <c r="J5" i="37"/>
  <c r="I6" i="37"/>
  <c r="P18" i="34"/>
  <c r="E18" i="34"/>
  <c r="R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F19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20" i="15" a="1"/>
  <c r="J20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9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1" i="49" l="1"/>
  <c r="AK11" i="49"/>
  <c r="H11" i="50" s="1"/>
  <c r="AI18" i="49"/>
  <c r="AI20" i="49"/>
  <c r="AI16" i="49"/>
  <c r="AK18" i="49"/>
  <c r="H17" i="50" s="1"/>
  <c r="AK16" i="49"/>
  <c r="H16" i="50" s="1"/>
  <c r="AK20" i="49"/>
  <c r="H18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L16" i="53" l="1"/>
  <c r="H16" i="54" s="1"/>
  <c r="AJ14" i="53"/>
  <c r="AJ16" i="53"/>
  <c r="AL14" i="53"/>
  <c r="H15" i="54" s="1"/>
  <c r="AK16" i="51"/>
  <c r="AM11" i="51"/>
  <c r="H11" i="52" s="1"/>
  <c r="AK20" i="51"/>
  <c r="AM16" i="51"/>
  <c r="H16" i="52" s="1"/>
  <c r="AK18" i="51"/>
  <c r="AM20" i="51"/>
  <c r="H18" i="52" s="1"/>
  <c r="AM18" i="51"/>
  <c r="H17" i="52" s="1"/>
  <c r="AK11" i="51"/>
  <c r="F18" i="50"/>
  <c r="AL20" i="49"/>
  <c r="AL18" i="49"/>
  <c r="F17" i="50"/>
  <c r="AL16" i="49"/>
  <c r="F16" i="50"/>
  <c r="AL11" i="49"/>
  <c r="F11" i="50"/>
  <c r="AM16" i="47"/>
  <c r="H16" i="48" s="1"/>
  <c r="AK16" i="47"/>
  <c r="AK11" i="47"/>
  <c r="AM18" i="47"/>
  <c r="H17" i="48" s="1"/>
  <c r="AM11" i="47"/>
  <c r="AM20" i="47"/>
  <c r="AK18" i="47"/>
  <c r="AK20" i="47"/>
  <c r="AN20" i="47" s="1"/>
  <c r="AM14" i="51"/>
  <c r="AM22" i="51"/>
  <c r="H19" i="52" s="1"/>
  <c r="AK22" i="51"/>
  <c r="F19" i="52" s="1"/>
  <c r="AK14" i="51"/>
  <c r="AL12" i="53"/>
  <c r="H14" i="54" s="1"/>
  <c r="AJ12" i="53"/>
  <c r="AJ9" i="53"/>
  <c r="AL9" i="53"/>
  <c r="AM9" i="51"/>
  <c r="H10" i="52" s="1"/>
  <c r="AK9" i="51"/>
  <c r="AK9" i="49"/>
  <c r="AK22" i="49"/>
  <c r="H19" i="50" s="1"/>
  <c r="AI9" i="49"/>
  <c r="AI22" i="49"/>
  <c r="F19" i="50" s="1"/>
  <c r="AI14" i="49"/>
  <c r="F15" i="50" s="1"/>
  <c r="AK14" i="49"/>
  <c r="H15" i="50" s="1"/>
  <c r="AK9" i="47"/>
  <c r="F10" i="48" s="1"/>
  <c r="AM14" i="47"/>
  <c r="H15" i="48" s="1"/>
  <c r="AK22" i="47"/>
  <c r="F19" i="48" s="1"/>
  <c r="AM9" i="47"/>
  <c r="F11" i="48"/>
  <c r="L11" i="48" s="1"/>
  <c r="AK14" i="47"/>
  <c r="AM22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F16" i="54" l="1"/>
  <c r="AM16" i="53"/>
  <c r="AM14" i="53"/>
  <c r="F15" i="54"/>
  <c r="L19" i="52"/>
  <c r="J19" i="52"/>
  <c r="F11" i="52"/>
  <c r="AN11" i="51"/>
  <c r="F18" i="52"/>
  <c r="AN20" i="51"/>
  <c r="F17" i="52"/>
  <c r="AN18" i="51"/>
  <c r="AN16" i="51"/>
  <c r="F16" i="52"/>
  <c r="L11" i="50"/>
  <c r="J11" i="50"/>
  <c r="L17" i="50"/>
  <c r="J17" i="50"/>
  <c r="L16" i="50"/>
  <c r="J16" i="50"/>
  <c r="L19" i="50"/>
  <c r="J19" i="50"/>
  <c r="L18" i="50"/>
  <c r="J18" i="50"/>
  <c r="F17" i="48"/>
  <c r="AN18" i="47"/>
  <c r="AN11" i="47"/>
  <c r="AN16" i="47"/>
  <c r="F16" i="48"/>
  <c r="F18" i="48"/>
  <c r="F15" i="48"/>
  <c r="H11" i="48"/>
  <c r="J11" i="48" s="1"/>
  <c r="AN14" i="51"/>
  <c r="H10" i="54"/>
  <c r="F10" i="54"/>
  <c r="H10" i="50"/>
  <c r="F10" i="50"/>
  <c r="AM12" i="53"/>
  <c r="F14" i="54"/>
  <c r="H15" i="52"/>
  <c r="AN22" i="51"/>
  <c r="H10" i="48"/>
  <c r="H19" i="48"/>
  <c r="H18" i="48"/>
  <c r="AM9" i="53"/>
  <c r="F15" i="52"/>
  <c r="AN9" i="51"/>
  <c r="F10" i="52"/>
  <c r="AL14" i="49"/>
  <c r="AL22" i="49"/>
  <c r="AL9" i="49"/>
  <c r="AN14" i="47"/>
  <c r="AN22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4" i="45" l="1"/>
  <c r="AK16" i="45"/>
  <c r="AM16" i="45"/>
  <c r="H16" i="46" s="1"/>
  <c r="AM14" i="45"/>
  <c r="H15" i="46" s="1"/>
  <c r="AM16" i="43"/>
  <c r="H16" i="44" s="1"/>
  <c r="AM14" i="43"/>
  <c r="H15" i="44" s="1"/>
  <c r="AK14" i="43"/>
  <c r="AK16" i="43"/>
  <c r="AM14" i="41"/>
  <c r="H15" i="42" s="1"/>
  <c r="AM16" i="41"/>
  <c r="H16" i="42" s="1"/>
  <c r="AK14" i="41"/>
  <c r="AK16" i="41"/>
  <c r="L15" i="54"/>
  <c r="J15" i="54"/>
  <c r="L16" i="54"/>
  <c r="J16" i="54"/>
  <c r="L17" i="52"/>
  <c r="J17" i="52"/>
  <c r="L16" i="52"/>
  <c r="J16" i="52"/>
  <c r="L11" i="52"/>
  <c r="J11" i="52"/>
  <c r="L18" i="52"/>
  <c r="J18" i="52"/>
  <c r="J15" i="48"/>
  <c r="L15" i="48"/>
  <c r="L16" i="48"/>
  <c r="J16" i="48"/>
  <c r="J17" i="48"/>
  <c r="L17" i="48"/>
  <c r="AM12" i="45"/>
  <c r="AK12" i="45"/>
  <c r="AM12" i="43"/>
  <c r="AK12" i="43"/>
  <c r="AK12" i="41"/>
  <c r="AM12" i="41"/>
  <c r="U2" i="54"/>
  <c r="U2" i="50"/>
  <c r="U2" i="48"/>
  <c r="U2" i="52"/>
  <c r="L10" i="54"/>
  <c r="J10" i="54"/>
  <c r="J14" i="54"/>
  <c r="L14" i="54"/>
  <c r="L10" i="52"/>
  <c r="J10" i="52"/>
  <c r="J15" i="52"/>
  <c r="L15" i="52"/>
  <c r="L10" i="50"/>
  <c r="J10" i="50"/>
  <c r="J15" i="50"/>
  <c r="L15" i="50"/>
  <c r="J18" i="48"/>
  <c r="L18" i="48"/>
  <c r="L10" i="48"/>
  <c r="J10" i="48"/>
  <c r="L19" i="48"/>
  <c r="J19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L13" i="48" l="1"/>
  <c r="AN12" i="45"/>
  <c r="F16" i="46"/>
  <c r="AN16" i="45"/>
  <c r="F15" i="46"/>
  <c r="AN14" i="45"/>
  <c r="AN16" i="43"/>
  <c r="F16" i="44"/>
  <c r="F15" i="44"/>
  <c r="AN14" i="43"/>
  <c r="AN16" i="41"/>
  <c r="F16" i="42"/>
  <c r="AN14" i="41"/>
  <c r="F15" i="42"/>
  <c r="AM14" i="39"/>
  <c r="H15" i="40" s="1"/>
  <c r="AM16" i="39"/>
  <c r="H16" i="40" s="1"/>
  <c r="AK16" i="39"/>
  <c r="AK14" i="39"/>
  <c r="G15" i="54"/>
  <c r="I16" i="54"/>
  <c r="I15" i="54"/>
  <c r="G16" i="54"/>
  <c r="G16" i="52"/>
  <c r="I18" i="52"/>
  <c r="G17" i="52"/>
  <c r="I19" i="52"/>
  <c r="I16" i="52"/>
  <c r="G18" i="52"/>
  <c r="I17" i="52"/>
  <c r="G19" i="52"/>
  <c r="I11" i="52"/>
  <c r="G11" i="52"/>
  <c r="I18" i="50"/>
  <c r="G17" i="50"/>
  <c r="I19" i="50"/>
  <c r="I16" i="50"/>
  <c r="G18" i="50"/>
  <c r="I17" i="50"/>
  <c r="G19" i="50"/>
  <c r="G16" i="50"/>
  <c r="G11" i="50"/>
  <c r="I11" i="50"/>
  <c r="G16" i="48"/>
  <c r="G17" i="48"/>
  <c r="G15" i="48"/>
  <c r="I15" i="48"/>
  <c r="I16" i="48"/>
  <c r="I17" i="48"/>
  <c r="G18" i="48"/>
  <c r="I11" i="48"/>
  <c r="G11" i="48"/>
  <c r="AN12" i="41"/>
  <c r="AN12" i="43"/>
  <c r="L18" i="54"/>
  <c r="G10" i="54"/>
  <c r="I10" i="54"/>
  <c r="I14" i="54"/>
  <c r="G14" i="54"/>
  <c r="AM12" i="39"/>
  <c r="AK12" i="39"/>
  <c r="G15" i="50"/>
  <c r="G10" i="50"/>
  <c r="I10" i="50"/>
  <c r="I15" i="50"/>
  <c r="G10" i="48"/>
  <c r="G19" i="48"/>
  <c r="I10" i="48"/>
  <c r="I19" i="48"/>
  <c r="I18" i="48"/>
  <c r="G10" i="52"/>
  <c r="G15" i="52"/>
  <c r="L13" i="52"/>
  <c r="I10" i="52"/>
  <c r="I15" i="52"/>
  <c r="H14" i="46"/>
  <c r="H14" i="44"/>
  <c r="H14" i="42"/>
  <c r="L12" i="54"/>
  <c r="L21" i="50"/>
  <c r="L21" i="52"/>
  <c r="L13" i="50"/>
  <c r="L21" i="48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K18" i="52" l="1"/>
  <c r="M18" i="52" s="1"/>
  <c r="Q18" i="52" s="1"/>
  <c r="S18" i="52" s="1"/>
  <c r="O15" i="15" s="1"/>
  <c r="K16" i="54"/>
  <c r="M16" i="54" s="1"/>
  <c r="Q16" i="54" s="1"/>
  <c r="S16" i="54" s="1"/>
  <c r="Q15" i="15" s="1"/>
  <c r="AN12" i="39"/>
  <c r="L15" i="46"/>
  <c r="J15" i="46"/>
  <c r="L16" i="46"/>
  <c r="J16" i="46"/>
  <c r="L16" i="44"/>
  <c r="J16" i="44"/>
  <c r="J15" i="44"/>
  <c r="L15" i="44"/>
  <c r="L15" i="42"/>
  <c r="J15" i="42"/>
  <c r="L16" i="42"/>
  <c r="J16" i="42"/>
  <c r="F15" i="40"/>
  <c r="AN14" i="39"/>
  <c r="F16" i="40"/>
  <c r="AN16" i="39"/>
  <c r="AK14" i="37"/>
  <c r="AM14" i="37"/>
  <c r="H15" i="38" s="1"/>
  <c r="AK16" i="37"/>
  <c r="AM16" i="37"/>
  <c r="H16" i="38" s="1"/>
  <c r="AK16" i="35"/>
  <c r="AK14" i="35"/>
  <c r="AM16" i="35"/>
  <c r="H16" i="36" s="1"/>
  <c r="AM14" i="35"/>
  <c r="H15" i="36" s="1"/>
  <c r="K16" i="50"/>
  <c r="M16" i="50" s="1"/>
  <c r="Q16" i="50" s="1"/>
  <c r="S16" i="50" s="1"/>
  <c r="M13" i="15" s="1"/>
  <c r="G13" i="48"/>
  <c r="I13" i="48"/>
  <c r="K19" i="50"/>
  <c r="M19" i="50" s="1"/>
  <c r="Q19" i="50" s="1"/>
  <c r="S19" i="50" s="1"/>
  <c r="M16" i="15" s="1"/>
  <c r="K18" i="48"/>
  <c r="M18" i="48" s="1"/>
  <c r="K15" i="48"/>
  <c r="M15" i="48" s="1"/>
  <c r="Q15" i="48" s="1"/>
  <c r="S15" i="48" s="1"/>
  <c r="K12" i="15" s="1"/>
  <c r="K15" i="54"/>
  <c r="M15" i="54" s="1"/>
  <c r="Q15" i="54" s="1"/>
  <c r="S15" i="54" s="1"/>
  <c r="Q13" i="15" s="1"/>
  <c r="K11" i="52"/>
  <c r="M11" i="52" s="1"/>
  <c r="Q11" i="52" s="1"/>
  <c r="S11" i="52" s="1"/>
  <c r="O11" i="15" s="1"/>
  <c r="K19" i="52"/>
  <c r="M19" i="52" s="1"/>
  <c r="Q19" i="52" s="1"/>
  <c r="S19" i="52" s="1"/>
  <c r="O16" i="15" s="1"/>
  <c r="K17" i="52"/>
  <c r="M17" i="52" s="1"/>
  <c r="Q17" i="52" s="1"/>
  <c r="S17" i="52" s="1"/>
  <c r="O14" i="15" s="1"/>
  <c r="K16" i="52"/>
  <c r="M16" i="52" s="1"/>
  <c r="Q16" i="52" s="1"/>
  <c r="S16" i="52" s="1"/>
  <c r="O13" i="15" s="1"/>
  <c r="K18" i="50"/>
  <c r="M18" i="50" s="1"/>
  <c r="Q18" i="50" s="1"/>
  <c r="S18" i="50" s="1"/>
  <c r="M15" i="15" s="1"/>
  <c r="K17" i="50"/>
  <c r="M17" i="50" s="1"/>
  <c r="Q17" i="50" s="1"/>
  <c r="S17" i="50" s="1"/>
  <c r="M14" i="15" s="1"/>
  <c r="K11" i="50"/>
  <c r="M11" i="50" s="1"/>
  <c r="Q11" i="50" s="1"/>
  <c r="S11" i="50" s="1"/>
  <c r="M11" i="15" s="1"/>
  <c r="K17" i="48"/>
  <c r="M17" i="48" s="1"/>
  <c r="Q17" i="48" s="1"/>
  <c r="S17" i="48" s="1"/>
  <c r="K14" i="15" s="1"/>
  <c r="K16" i="48"/>
  <c r="M16" i="48" s="1"/>
  <c r="Q16" i="48" s="1"/>
  <c r="S16" i="48" s="1"/>
  <c r="K13" i="15" s="1"/>
  <c r="K11" i="48"/>
  <c r="M11" i="48" s="1"/>
  <c r="Q11" i="48" s="1"/>
  <c r="S11" i="48" s="1"/>
  <c r="K11" i="15" s="1"/>
  <c r="K10" i="50"/>
  <c r="M10" i="50" s="1"/>
  <c r="K10" i="48"/>
  <c r="K14" i="54"/>
  <c r="M14" i="54" s="1"/>
  <c r="U2" i="44"/>
  <c r="G21" i="50"/>
  <c r="K15" i="50"/>
  <c r="M15" i="50" s="1"/>
  <c r="I12" i="54"/>
  <c r="K10" i="54"/>
  <c r="I18" i="54"/>
  <c r="G12" i="54"/>
  <c r="G18" i="54"/>
  <c r="G21" i="52"/>
  <c r="AM12" i="37"/>
  <c r="AK12" i="37"/>
  <c r="I13" i="50"/>
  <c r="I21" i="50"/>
  <c r="G13" i="50"/>
  <c r="K19" i="48"/>
  <c r="M19" i="48" s="1"/>
  <c r="Q19" i="48" s="1"/>
  <c r="S19" i="48" s="1"/>
  <c r="K16" i="15" s="1"/>
  <c r="AM12" i="35"/>
  <c r="AK12" i="35"/>
  <c r="K10" i="52"/>
  <c r="M10" i="52" s="1"/>
  <c r="G21" i="48"/>
  <c r="I21" i="48"/>
  <c r="G13" i="52"/>
  <c r="K15" i="52"/>
  <c r="M15" i="52" s="1"/>
  <c r="I13" i="52"/>
  <c r="I21" i="52"/>
  <c r="U2" i="46"/>
  <c r="U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AH11" i="15" l="1"/>
  <c r="AH16" i="15"/>
  <c r="AH14" i="15"/>
  <c r="L15" i="40"/>
  <c r="J15" i="40"/>
  <c r="L16" i="40"/>
  <c r="J16" i="40"/>
  <c r="F16" i="38"/>
  <c r="AN16" i="37"/>
  <c r="F15" i="38"/>
  <c r="AN14" i="37"/>
  <c r="AN16" i="35"/>
  <c r="F16" i="36"/>
  <c r="AN14" i="35"/>
  <c r="F15" i="36"/>
  <c r="M10" i="48"/>
  <c r="K13" i="48"/>
  <c r="G15" i="46"/>
  <c r="I15" i="46"/>
  <c r="I16" i="46"/>
  <c r="G16" i="46"/>
  <c r="I15" i="44"/>
  <c r="G15" i="44"/>
  <c r="G16" i="44"/>
  <c r="I16" i="44"/>
  <c r="G10" i="44"/>
  <c r="G15" i="42"/>
  <c r="I15" i="42"/>
  <c r="G16" i="42"/>
  <c r="I16" i="42"/>
  <c r="AN12" i="37"/>
  <c r="K13" i="50"/>
  <c r="K12" i="54"/>
  <c r="K21" i="50"/>
  <c r="K18" i="54"/>
  <c r="AN12" i="35"/>
  <c r="M10" i="54"/>
  <c r="M12" i="54" s="1"/>
  <c r="K13" i="52"/>
  <c r="G10" i="42"/>
  <c r="K21" i="48"/>
  <c r="I10" i="42"/>
  <c r="G14" i="42"/>
  <c r="I14" i="42"/>
  <c r="K21" i="52"/>
  <c r="I14" i="46"/>
  <c r="G14" i="46"/>
  <c r="G10" i="46"/>
  <c r="I10" i="46"/>
  <c r="I10" i="44"/>
  <c r="I14" i="44"/>
  <c r="G14" i="44"/>
  <c r="U2" i="40"/>
  <c r="H14" i="38"/>
  <c r="H14" i="36"/>
  <c r="L12" i="44"/>
  <c r="Q14" i="54"/>
  <c r="M18" i="54"/>
  <c r="Q15" i="52"/>
  <c r="M21" i="52"/>
  <c r="Q10" i="52"/>
  <c r="M13" i="52"/>
  <c r="Q10" i="50"/>
  <c r="M13" i="50"/>
  <c r="Q15" i="50"/>
  <c r="M21" i="50"/>
  <c r="Q18" i="48"/>
  <c r="M21" i="48"/>
  <c r="L12" i="46"/>
  <c r="L18" i="46"/>
  <c r="L18" i="44"/>
  <c r="L12" i="42"/>
  <c r="L18" i="42"/>
  <c r="L10" i="40"/>
  <c r="J10" i="40"/>
  <c r="J14" i="40"/>
  <c r="L14" i="40"/>
  <c r="F14" i="38"/>
  <c r="AN9" i="37"/>
  <c r="F10" i="38"/>
  <c r="F14" i="36"/>
  <c r="AN9" i="35"/>
  <c r="F10" i="36"/>
  <c r="AI6" i="33"/>
  <c r="AJ5" i="33"/>
  <c r="AJ6" i="33" s="1"/>
  <c r="Y5" i="14"/>
  <c r="X6" i="14"/>
  <c r="L15" i="38" l="1"/>
  <c r="J15" i="38"/>
  <c r="J16" i="38"/>
  <c r="L16" i="38"/>
  <c r="L15" i="36"/>
  <c r="J15" i="36"/>
  <c r="L16" i="36"/>
  <c r="J16" i="36"/>
  <c r="AK16" i="33"/>
  <c r="AM14" i="33"/>
  <c r="H15" i="34" s="1"/>
  <c r="AM16" i="33"/>
  <c r="H16" i="34" s="1"/>
  <c r="AK14" i="33"/>
  <c r="K15" i="44"/>
  <c r="M15" i="44" s="1"/>
  <c r="Q15" i="44" s="1"/>
  <c r="S15" i="44" s="1"/>
  <c r="AE13" i="15" s="1"/>
  <c r="Q10" i="48"/>
  <c r="M13" i="48"/>
  <c r="K15" i="46"/>
  <c r="M15" i="46" s="1"/>
  <c r="Q15" i="46" s="1"/>
  <c r="S15" i="46" s="1"/>
  <c r="AG13" i="15" s="1"/>
  <c r="K16" i="46"/>
  <c r="M16" i="46" s="1"/>
  <c r="Q16" i="46" s="1"/>
  <c r="S16" i="46" s="1"/>
  <c r="AG15" i="15" s="1"/>
  <c r="K16" i="44"/>
  <c r="M16" i="44" s="1"/>
  <c r="Q16" i="44" s="1"/>
  <c r="S16" i="44" s="1"/>
  <c r="AE15" i="15" s="1"/>
  <c r="K10" i="44"/>
  <c r="M10" i="44" s="1"/>
  <c r="K15" i="42"/>
  <c r="M15" i="42" s="1"/>
  <c r="Q15" i="42" s="1"/>
  <c r="S15" i="42" s="1"/>
  <c r="AC13" i="15" s="1"/>
  <c r="K16" i="42"/>
  <c r="M16" i="42" s="1"/>
  <c r="Q16" i="42" s="1"/>
  <c r="S16" i="42" s="1"/>
  <c r="AC15" i="15" s="1"/>
  <c r="G15" i="40"/>
  <c r="I15" i="40"/>
  <c r="G16" i="40"/>
  <c r="I16" i="40"/>
  <c r="Q10" i="54"/>
  <c r="Q12" i="54" s="1"/>
  <c r="K14" i="46"/>
  <c r="M14" i="46" s="1"/>
  <c r="G12" i="42"/>
  <c r="K10" i="46"/>
  <c r="M10" i="46" s="1"/>
  <c r="K14" i="42"/>
  <c r="M14" i="42" s="1"/>
  <c r="K10" i="42"/>
  <c r="M10" i="42" s="1"/>
  <c r="I12" i="42"/>
  <c r="AK12" i="33"/>
  <c r="AM12" i="33"/>
  <c r="K14" i="44"/>
  <c r="M14" i="44" s="1"/>
  <c r="G12" i="46"/>
  <c r="G18" i="46"/>
  <c r="I18" i="46"/>
  <c r="I12" i="46"/>
  <c r="I18" i="44"/>
  <c r="G18" i="44"/>
  <c r="I12" i="44"/>
  <c r="G12" i="44"/>
  <c r="I18" i="42"/>
  <c r="G18" i="42"/>
  <c r="I10" i="40"/>
  <c r="I14" i="40"/>
  <c r="G14" i="40"/>
  <c r="G10" i="40"/>
  <c r="U2" i="38"/>
  <c r="U2" i="36"/>
  <c r="Q18" i="54"/>
  <c r="S14" i="54"/>
  <c r="Q12" i="15" s="1"/>
  <c r="Q13" i="52"/>
  <c r="S10" i="52"/>
  <c r="O10" i="15" s="1"/>
  <c r="Q21" i="52"/>
  <c r="S15" i="52"/>
  <c r="O12" i="15" s="1"/>
  <c r="Q21" i="50"/>
  <c r="S15" i="50"/>
  <c r="M12" i="15" s="1"/>
  <c r="Q13" i="50"/>
  <c r="S10" i="50"/>
  <c r="M10" i="15" s="1"/>
  <c r="Q21" i="48"/>
  <c r="S18" i="48"/>
  <c r="K15" i="15" s="1"/>
  <c r="L18" i="40"/>
  <c r="L12" i="40"/>
  <c r="L10" i="38"/>
  <c r="J10" i="38"/>
  <c r="J14" i="38"/>
  <c r="L14" i="38"/>
  <c r="L10" i="36"/>
  <c r="J10" i="36"/>
  <c r="J14" i="36"/>
  <c r="L14" i="36"/>
  <c r="AM9" i="33"/>
  <c r="H10" i="34" s="1"/>
  <c r="AK9" i="33"/>
  <c r="Z5" i="14"/>
  <c r="Y6" i="14"/>
  <c r="S18" i="54" l="1"/>
  <c r="S21" i="52"/>
  <c r="S13" i="52"/>
  <c r="S21" i="50"/>
  <c r="S13" i="50"/>
  <c r="S21" i="48"/>
  <c r="AN14" i="33"/>
  <c r="F15" i="34"/>
  <c r="F16" i="34"/>
  <c r="AN16" i="33"/>
  <c r="S10" i="48"/>
  <c r="K10" i="15" s="1"/>
  <c r="Q13" i="48"/>
  <c r="K12" i="46"/>
  <c r="M12" i="46"/>
  <c r="K15" i="40"/>
  <c r="M15" i="40" s="1"/>
  <c r="Q15" i="40" s="1"/>
  <c r="S15" i="40" s="1"/>
  <c r="AA13" i="15" s="1"/>
  <c r="K16" i="40"/>
  <c r="M16" i="40" s="1"/>
  <c r="Q16" i="40" s="1"/>
  <c r="S16" i="40" s="1"/>
  <c r="AA15" i="15" s="1"/>
  <c r="G15" i="38"/>
  <c r="I15" i="38"/>
  <c r="G16" i="38"/>
  <c r="I16" i="38"/>
  <c r="G15" i="36"/>
  <c r="I15" i="36"/>
  <c r="G16" i="36"/>
  <c r="I16" i="36"/>
  <c r="AN12" i="33"/>
  <c r="S10" i="54"/>
  <c r="Q10" i="15" s="1"/>
  <c r="K12" i="42"/>
  <c r="K18" i="46"/>
  <c r="K18" i="44"/>
  <c r="K12" i="44"/>
  <c r="M12" i="44"/>
  <c r="K18" i="42"/>
  <c r="K14" i="40"/>
  <c r="M14" i="40" s="1"/>
  <c r="G12" i="40"/>
  <c r="G18" i="40"/>
  <c r="K10" i="40"/>
  <c r="M10" i="40" s="1"/>
  <c r="I18" i="40"/>
  <c r="I12" i="40"/>
  <c r="G10" i="38"/>
  <c r="G14" i="38"/>
  <c r="I10" i="38"/>
  <c r="I14" i="38"/>
  <c r="I10" i="36"/>
  <c r="I14" i="36"/>
  <c r="G14" i="36"/>
  <c r="G10" i="36"/>
  <c r="H14" i="34"/>
  <c r="Q10" i="46"/>
  <c r="Q12" i="46" s="1"/>
  <c r="Q14" i="46"/>
  <c r="M18" i="46"/>
  <c r="Q14" i="44"/>
  <c r="M18" i="44"/>
  <c r="Q10" i="44"/>
  <c r="Q12" i="44" s="1"/>
  <c r="Q14" i="42"/>
  <c r="M18" i="42"/>
  <c r="Q10" i="42"/>
  <c r="M12" i="42"/>
  <c r="L18" i="38"/>
  <c r="L12" i="38"/>
  <c r="L18" i="36"/>
  <c r="L12" i="36"/>
  <c r="F14" i="34"/>
  <c r="F10" i="34"/>
  <c r="AN9" i="33"/>
  <c r="AA5" i="14"/>
  <c r="Z6" i="14"/>
  <c r="O21" i="15" l="1"/>
  <c r="S12" i="54"/>
  <c r="Q21" i="15"/>
  <c r="M21" i="15"/>
  <c r="S13" i="48"/>
  <c r="J15" i="34"/>
  <c r="L15" i="34"/>
  <c r="L16" i="34"/>
  <c r="J16" i="34"/>
  <c r="K15" i="38"/>
  <c r="M15" i="38" s="1"/>
  <c r="Q15" i="38" s="1"/>
  <c r="S15" i="38" s="1"/>
  <c r="Y13" i="15" s="1"/>
  <c r="K16" i="38"/>
  <c r="M16" i="38" s="1"/>
  <c r="Q16" i="38" s="1"/>
  <c r="S16" i="38" s="1"/>
  <c r="Y15" i="15" s="1"/>
  <c r="K15" i="36"/>
  <c r="M15" i="36" s="1"/>
  <c r="Q15" i="36" s="1"/>
  <c r="S15" i="36" s="1"/>
  <c r="W13" i="15" s="1"/>
  <c r="K16" i="36"/>
  <c r="M16" i="36" s="1"/>
  <c r="Q16" i="36" s="1"/>
  <c r="S16" i="36" s="1"/>
  <c r="W15" i="15" s="1"/>
  <c r="K10" i="36"/>
  <c r="M10" i="36" s="1"/>
  <c r="G12" i="38"/>
  <c r="K12" i="40"/>
  <c r="K18" i="40"/>
  <c r="K10" i="38"/>
  <c r="M10" i="38" s="1"/>
  <c r="K14" i="38"/>
  <c r="M14" i="38" s="1"/>
  <c r="I18" i="38"/>
  <c r="G18" i="38"/>
  <c r="I12" i="38"/>
  <c r="G12" i="36"/>
  <c r="K14" i="36"/>
  <c r="M14" i="36" s="1"/>
  <c r="I12" i="36"/>
  <c r="G18" i="36"/>
  <c r="I18" i="36"/>
  <c r="U2" i="34"/>
  <c r="Q18" i="46"/>
  <c r="S14" i="46"/>
  <c r="S10" i="46"/>
  <c r="S10" i="44"/>
  <c r="AE10" i="15" s="1"/>
  <c r="Q18" i="44"/>
  <c r="S14" i="44"/>
  <c r="AE12" i="15" s="1"/>
  <c r="Q12" i="42"/>
  <c r="S10" i="42"/>
  <c r="AC10" i="15" s="1"/>
  <c r="Q18" i="42"/>
  <c r="S14" i="42"/>
  <c r="AC12" i="15" s="1"/>
  <c r="Q14" i="40"/>
  <c r="M18" i="40"/>
  <c r="Q10" i="40"/>
  <c r="M12" i="40"/>
  <c r="L14" i="34"/>
  <c r="J14" i="34"/>
  <c r="J10" i="34"/>
  <c r="L10" i="34"/>
  <c r="AB5" i="14"/>
  <c r="AA6" i="14"/>
  <c r="S18" i="46" l="1"/>
  <c r="AG12" i="15"/>
  <c r="S12" i="46"/>
  <c r="AG10" i="15"/>
  <c r="S18" i="44"/>
  <c r="S12" i="44"/>
  <c r="S18" i="42"/>
  <c r="S12" i="42"/>
  <c r="K21" i="15"/>
  <c r="G15" i="34"/>
  <c r="I15" i="34"/>
  <c r="G16" i="34"/>
  <c r="I16" i="34"/>
  <c r="I10" i="34"/>
  <c r="K12" i="38"/>
  <c r="I14" i="34"/>
  <c r="G10" i="34"/>
  <c r="G14" i="34"/>
  <c r="K18" i="38"/>
  <c r="K18" i="36"/>
  <c r="K12" i="36"/>
  <c r="L12" i="34"/>
  <c r="L18" i="34"/>
  <c r="Q12" i="40"/>
  <c r="S10" i="40"/>
  <c r="AA10" i="15" s="1"/>
  <c r="Q18" i="40"/>
  <c r="S14" i="40"/>
  <c r="AA12" i="15" s="1"/>
  <c r="Q14" i="38"/>
  <c r="M18" i="38"/>
  <c r="Q10" i="38"/>
  <c r="M12" i="38"/>
  <c r="Q14" i="36"/>
  <c r="M18" i="36"/>
  <c r="Q10" i="36"/>
  <c r="M12" i="36"/>
  <c r="AB6" i="14"/>
  <c r="AC5" i="14"/>
  <c r="AG21" i="15" l="1"/>
  <c r="AE21" i="15"/>
  <c r="AC21" i="15"/>
  <c r="S18" i="40"/>
  <c r="S12" i="40"/>
  <c r="K15" i="34"/>
  <c r="M15" i="34" s="1"/>
  <c r="Q15" i="34" s="1"/>
  <c r="S15" i="34" s="1"/>
  <c r="U13" i="15" s="1"/>
  <c r="K10" i="34"/>
  <c r="M10" i="34" s="1"/>
  <c r="K16" i="34"/>
  <c r="M16" i="34" s="1"/>
  <c r="Q16" i="34" s="1"/>
  <c r="S16" i="34" s="1"/>
  <c r="U15" i="15" s="1"/>
  <c r="G12" i="34"/>
  <c r="K14" i="34"/>
  <c r="M14" i="34" s="1"/>
  <c r="G18" i="34"/>
  <c r="I18" i="34"/>
  <c r="I12" i="34"/>
  <c r="Q12" i="38"/>
  <c r="S10" i="38"/>
  <c r="Y10" i="15" s="1"/>
  <c r="Q18" i="38"/>
  <c r="S14" i="38"/>
  <c r="Y12" i="15" s="1"/>
  <c r="Q12" i="36"/>
  <c r="S10" i="36"/>
  <c r="W10" i="15" s="1"/>
  <c r="Q18" i="36"/>
  <c r="S14" i="36"/>
  <c r="W12" i="15" s="1"/>
  <c r="AC6" i="14"/>
  <c r="AD5" i="14"/>
  <c r="AA21" i="15" l="1"/>
  <c r="S18" i="38"/>
  <c r="S12" i="38"/>
  <c r="S18" i="36"/>
  <c r="S12" i="36"/>
  <c r="K12" i="34"/>
  <c r="M12" i="34"/>
  <c r="M18" i="34"/>
  <c r="K18" i="34"/>
  <c r="Q14" i="34"/>
  <c r="S14" i="34" s="1"/>
  <c r="U12" i="15" s="1"/>
  <c r="Q10" i="34"/>
  <c r="Q12" i="34" s="1"/>
  <c r="AD6" i="14"/>
  <c r="AE5" i="14"/>
  <c r="Y21" i="15" l="1"/>
  <c r="S18" i="34"/>
  <c r="Q18" i="34"/>
  <c r="S10" i="34"/>
  <c r="AF5" i="14"/>
  <c r="AE6" i="14"/>
  <c r="W21" i="15" l="1"/>
  <c r="U10" i="15"/>
  <c r="S12" i="34"/>
  <c r="AF6" i="14"/>
  <c r="AG5" i="14"/>
  <c r="AH5" i="14" l="1"/>
  <c r="AG6" i="14"/>
  <c r="AI5" i="14" l="1"/>
  <c r="AH6" i="14"/>
  <c r="AJ5" i="14" l="1"/>
  <c r="AJ6" i="14" s="1"/>
  <c r="AI6" i="14"/>
  <c r="AM16" i="14" l="1"/>
  <c r="H16" i="16" s="1"/>
  <c r="AK16" i="14"/>
  <c r="AK14" i="14"/>
  <c r="AM14" i="14"/>
  <c r="H15" i="16" s="1"/>
  <c r="AM12" i="14"/>
  <c r="AK12" i="14"/>
  <c r="AK9" i="14"/>
  <c r="F10" i="16" s="1"/>
  <c r="AM9" i="14"/>
  <c r="H10" i="16" s="1"/>
  <c r="F16" i="16" l="1"/>
  <c r="AN16" i="14"/>
  <c r="AN14" i="14"/>
  <c r="F15" i="16"/>
  <c r="AN12" i="14"/>
  <c r="H14" i="16"/>
  <c r="F14" i="16"/>
  <c r="L14" i="16" s="1"/>
  <c r="L10" i="16"/>
  <c r="J10" i="16"/>
  <c r="AN9" i="14"/>
  <c r="J15" i="16" l="1"/>
  <c r="L15" i="16"/>
  <c r="L16" i="16"/>
  <c r="J16" i="16"/>
  <c r="L12" i="16"/>
  <c r="J14" i="16"/>
  <c r="U2" i="16"/>
  <c r="I15" i="16" l="1"/>
  <c r="G15" i="16"/>
  <c r="G16" i="16"/>
  <c r="I16" i="16"/>
  <c r="L18" i="16"/>
  <c r="I10" i="16"/>
  <c r="G10" i="16"/>
  <c r="I14" i="16"/>
  <c r="G14" i="16"/>
  <c r="K15" i="16" l="1"/>
  <c r="M15" i="16" s="1"/>
  <c r="Q15" i="16" s="1"/>
  <c r="S15" i="16" s="1"/>
  <c r="K16" i="16"/>
  <c r="M16" i="16" s="1"/>
  <c r="Q16" i="16" s="1"/>
  <c r="S16" i="16" s="1"/>
  <c r="I18" i="16"/>
  <c r="G12" i="16"/>
  <c r="K10" i="16"/>
  <c r="I12" i="16"/>
  <c r="K14" i="16"/>
  <c r="G18" i="16"/>
  <c r="S15" i="15" l="1"/>
  <c r="AH15" i="15" s="1"/>
  <c r="S13" i="15"/>
  <c r="AH13" i="15" s="1"/>
  <c r="M10" i="16"/>
  <c r="K12" i="16"/>
  <c r="M14" i="16"/>
  <c r="K18" i="16"/>
  <c r="M18" i="16" l="1"/>
  <c r="Q14" i="16"/>
  <c r="M12" i="16"/>
  <c r="Q10" i="16"/>
  <c r="S10" i="16" l="1"/>
  <c r="Q12" i="16"/>
  <c r="Q18" i="16"/>
  <c r="S14" i="16"/>
  <c r="S12" i="15" s="1"/>
  <c r="U21" i="15" l="1"/>
  <c r="S10" i="15"/>
  <c r="S18" i="16"/>
  <c r="AH12" i="15"/>
  <c r="S12" i="16"/>
  <c r="S21" i="15" l="1"/>
  <c r="AH21" i="15" s="1"/>
  <c r="AH10" i="15"/>
</calcChain>
</file>

<file path=xl/sharedStrings.xml><?xml version="1.0" encoding="utf-8"?>
<sst xmlns="http://schemas.openxmlformats.org/spreadsheetml/2006/main" count="1111" uniqueCount="120">
  <si>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</si>
  <si>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</si>
  <si>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</si>
  <si>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</si>
  <si>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</si>
  <si>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</si>
  <si>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</si>
  <si>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</si>
  <si>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</si>
  <si>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</si>
  <si>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</si>
  <si>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</si>
  <si>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</si>
  <si>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</si>
  <si>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</si>
  <si>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</si>
  <si>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</si>
  <si>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</si>
  <si>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</si>
  <si>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</si>
  <si>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</si>
  <si>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</si>
  <si>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</si>
  <si>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</si>
  <si>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</si>
  <si>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</si>
  <si>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</si>
  <si>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</si>
  <si>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</si>
  <si>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</si>
  <si>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</si>
  <si>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</si>
  <si>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</si>
  <si>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</si>
  <si>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</si>
  <si>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</si>
  <si>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</si>
  <si>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</si>
  <si>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</si>
  <si>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</si>
  <si>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</si>
  <si>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</si>
  <si>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</si>
  <si>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</si>
  <si>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</si>
  <si>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</si>
  <si>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</si>
  <si>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</si>
  <si>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</si>
  <si>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</si>
  <si>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</si>
  <si>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</si>
  <si>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</si>
  <si>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</si>
  <si>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</si>
  <si>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</si>
  <si>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</si>
  <si>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</si>
  <si>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</si>
  <si>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</si>
  <si>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</si>
  <si>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</si>
  <si>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</si>
  <si>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</si>
  <si>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</si>
  <si>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</si>
  <si>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</si>
  <si>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</si>
  <si>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</si>
  <si>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</si>
  <si>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</si>
  <si>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</si>
  <si>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</si>
  <si>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</si>
  <si>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</si>
  <si>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</si>
  <si>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</si>
  <si>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</si>
  <si>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</si>
  <si>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Thợ in</t>
  </si>
  <si>
    <t>BP: Quản lý :</t>
  </si>
  <si>
    <t>BP: Quản lý &amp; CN Trực Tiếp SX</t>
  </si>
  <si>
    <t>BP: Quản lý:</t>
  </si>
  <si>
    <t>Công Đoạn 1</t>
  </si>
  <si>
    <t>CN04</t>
  </si>
  <si>
    <t>CN05</t>
  </si>
  <si>
    <t>Lê Văn Hữu</t>
  </si>
  <si>
    <t>Công Đoạn 2</t>
  </si>
  <si>
    <t>Thông tin cá nhân</t>
  </si>
  <si>
    <t>MST</t>
  </si>
  <si>
    <t>CMND</t>
  </si>
  <si>
    <t>Lê Kim Ngọc Thảo</t>
  </si>
  <si>
    <t>Văn Phòng</t>
  </si>
  <si>
    <t>Đinh Hoàng Lợi</t>
  </si>
  <si>
    <t>Tài xế</t>
  </si>
  <si>
    <t>Lý Thanh Hải</t>
  </si>
  <si>
    <t>Cao Minh Chí</t>
  </si>
  <si>
    <t>Nguyễn Thị Sự</t>
  </si>
  <si>
    <t>8028334832</t>
  </si>
  <si>
    <t>024404476</t>
  </si>
  <si>
    <t>8012601553</t>
  </si>
  <si>
    <t>301186169</t>
  </si>
  <si>
    <t>8096752605</t>
  </si>
  <si>
    <t>365598783</t>
  </si>
  <si>
    <t>8323318933</t>
  </si>
  <si>
    <t>300640503</t>
  </si>
  <si>
    <t>8267360022</t>
  </si>
  <si>
    <t>260747892</t>
  </si>
  <si>
    <t>8335551282</t>
  </si>
  <si>
    <t>245082561</t>
  </si>
  <si>
    <t>TL</t>
  </si>
  <si>
    <t>BH</t>
  </si>
  <si>
    <t>Tổng TL</t>
  </si>
  <si>
    <t>TQL-BHXH</t>
  </si>
  <si>
    <t>Công Ty TNHH Sản Xuất Thương Mại Kim Dung Phát</t>
  </si>
  <si>
    <t>Địa chỉ: 1A227/1 ấp 1 - Xã Phạm Văn Hai - Huyện Bình Chánh - TP Hồ Chí Minh</t>
  </si>
  <si>
    <t>MST:0310686815 (Ngày DKT ban đầu: 14/03/2011)</t>
  </si>
  <si>
    <t>8335363169</t>
  </si>
  <si>
    <t>334485020</t>
  </si>
  <si>
    <t>Bùi Trường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</si>
</sst>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6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8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2"/>
  <sheetViews>
    <sheetView tabSelected="1" workbookViewId="0">
      <selection activeCell="A4" sqref="A4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10.85546875" customWidth="1"/>
    <col min="7" max="8" width="9.7109375" customWidth="1"/>
    <col min="9" max="9" width="10.570312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23" t="s">
        <v>114</v>
      </c>
      <c r="E1" s="41"/>
      <c r="F1" s="25"/>
      <c r="G1" s="25"/>
      <c r="H1" s="25"/>
      <c r="AI1" s="41"/>
      <c r="AJ1" s="41"/>
      <c r="AK1" s="41"/>
      <c r="AL1" s="41"/>
    </row>
    <row r="2" spans="1:38" s="2" customFormat="1">
      <c r="A2" s="224" t="s">
        <v>115</v>
      </c>
      <c r="E2" s="41"/>
      <c r="F2" s="25"/>
      <c r="G2" s="25"/>
      <c r="H2" s="25"/>
      <c r="AI2" s="41"/>
      <c r="AJ2" s="41"/>
      <c r="AK2" s="41"/>
      <c r="AL2" s="41"/>
    </row>
    <row r="3" spans="1:38" s="2" customFormat="1">
      <c r="A3" s="222"/>
      <c r="B3" s="98"/>
      <c r="E3" s="41"/>
      <c r="F3" s="25"/>
      <c r="G3" s="25"/>
      <c r="H3" s="25"/>
      <c r="AI3" s="41"/>
      <c r="AJ3" s="41"/>
      <c r="AK3" s="41"/>
      <c r="AL3" s="41"/>
    </row>
    <row r="4" spans="1:38" s="2" customFormat="1" ht="23.25" customHeight="1"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 t="s">
        <v>32</v>
      </c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41"/>
      <c r="AL4" s="41"/>
    </row>
    <row r="5" spans="1:38" s="2" customFormat="1" ht="23.25" customHeight="1"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 t="s">
        <v>116</v>
      </c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41"/>
      <c r="AL5" s="41"/>
    </row>
    <row r="6" spans="1:38" s="116" customFormat="1" ht="19.5" customHeight="1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5"/>
      <c r="AL6" s="115"/>
    </row>
    <row r="7" spans="1:38" s="1" customFormat="1" ht="20.25" customHeight="1">
      <c r="A7" s="236" t="s">
        <v>19</v>
      </c>
      <c r="B7" s="236" t="s">
        <v>3</v>
      </c>
      <c r="C7" s="236" t="s">
        <v>1</v>
      </c>
      <c r="D7" s="236" t="s">
        <v>2</v>
      </c>
      <c r="E7" s="239" t="s">
        <v>49</v>
      </c>
      <c r="F7" s="239"/>
      <c r="G7" s="228" t="s">
        <v>88</v>
      </c>
      <c r="H7" s="240"/>
      <c r="I7" s="229"/>
      <c r="J7" s="228" t="s">
        <v>54</v>
      </c>
      <c r="K7" s="229"/>
      <c r="L7" s="228" t="s">
        <v>55</v>
      </c>
      <c r="M7" s="229"/>
      <c r="N7" s="228" t="s">
        <v>56</v>
      </c>
      <c r="O7" s="229"/>
      <c r="P7" s="228" t="s">
        <v>57</v>
      </c>
      <c r="Q7" s="229"/>
      <c r="R7" s="228" t="s">
        <v>58</v>
      </c>
      <c r="S7" s="229"/>
      <c r="T7" s="228" t="s">
        <v>59</v>
      </c>
      <c r="U7" s="229"/>
      <c r="V7" s="228" t="s">
        <v>60</v>
      </c>
      <c r="W7" s="229"/>
      <c r="X7" s="228" t="s">
        <v>61</v>
      </c>
      <c r="Y7" s="229"/>
      <c r="Z7" s="228" t="s">
        <v>62</v>
      </c>
      <c r="AA7" s="229"/>
      <c r="AB7" s="228" t="s">
        <v>63</v>
      </c>
      <c r="AC7" s="229"/>
      <c r="AD7" s="228" t="s">
        <v>64</v>
      </c>
      <c r="AE7" s="229"/>
      <c r="AF7" s="228" t="s">
        <v>65</v>
      </c>
      <c r="AG7" s="229"/>
      <c r="AH7" s="237" t="s">
        <v>112</v>
      </c>
      <c r="AI7" s="237" t="s">
        <v>22</v>
      </c>
      <c r="AJ7" s="237" t="s">
        <v>11</v>
      </c>
      <c r="AK7" s="96"/>
      <c r="AL7" s="96"/>
    </row>
    <row r="8" spans="1:38" s="1" customFormat="1" ht="20.25" customHeight="1">
      <c r="A8" s="236"/>
      <c r="B8" s="236"/>
      <c r="C8" s="236"/>
      <c r="D8" s="236"/>
      <c r="E8" s="160" t="s">
        <v>72</v>
      </c>
      <c r="F8" s="160">
        <v>2015</v>
      </c>
      <c r="G8" s="218" t="s">
        <v>89</v>
      </c>
      <c r="H8" s="218" t="s">
        <v>90</v>
      </c>
      <c r="I8" s="218"/>
      <c r="J8" s="159" t="s">
        <v>111</v>
      </c>
      <c r="K8" s="218" t="s">
        <v>110</v>
      </c>
      <c r="L8" s="218" t="s">
        <v>111</v>
      </c>
      <c r="M8" s="218" t="s">
        <v>110</v>
      </c>
      <c r="N8" s="218" t="s">
        <v>111</v>
      </c>
      <c r="O8" s="218" t="s">
        <v>110</v>
      </c>
      <c r="P8" s="218" t="s">
        <v>111</v>
      </c>
      <c r="Q8" s="218" t="s">
        <v>110</v>
      </c>
      <c r="R8" s="218" t="s">
        <v>111</v>
      </c>
      <c r="S8" s="218" t="s">
        <v>110</v>
      </c>
      <c r="T8" s="218" t="s">
        <v>111</v>
      </c>
      <c r="U8" s="218" t="s">
        <v>110</v>
      </c>
      <c r="V8" s="218" t="s">
        <v>111</v>
      </c>
      <c r="W8" s="218" t="s">
        <v>110</v>
      </c>
      <c r="X8" s="218" t="s">
        <v>111</v>
      </c>
      <c r="Y8" s="218" t="s">
        <v>110</v>
      </c>
      <c r="Z8" s="218" t="s">
        <v>111</v>
      </c>
      <c r="AA8" s="218" t="s">
        <v>110</v>
      </c>
      <c r="AB8" s="218" t="s">
        <v>111</v>
      </c>
      <c r="AC8" s="218" t="s">
        <v>110</v>
      </c>
      <c r="AD8" s="218" t="s">
        <v>111</v>
      </c>
      <c r="AE8" s="218" t="s">
        <v>110</v>
      </c>
      <c r="AF8" s="218" t="s">
        <v>111</v>
      </c>
      <c r="AG8" s="218" t="s">
        <v>110</v>
      </c>
      <c r="AH8" s="238"/>
      <c r="AI8" s="238"/>
      <c r="AJ8" s="238"/>
      <c r="AK8" s="96"/>
      <c r="AL8" s="96"/>
    </row>
    <row r="9" spans="1:38" s="2" customFormat="1" ht="14.25" customHeight="1">
      <c r="A9" s="118">
        <v>1</v>
      </c>
      <c r="B9" s="118">
        <v>1</v>
      </c>
      <c r="C9" s="118">
        <v>2</v>
      </c>
      <c r="D9" s="118">
        <v>3</v>
      </c>
      <c r="E9" s="118">
        <v>4</v>
      </c>
      <c r="F9" s="118">
        <v>5</v>
      </c>
      <c r="G9" s="118">
        <v>6</v>
      </c>
      <c r="H9" s="118">
        <v>7</v>
      </c>
      <c r="I9" s="118">
        <v>8</v>
      </c>
      <c r="J9" s="118">
        <v>9</v>
      </c>
      <c r="K9" s="118">
        <v>10</v>
      </c>
      <c r="L9" s="118">
        <v>11</v>
      </c>
      <c r="M9" s="118">
        <v>12</v>
      </c>
      <c r="N9" s="118">
        <v>13</v>
      </c>
      <c r="O9" s="118">
        <v>14</v>
      </c>
      <c r="P9" s="118">
        <v>15</v>
      </c>
      <c r="Q9" s="118">
        <v>16</v>
      </c>
      <c r="R9" s="118">
        <v>17</v>
      </c>
      <c r="S9" s="118">
        <v>18</v>
      </c>
      <c r="T9" s="118">
        <v>19</v>
      </c>
      <c r="U9" s="118">
        <v>20</v>
      </c>
      <c r="V9" s="118">
        <v>21</v>
      </c>
      <c r="W9" s="118">
        <v>22</v>
      </c>
      <c r="X9" s="118">
        <v>23</v>
      </c>
      <c r="Y9" s="118">
        <v>24</v>
      </c>
      <c r="Z9" s="118">
        <v>25</v>
      </c>
      <c r="AA9" s="118">
        <v>26</v>
      </c>
      <c r="AB9" s="118">
        <v>27</v>
      </c>
      <c r="AC9" s="118">
        <v>28</v>
      </c>
      <c r="AD9" s="118">
        <v>29</v>
      </c>
      <c r="AE9" s="118">
        <v>30</v>
      </c>
      <c r="AF9" s="118">
        <v>31</v>
      </c>
      <c r="AG9" s="118">
        <v>32</v>
      </c>
      <c r="AH9" s="118">
        <v>33</v>
      </c>
      <c r="AI9" s="118">
        <v>34</v>
      </c>
      <c r="AJ9" s="118">
        <v>35</v>
      </c>
      <c r="AK9" s="41"/>
      <c r="AL9" s="41"/>
    </row>
    <row r="10" spans="1:38" s="148" customFormat="1" ht="21.75" customHeight="1">
      <c r="A10" s="145">
        <f>IF(B10&lt;&gt;"",ROW()-9,"")</f>
        <v>1</v>
      </c>
      <c r="B10" s="145" t="s">
        <v>74</v>
      </c>
      <c r="C10" s="149" t="s">
        <v>91</v>
      </c>
      <c r="D10" s="145" t="s">
        <v>92</v>
      </c>
      <c r="E10" s="178">
        <v>5000000</v>
      </c>
      <c r="F10" s="178">
        <v>5000000</v>
      </c>
      <c r="G10" s="219" t="s">
        <v>98</v>
      </c>
      <c r="H10" s="220" t="s">
        <v>99</v>
      </c>
      <c r="I10" s="141"/>
      <c r="J10" s="141"/>
      <c r="K10" s="141">
        <f t="shared" ref="K10:K18" si="0">IF(ISNA(VLOOKUP($B10,DS_01,18,0)),0,VLOOKUP($B10,DS_01,18,0))</f>
        <v>5375000</v>
      </c>
      <c r="L10" s="141"/>
      <c r="M10" s="141">
        <f t="shared" ref="M10:M18" si="1">IF(ISNA(VLOOKUP($B10,DS_02,18,0)),0,VLOOKUP($B10,DS_02,18,0))</f>
        <v>5285000</v>
      </c>
      <c r="N10" s="141"/>
      <c r="O10" s="141">
        <f t="shared" ref="O10:O18" si="2">IF(ISNA(VLOOKUP($B10,DS_03,18,0)),0,VLOOKUP($B10,DS_03,18,0))</f>
        <v>5405000</v>
      </c>
      <c r="P10" s="141"/>
      <c r="Q10" s="141">
        <f t="shared" ref="Q10:Q18" si="3">IF(ISNA(VLOOKUP($B10,DS_04,18,0)),0,VLOOKUP($B10,DS_04,18,0))</f>
        <v>5375000</v>
      </c>
      <c r="R10" s="141"/>
      <c r="S10" s="141">
        <f t="shared" ref="S10:S18" si="4">IF(ISNA(VLOOKUP($B10,DS_05,18,0)),0,VLOOKUP($B10,DS_05,18,0))</f>
        <v>5375000</v>
      </c>
      <c r="T10" s="141"/>
      <c r="U10" s="141">
        <f t="shared" ref="U10:U18" si="5">IF(ISNA(VLOOKUP($B10,DS_06,18,0)),0,VLOOKUP($B10,DS_06,18,0))</f>
        <v>5390000</v>
      </c>
      <c r="V10" s="141"/>
      <c r="W10" s="141">
        <f t="shared" ref="W10:W18" si="6">IF(ISNA(VLOOKUP($B10,DS_07,18,0)),0,VLOOKUP($B10,DS_07,18,0))</f>
        <v>5390000</v>
      </c>
      <c r="X10" s="141"/>
      <c r="Y10" s="141">
        <f t="shared" ref="Y10:Y18" si="7">IF(ISNA(VLOOKUP($B10,DS_08,18,0)),0,VLOOKUP($B10,DS_08,18,0))</f>
        <v>5405000</v>
      </c>
      <c r="Z10" s="141"/>
      <c r="AA10" s="141">
        <f t="shared" ref="AA10:AA18" si="8">IF(ISNA(VLOOKUP($B10,DS_09,18,0)),0,VLOOKUP($B10,DS_09,18,0))</f>
        <v>5375000</v>
      </c>
      <c r="AB10" s="141"/>
      <c r="AC10" s="141">
        <f t="shared" ref="AC10:AC18" si="9">IF(ISNA(VLOOKUP($B10,DS_10,18,0)),0,VLOOKUP($B10,DS_10,18,0))</f>
        <v>5390000</v>
      </c>
      <c r="AD10" s="141"/>
      <c r="AE10" s="141">
        <f t="shared" ref="AE10:AE18" si="10">IF(ISNA(VLOOKUP($B10,DS_11,18,0)),0,VLOOKUP($B10,DS_11,18,0))</f>
        <v>5390000</v>
      </c>
      <c r="AF10" s="141"/>
      <c r="AG10" s="141">
        <f t="shared" ref="AG10:AG18" si="11">IF(ISNA(VLOOKUP($B10,DS_12,18,0)),0,VLOOKUP($B10,DS_12,18,0))</f>
        <v>5405000</v>
      </c>
      <c r="AH10" s="141">
        <f t="shared" ref="AH10:AH17" si="12">K10+M10+O10+Q10+S10+U10+W10+Y10+AA10+AC10+AE10+AG10</f>
        <v>64560000</v>
      </c>
      <c r="AI10" s="141"/>
      <c r="AJ10" s="141"/>
      <c r="AK10" s="146"/>
      <c r="AL10" s="147"/>
    </row>
    <row r="11" spans="1:38" s="148" customFormat="1" ht="21.75" customHeight="1">
      <c r="A11" s="145">
        <f t="shared" ref="A11:A16" si="13">IF(B11&lt;&gt;"",ROW()-9,"")</f>
        <v>2</v>
      </c>
      <c r="B11" s="145" t="s">
        <v>75</v>
      </c>
      <c r="C11" s="153" t="s">
        <v>93</v>
      </c>
      <c r="D11" s="145" t="s">
        <v>94</v>
      </c>
      <c r="E11" s="178">
        <v>5000000</v>
      </c>
      <c r="F11" s="178">
        <v>5000000</v>
      </c>
      <c r="G11" s="221" t="s">
        <v>100</v>
      </c>
      <c r="H11" s="220" t="s">
        <v>101</v>
      </c>
      <c r="I11" s="141"/>
      <c r="J11" s="141"/>
      <c r="K11" s="141">
        <f t="shared" si="0"/>
        <v>5375000</v>
      </c>
      <c r="L11" s="141"/>
      <c r="M11" s="141">
        <f t="shared" si="1"/>
        <v>5285000</v>
      </c>
      <c r="N11" s="141"/>
      <c r="O11" s="141">
        <f t="shared" si="2"/>
        <v>5405000</v>
      </c>
      <c r="P11" s="141"/>
      <c r="Q11" s="141">
        <f t="shared" si="3"/>
        <v>0</v>
      </c>
      <c r="R11" s="141"/>
      <c r="S11" s="141">
        <f t="shared" si="4"/>
        <v>0</v>
      </c>
      <c r="T11" s="141"/>
      <c r="U11" s="141">
        <f t="shared" si="5"/>
        <v>0</v>
      </c>
      <c r="V11" s="141"/>
      <c r="W11" s="141">
        <f t="shared" si="6"/>
        <v>0</v>
      </c>
      <c r="X11" s="141"/>
      <c r="Y11" s="141">
        <f t="shared" si="7"/>
        <v>0</v>
      </c>
      <c r="Z11" s="141"/>
      <c r="AA11" s="141">
        <f t="shared" si="8"/>
        <v>0</v>
      </c>
      <c r="AB11" s="141"/>
      <c r="AC11" s="141">
        <f t="shared" si="9"/>
        <v>0</v>
      </c>
      <c r="AD11" s="141"/>
      <c r="AE11" s="141">
        <f t="shared" si="10"/>
        <v>0</v>
      </c>
      <c r="AF11" s="141"/>
      <c r="AG11" s="141">
        <f t="shared" si="11"/>
        <v>0</v>
      </c>
      <c r="AH11" s="141">
        <f t="shared" si="12"/>
        <v>16065000</v>
      </c>
      <c r="AI11" s="141"/>
      <c r="AJ11" s="141"/>
      <c r="AK11" s="146"/>
      <c r="AL11" s="147"/>
    </row>
    <row r="12" spans="1:38" s="157" customFormat="1" ht="21.75" customHeight="1">
      <c r="A12" s="145">
        <f t="shared" si="13"/>
        <v>3</v>
      </c>
      <c r="B12" s="152" t="s">
        <v>76</v>
      </c>
      <c r="C12" s="153" t="s">
        <v>119</v>
      </c>
      <c r="D12" s="151" t="s">
        <v>79</v>
      </c>
      <c r="E12" s="154">
        <v>5000000</v>
      </c>
      <c r="F12" s="154">
        <v>5000000</v>
      </c>
      <c r="G12" s="221" t="s">
        <v>117</v>
      </c>
      <c r="H12" s="221" t="s">
        <v>118</v>
      </c>
      <c r="I12" s="154"/>
      <c r="J12" s="154"/>
      <c r="K12" s="141">
        <f t="shared" si="0"/>
        <v>5375000</v>
      </c>
      <c r="L12" s="154"/>
      <c r="M12" s="141">
        <f t="shared" si="1"/>
        <v>5285000</v>
      </c>
      <c r="N12" s="154"/>
      <c r="O12" s="141">
        <f t="shared" si="2"/>
        <v>5405000</v>
      </c>
      <c r="P12" s="154"/>
      <c r="Q12" s="141">
        <f t="shared" si="3"/>
        <v>5375000</v>
      </c>
      <c r="R12" s="154"/>
      <c r="S12" s="141">
        <f t="shared" si="4"/>
        <v>5375000</v>
      </c>
      <c r="T12" s="154"/>
      <c r="U12" s="141">
        <f t="shared" si="5"/>
        <v>5390000</v>
      </c>
      <c r="V12" s="154"/>
      <c r="W12" s="141">
        <f t="shared" si="6"/>
        <v>5390000</v>
      </c>
      <c r="X12" s="154"/>
      <c r="Y12" s="141">
        <f t="shared" si="7"/>
        <v>5405000</v>
      </c>
      <c r="Z12" s="154"/>
      <c r="AA12" s="141">
        <f t="shared" si="8"/>
        <v>5375000</v>
      </c>
      <c r="AB12" s="154"/>
      <c r="AC12" s="141">
        <f t="shared" si="9"/>
        <v>5390000</v>
      </c>
      <c r="AD12" s="154"/>
      <c r="AE12" s="141">
        <f t="shared" si="10"/>
        <v>5390000</v>
      </c>
      <c r="AF12" s="154"/>
      <c r="AG12" s="141">
        <f t="shared" si="11"/>
        <v>5405000</v>
      </c>
      <c r="AH12" s="141">
        <f t="shared" si="12"/>
        <v>64560000</v>
      </c>
      <c r="AI12" s="154"/>
      <c r="AJ12" s="154"/>
      <c r="AK12" s="155"/>
      <c r="AL12" s="156"/>
    </row>
    <row r="13" spans="1:38" s="157" customFormat="1" ht="21.75" customHeight="1">
      <c r="A13" s="145">
        <f t="shared" si="13"/>
        <v>4</v>
      </c>
      <c r="B13" s="152" t="s">
        <v>77</v>
      </c>
      <c r="C13" s="153" t="s">
        <v>95</v>
      </c>
      <c r="D13" s="151" t="s">
        <v>83</v>
      </c>
      <c r="E13" s="154">
        <v>5000000</v>
      </c>
      <c r="F13" s="154">
        <v>5000000</v>
      </c>
      <c r="G13" s="221" t="s">
        <v>102</v>
      </c>
      <c r="H13" s="221" t="s">
        <v>103</v>
      </c>
      <c r="I13" s="154"/>
      <c r="J13" s="154"/>
      <c r="K13" s="141">
        <f t="shared" si="0"/>
        <v>5375000</v>
      </c>
      <c r="L13" s="154"/>
      <c r="M13" s="141">
        <f t="shared" si="1"/>
        <v>5285000</v>
      </c>
      <c r="N13" s="154"/>
      <c r="O13" s="141">
        <f t="shared" si="2"/>
        <v>5405000</v>
      </c>
      <c r="P13" s="154"/>
      <c r="Q13" s="141">
        <f t="shared" si="3"/>
        <v>5375000</v>
      </c>
      <c r="R13" s="154"/>
      <c r="S13" s="141">
        <f t="shared" si="4"/>
        <v>5375000</v>
      </c>
      <c r="T13" s="154"/>
      <c r="U13" s="141">
        <f t="shared" si="5"/>
        <v>5390000</v>
      </c>
      <c r="V13" s="154"/>
      <c r="W13" s="141">
        <f t="shared" si="6"/>
        <v>5390000</v>
      </c>
      <c r="X13" s="154"/>
      <c r="Y13" s="141">
        <f t="shared" si="7"/>
        <v>5405000</v>
      </c>
      <c r="Z13" s="154"/>
      <c r="AA13" s="141">
        <f t="shared" si="8"/>
        <v>5375000</v>
      </c>
      <c r="AB13" s="154"/>
      <c r="AC13" s="141">
        <f t="shared" si="9"/>
        <v>5390000</v>
      </c>
      <c r="AD13" s="154"/>
      <c r="AE13" s="141">
        <f t="shared" si="10"/>
        <v>5390000</v>
      </c>
      <c r="AF13" s="154"/>
      <c r="AG13" s="141">
        <f t="shared" si="11"/>
        <v>5405000</v>
      </c>
      <c r="AH13" s="141">
        <f t="shared" si="12"/>
        <v>64560000</v>
      </c>
      <c r="AI13" s="154"/>
      <c r="AJ13" s="154"/>
      <c r="AK13" s="155"/>
      <c r="AL13" s="156"/>
    </row>
    <row r="14" spans="1:38" s="157" customFormat="1" ht="21.75" customHeight="1">
      <c r="A14" s="145">
        <f t="shared" si="13"/>
        <v>5</v>
      </c>
      <c r="B14" s="152" t="s">
        <v>78</v>
      </c>
      <c r="C14" s="215" t="s">
        <v>96</v>
      </c>
      <c r="D14" s="152" t="s">
        <v>83</v>
      </c>
      <c r="E14" s="154">
        <v>4200000</v>
      </c>
      <c r="F14" s="154">
        <v>4200000</v>
      </c>
      <c r="G14" s="221" t="s">
        <v>104</v>
      </c>
      <c r="H14" s="221" t="s">
        <v>105</v>
      </c>
      <c r="I14" s="154"/>
      <c r="J14" s="154"/>
      <c r="K14" s="141">
        <f t="shared" si="0"/>
        <v>4575000</v>
      </c>
      <c r="L14" s="154"/>
      <c r="M14" s="141">
        <f t="shared" si="1"/>
        <v>4485000</v>
      </c>
      <c r="N14" s="154"/>
      <c r="O14" s="141">
        <f t="shared" si="2"/>
        <v>4605000</v>
      </c>
      <c r="P14" s="154"/>
      <c r="Q14" s="141">
        <f t="shared" si="3"/>
        <v>0</v>
      </c>
      <c r="R14" s="154"/>
      <c r="S14" s="141">
        <f t="shared" si="4"/>
        <v>0</v>
      </c>
      <c r="T14" s="154"/>
      <c r="U14" s="141">
        <f t="shared" si="5"/>
        <v>0</v>
      </c>
      <c r="V14" s="154"/>
      <c r="W14" s="141">
        <f t="shared" si="6"/>
        <v>0</v>
      </c>
      <c r="X14" s="154"/>
      <c r="Y14" s="141">
        <f t="shared" si="7"/>
        <v>0</v>
      </c>
      <c r="Z14" s="154"/>
      <c r="AA14" s="141">
        <f t="shared" si="8"/>
        <v>0</v>
      </c>
      <c r="AB14" s="154"/>
      <c r="AC14" s="141">
        <f t="shared" si="9"/>
        <v>0</v>
      </c>
      <c r="AD14" s="154"/>
      <c r="AE14" s="141">
        <f t="shared" si="10"/>
        <v>0</v>
      </c>
      <c r="AF14" s="154"/>
      <c r="AG14" s="141">
        <f t="shared" si="11"/>
        <v>0</v>
      </c>
      <c r="AH14" s="141">
        <f t="shared" si="12"/>
        <v>13665000</v>
      </c>
      <c r="AI14" s="154"/>
      <c r="AJ14" s="154"/>
      <c r="AK14" s="155"/>
      <c r="AL14" s="156"/>
    </row>
    <row r="15" spans="1:38" s="157" customFormat="1" ht="21.75" customHeight="1">
      <c r="A15" s="145">
        <f t="shared" si="13"/>
        <v>6</v>
      </c>
      <c r="B15" s="152" t="s">
        <v>84</v>
      </c>
      <c r="C15" s="153" t="s">
        <v>86</v>
      </c>
      <c r="D15" s="151" t="s">
        <v>87</v>
      </c>
      <c r="E15" s="154">
        <v>5000000</v>
      </c>
      <c r="F15" s="154">
        <v>5000000</v>
      </c>
      <c r="G15" s="221" t="s">
        <v>106</v>
      </c>
      <c r="H15" s="221" t="s">
        <v>107</v>
      </c>
      <c r="I15" s="154"/>
      <c r="J15" s="154"/>
      <c r="K15" s="141">
        <f t="shared" si="0"/>
        <v>5375000</v>
      </c>
      <c r="L15" s="154"/>
      <c r="M15" s="141">
        <f t="shared" si="1"/>
        <v>5285000</v>
      </c>
      <c r="N15" s="154"/>
      <c r="O15" s="141">
        <f t="shared" si="2"/>
        <v>5405000</v>
      </c>
      <c r="P15" s="154"/>
      <c r="Q15" s="141">
        <f t="shared" si="3"/>
        <v>5375000</v>
      </c>
      <c r="R15" s="154"/>
      <c r="S15" s="141">
        <f t="shared" si="4"/>
        <v>5375000</v>
      </c>
      <c r="T15" s="154"/>
      <c r="U15" s="141">
        <f t="shared" si="5"/>
        <v>5390000</v>
      </c>
      <c r="V15" s="154"/>
      <c r="W15" s="141">
        <f t="shared" si="6"/>
        <v>5390000</v>
      </c>
      <c r="X15" s="154"/>
      <c r="Y15" s="141">
        <f t="shared" si="7"/>
        <v>5405000</v>
      </c>
      <c r="Z15" s="154"/>
      <c r="AA15" s="141">
        <f t="shared" si="8"/>
        <v>5375000</v>
      </c>
      <c r="AB15" s="154"/>
      <c r="AC15" s="141">
        <f t="shared" si="9"/>
        <v>5390000</v>
      </c>
      <c r="AD15" s="154"/>
      <c r="AE15" s="141">
        <f t="shared" si="10"/>
        <v>5390000</v>
      </c>
      <c r="AF15" s="154"/>
      <c r="AG15" s="141">
        <f t="shared" si="11"/>
        <v>5405000</v>
      </c>
      <c r="AH15" s="141">
        <f t="shared" si="12"/>
        <v>64560000</v>
      </c>
      <c r="AI15" s="154"/>
      <c r="AJ15" s="154"/>
      <c r="AK15" s="155"/>
      <c r="AL15" s="156"/>
    </row>
    <row r="16" spans="1:38" s="157" customFormat="1" ht="21.75" customHeight="1">
      <c r="A16" s="145">
        <f t="shared" si="13"/>
        <v>7</v>
      </c>
      <c r="B16" s="152" t="s">
        <v>85</v>
      </c>
      <c r="C16" s="215" t="s">
        <v>97</v>
      </c>
      <c r="D16" s="152" t="s">
        <v>87</v>
      </c>
      <c r="E16" s="154">
        <v>4200000</v>
      </c>
      <c r="F16" s="154">
        <v>4200000</v>
      </c>
      <c r="G16" s="221" t="s">
        <v>108</v>
      </c>
      <c r="H16" s="221" t="s">
        <v>109</v>
      </c>
      <c r="I16" s="154"/>
      <c r="J16" s="154"/>
      <c r="K16" s="141">
        <f t="shared" si="0"/>
        <v>4575000</v>
      </c>
      <c r="L16" s="154"/>
      <c r="M16" s="141">
        <f t="shared" si="1"/>
        <v>4485000</v>
      </c>
      <c r="N16" s="154"/>
      <c r="O16" s="141">
        <f t="shared" si="2"/>
        <v>4605000</v>
      </c>
      <c r="P16" s="154"/>
      <c r="Q16" s="141">
        <f t="shared" si="3"/>
        <v>0</v>
      </c>
      <c r="R16" s="154"/>
      <c r="S16" s="141">
        <f t="shared" si="4"/>
        <v>0</v>
      </c>
      <c r="T16" s="154"/>
      <c r="U16" s="141">
        <f t="shared" si="5"/>
        <v>0</v>
      </c>
      <c r="V16" s="154"/>
      <c r="W16" s="141">
        <f t="shared" si="6"/>
        <v>0</v>
      </c>
      <c r="X16" s="154"/>
      <c r="Y16" s="141">
        <f t="shared" si="7"/>
        <v>0</v>
      </c>
      <c r="Z16" s="154"/>
      <c r="AA16" s="141">
        <f t="shared" si="8"/>
        <v>0</v>
      </c>
      <c r="AB16" s="154"/>
      <c r="AC16" s="141">
        <f t="shared" si="9"/>
        <v>0</v>
      </c>
      <c r="AD16" s="154"/>
      <c r="AE16" s="141">
        <f t="shared" si="10"/>
        <v>0</v>
      </c>
      <c r="AF16" s="154"/>
      <c r="AG16" s="141">
        <f t="shared" si="11"/>
        <v>0</v>
      </c>
      <c r="AH16" s="141">
        <f t="shared" si="12"/>
        <v>13665000</v>
      </c>
      <c r="AI16" s="154"/>
      <c r="AJ16" s="154"/>
      <c r="AK16" s="155"/>
      <c r="AL16" s="156"/>
    </row>
    <row r="17" spans="1:38" s="2" customFormat="1" ht="21.75" customHeight="1">
      <c r="A17" s="151" t="str">
        <f t="shared" ref="A17:A18" si="14">IF(B17&lt;&gt;"",ROW()-10,"")</f>
        <v/>
      </c>
      <c r="B17" s="17"/>
      <c r="C17" s="42"/>
      <c r="D17" s="130"/>
      <c r="E17" s="18"/>
      <c r="F17" s="18"/>
      <c r="G17" s="18"/>
      <c r="H17" s="18"/>
      <c r="I17" s="18"/>
      <c r="J17" s="18"/>
      <c r="K17" s="141">
        <f t="shared" si="0"/>
        <v>0</v>
      </c>
      <c r="L17" s="18"/>
      <c r="M17" s="141">
        <f t="shared" si="1"/>
        <v>0</v>
      </c>
      <c r="N17" s="18"/>
      <c r="O17" s="141">
        <f t="shared" si="2"/>
        <v>0</v>
      </c>
      <c r="P17" s="18"/>
      <c r="Q17" s="141">
        <f t="shared" si="3"/>
        <v>0</v>
      </c>
      <c r="R17" s="18"/>
      <c r="S17" s="141">
        <f t="shared" si="4"/>
        <v>0</v>
      </c>
      <c r="T17" s="18"/>
      <c r="U17" s="141">
        <f t="shared" si="5"/>
        <v>0</v>
      </c>
      <c r="V17" s="18"/>
      <c r="W17" s="141">
        <f t="shared" si="6"/>
        <v>0</v>
      </c>
      <c r="X17" s="18"/>
      <c r="Y17" s="141">
        <f t="shared" si="7"/>
        <v>0</v>
      </c>
      <c r="Z17" s="18"/>
      <c r="AA17" s="141">
        <f t="shared" si="8"/>
        <v>0</v>
      </c>
      <c r="AB17" s="18"/>
      <c r="AC17" s="141">
        <f t="shared" si="9"/>
        <v>0</v>
      </c>
      <c r="AD17" s="18"/>
      <c r="AE17" s="141">
        <f t="shared" si="10"/>
        <v>0</v>
      </c>
      <c r="AF17" s="18"/>
      <c r="AG17" s="141">
        <f t="shared" si="11"/>
        <v>0</v>
      </c>
      <c r="AH17" s="141">
        <f t="shared" si="12"/>
        <v>0</v>
      </c>
      <c r="AI17" s="18"/>
      <c r="AJ17" s="18"/>
      <c r="AK17" s="96"/>
      <c r="AL17" s="41"/>
    </row>
    <row r="18" spans="1:38" s="2" customFormat="1" ht="21.75" customHeight="1">
      <c r="A18" s="145" t="str">
        <f t="shared" si="14"/>
        <v/>
      </c>
      <c r="B18" s="131"/>
      <c r="C18" s="138"/>
      <c r="D18" s="137"/>
      <c r="E18" s="139"/>
      <c r="F18" s="139"/>
      <c r="G18" s="139"/>
      <c r="H18" s="139"/>
      <c r="I18" s="139"/>
      <c r="J18" s="139"/>
      <c r="K18" s="141">
        <f t="shared" si="0"/>
        <v>0</v>
      </c>
      <c r="L18" s="139"/>
      <c r="M18" s="141">
        <f t="shared" si="1"/>
        <v>0</v>
      </c>
      <c r="N18" s="139"/>
      <c r="O18" s="141">
        <f t="shared" si="2"/>
        <v>0</v>
      </c>
      <c r="P18" s="139"/>
      <c r="Q18" s="141">
        <f t="shared" si="3"/>
        <v>0</v>
      </c>
      <c r="R18" s="139"/>
      <c r="S18" s="141">
        <f t="shared" si="4"/>
        <v>0</v>
      </c>
      <c r="T18" s="139"/>
      <c r="U18" s="141">
        <f t="shared" si="5"/>
        <v>0</v>
      </c>
      <c r="V18" s="139"/>
      <c r="W18" s="141">
        <f t="shared" si="6"/>
        <v>0</v>
      </c>
      <c r="X18" s="139"/>
      <c r="Y18" s="141">
        <f t="shared" si="7"/>
        <v>0</v>
      </c>
      <c r="Z18" s="139"/>
      <c r="AA18" s="141">
        <f t="shared" si="8"/>
        <v>0</v>
      </c>
      <c r="AB18" s="139"/>
      <c r="AC18" s="141">
        <f t="shared" si="9"/>
        <v>0</v>
      </c>
      <c r="AD18" s="139"/>
      <c r="AE18" s="141">
        <f t="shared" si="10"/>
        <v>0</v>
      </c>
      <c r="AF18" s="139"/>
      <c r="AG18" s="141">
        <f t="shared" si="11"/>
        <v>0</v>
      </c>
      <c r="AH18" s="141">
        <f>K18+M18+O18+Q18+S18+U18+W18+Y18+AA18+AC18+AE18+AG18</f>
        <v>0</v>
      </c>
      <c r="AI18" s="139"/>
      <c r="AJ18" s="139"/>
      <c r="AK18" s="96"/>
      <c r="AL18" s="41"/>
    </row>
    <row r="19" spans="1:38" s="2" customFormat="1" ht="21.75" customHeight="1">
      <c r="A19" s="230" t="s">
        <v>23</v>
      </c>
      <c r="B19" s="231"/>
      <c r="C19" s="231"/>
      <c r="D19" s="142" t="s">
        <v>113</v>
      </c>
      <c r="E19" s="140">
        <f>SUM(E10:E18)</f>
        <v>33400000</v>
      </c>
      <c r="F19" s="140">
        <f>SUM(F10:F18)</f>
        <v>33400000</v>
      </c>
      <c r="G19" s="140"/>
      <c r="H19" s="140"/>
      <c r="I19" s="140"/>
      <c r="J19" s="140"/>
      <c r="K19" s="140">
        <f>SUMIF(J$10:J$18,"x",$E$10:$E$18)</f>
        <v>0</v>
      </c>
      <c r="L19" s="140"/>
      <c r="M19" s="140">
        <f>SUMIF(L$10:L$18,"x",$E$10:$E$18)</f>
        <v>0</v>
      </c>
      <c r="N19" s="140"/>
      <c r="O19" s="140">
        <f>SUMIF(N$10:N$18,"x",$E$10:$E$18)</f>
        <v>0</v>
      </c>
      <c r="P19" s="140"/>
      <c r="Q19" s="140">
        <f>SUMIF(P$10:P$18,"x",$E$10:$E$18)</f>
        <v>0</v>
      </c>
      <c r="R19" s="140"/>
      <c r="S19" s="140">
        <f>SUMIF(R$10:R$18,"x",$E$10:$E$18)</f>
        <v>0</v>
      </c>
      <c r="T19" s="140"/>
      <c r="U19" s="140">
        <f>SUMIF(T$10:T$18,"x",$E$10:$E$18)</f>
        <v>0</v>
      </c>
      <c r="V19" s="140"/>
      <c r="W19" s="140">
        <f>SUMIF(V$10:V$18,"x",$E$10:$E$18)</f>
        <v>0</v>
      </c>
      <c r="X19" s="140"/>
      <c r="Y19" s="140">
        <f>SUMIF(X$10:X$18,"x",$E$10:$E$18)</f>
        <v>0</v>
      </c>
      <c r="Z19" s="140"/>
      <c r="AA19" s="140">
        <f>SUMIF(Z$10:Z$18,"x",$E$10:$E$18)</f>
        <v>0</v>
      </c>
      <c r="AB19" s="140"/>
      <c r="AC19" s="140">
        <f>SUMIF(AB$10:AB$18,"x",$E$10:$E$18)</f>
        <v>0</v>
      </c>
      <c r="AD19" s="140"/>
      <c r="AE19" s="140">
        <f>SUMIF(AD$10:AD$18,"x",$E$10:$E$18)</f>
        <v>0</v>
      </c>
      <c r="AF19" s="140"/>
      <c r="AG19" s="140">
        <f>SUMIF(AF$10:AF$18,"x",$E$10:$E$18)</f>
        <v>0</v>
      </c>
      <c r="AH19" s="140">
        <f t="shared" ref="AH19:AH21" si="15">K19+M19+O19+Q19+S19+U19+W19+Y19+AA19+AC19+AE19+AG19</f>
        <v>0</v>
      </c>
      <c r="AI19" s="140"/>
      <c r="AJ19" s="140"/>
      <c r="AK19" s="96"/>
      <c r="AL19" s="41"/>
    </row>
    <row r="20" spans="1:38" s="2" customFormat="1" ht="21.75" customHeight="1">
      <c r="A20" s="232"/>
      <c r="B20" s="233"/>
      <c r="C20" s="233"/>
      <c r="D20" s="142" t="s">
        <v>66</v>
      </c>
      <c r="E20" s="140"/>
      <c r="F20" s="140"/>
      <c r="G20" s="140"/>
      <c r="H20" s="140"/>
      <c r="I20" s="140"/>
      <c r="J20" s="140">
        <f t="array" ref="J20">SUM((J$10:J$18="x")*1)</f>
        <v>0</v>
      </c>
      <c r="K20" s="140"/>
      <c r="L20" s="140">
        <f t="array" ref="L20">SUM((L$10:L$18="x")*1)</f>
        <v>0</v>
      </c>
      <c r="M20" s="140"/>
      <c r="N20" s="140">
        <f t="array" ref="N20">SUM((N$10:N$18="x")*1)</f>
        <v>0</v>
      </c>
      <c r="O20" s="140"/>
      <c r="P20" s="140">
        <f t="array" ref="P20">SUM((P$10:P$18="x")*1)</f>
        <v>0</v>
      </c>
      <c r="Q20" s="140"/>
      <c r="R20" s="140">
        <f t="array" ref="R20">SUM((R$10:R$18="x")*1)</f>
        <v>0</v>
      </c>
      <c r="S20" s="140"/>
      <c r="T20" s="140">
        <f t="array" ref="T20">SUM((T$10:T$18="x")*1)</f>
        <v>0</v>
      </c>
      <c r="U20" s="140"/>
      <c r="V20" s="140">
        <f t="array" ref="V20">SUM((V$10:V$18="x")*1)</f>
        <v>0</v>
      </c>
      <c r="W20" s="140"/>
      <c r="X20" s="140">
        <f t="array" ref="X20">SUM((X$10:X$18="x")*1)</f>
        <v>0</v>
      </c>
      <c r="Y20" s="140"/>
      <c r="Z20" s="140">
        <f t="array" ref="Z20">SUM((Z$10:Z$18="x")*1)</f>
        <v>0</v>
      </c>
      <c r="AA20" s="140"/>
      <c r="AB20" s="140">
        <f t="array" ref="AB20">SUM((AB$10:AB$18="x")*1)</f>
        <v>0</v>
      </c>
      <c r="AC20" s="140"/>
      <c r="AD20" s="140">
        <f t="array" ref="AD20">SUM((AD$10:AD$18="x")*1)</f>
        <v>0</v>
      </c>
      <c r="AE20" s="140"/>
      <c r="AF20" s="140">
        <f t="array" ref="AF20">SUM((AF$10:AF$18="x")*1)</f>
        <v>0</v>
      </c>
      <c r="AG20" s="140"/>
      <c r="AH20" s="140"/>
      <c r="AI20" s="140"/>
      <c r="AJ20" s="140"/>
      <c r="AK20" s="96"/>
      <c r="AL20" s="41"/>
    </row>
    <row r="21" spans="1:38" s="2" customFormat="1" ht="21.75" customHeight="1">
      <c r="A21" s="234"/>
      <c r="B21" s="235"/>
      <c r="C21" s="235"/>
      <c r="D21" s="142" t="s">
        <v>67</v>
      </c>
      <c r="E21" s="140"/>
      <c r="F21" s="140"/>
      <c r="G21" s="140"/>
      <c r="H21" s="140"/>
      <c r="I21" s="140"/>
      <c r="J21" s="140"/>
      <c r="K21" s="140">
        <f>SUM(K10:K18)</f>
        <v>36025000</v>
      </c>
      <c r="L21" s="140"/>
      <c r="M21" s="140">
        <f>SUM(M10:M18)</f>
        <v>35395000</v>
      </c>
      <c r="N21" s="140"/>
      <c r="O21" s="140">
        <f t="shared" ref="O21:AG21" si="16">SUM(O10:O18)</f>
        <v>36235000</v>
      </c>
      <c r="P21" s="140"/>
      <c r="Q21" s="140">
        <f t="shared" si="16"/>
        <v>21500000</v>
      </c>
      <c r="R21" s="140"/>
      <c r="S21" s="140">
        <f t="shared" si="16"/>
        <v>21500000</v>
      </c>
      <c r="T21" s="140"/>
      <c r="U21" s="140">
        <f t="shared" si="16"/>
        <v>21560000</v>
      </c>
      <c r="V21" s="140"/>
      <c r="W21" s="140">
        <f t="shared" si="16"/>
        <v>21560000</v>
      </c>
      <c r="X21" s="140"/>
      <c r="Y21" s="140">
        <f t="shared" si="16"/>
        <v>21620000</v>
      </c>
      <c r="Z21" s="140"/>
      <c r="AA21" s="140">
        <f t="shared" si="16"/>
        <v>21500000</v>
      </c>
      <c r="AB21" s="140"/>
      <c r="AC21" s="140">
        <f t="shared" si="16"/>
        <v>21560000</v>
      </c>
      <c r="AD21" s="140"/>
      <c r="AE21" s="140">
        <f t="shared" si="16"/>
        <v>21560000</v>
      </c>
      <c r="AF21" s="140"/>
      <c r="AG21" s="140">
        <f t="shared" si="16"/>
        <v>21620000</v>
      </c>
      <c r="AH21" s="140">
        <f t="shared" si="15"/>
        <v>301635000</v>
      </c>
      <c r="AI21" s="140"/>
      <c r="AJ21" s="140"/>
      <c r="AK21" s="96"/>
      <c r="AL21" s="41"/>
    </row>
    <row r="22" spans="1:38" s="2" customFormat="1" ht="11.25" customHeight="1">
      <c r="A22" s="19"/>
      <c r="B22" s="19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41"/>
      <c r="AL22" s="41"/>
    </row>
  </sheetData>
  <protectedRanges>
    <protectedRange password="CC78" sqref="B7:D8 AI7:AI8 J19:AG21 AK7:JS11 F7:H7 C17:H21 AI12:JS17 J11 C23:JS65166 AI11:AJ11 AH11:AH17 B22:B65166 B9:AJ9 J17:J18 L17:L18 L11 N17:N18 N11 P17:P18 P11 R11 T17:T18 T11 V17:V18 V11 X17:X18 X11 Z17:Z18 Z11 AB17:AB18 AB11 AD17:AD18 AD11 AF17:AF18 AF11 J10:AJ10 AG11:AG18 AE11:AE18 AC11:AC18 Y11:Y18 AA11:AA18 W11:W18 U11:U18 K11:K18 M11:M18 O11:O18 R17:R18 Q11:Q18 S11:S18 A7:A65166 AH18:JS21" name="Range1"/>
    <protectedRange password="CC78" sqref="O4:JS6 A6:N6 B4:N5" name="Range1_2"/>
    <protectedRange password="CC78" sqref="I10:I21 I7:AH8" name="Range1_3"/>
    <protectedRange password="CC78" sqref="B17:B21" name="Range1_1"/>
    <protectedRange password="CC78" sqref="E7:E8 F8" name="Range1_4"/>
    <protectedRange password="CC78" sqref="J11:J16 L11:L16 N11:N16 P11:P16 R11:R16 T11:T16 V11:V16 X11:X16 Z11:Z16 AB11:AB16 AD11:AD16 AF11:AF16 J10:AG10 AG11:AG18 AE11:AE18 AC11:AC18 Y11:Y18 AA11:AA18 W11:W18 U11:U18 K11:K18 M11:M18 O11:O18 Q11:Q18 S11:S18" name="Range1_11"/>
    <protectedRange password="CC78" sqref="B12:B16" name="Range1_6_1"/>
    <protectedRange password="CC78" sqref="E10:F16" name="Range1_8"/>
    <protectedRange password="CC78" sqref="C14:D14 C16:D16" name="Range1_5_1"/>
    <protectedRange password="CC78" sqref="D12:D13 D15" name="Range1_7_1_1"/>
    <protectedRange password="CC78" sqref="H12" name="Range1_3_2"/>
    <protectedRange password="CC78" sqref="G11:G16" name="Range1_11_1"/>
    <protectedRange password="CC78" sqref="H10" name="Range1_6"/>
    <protectedRange password="CC78" sqref="H10" name="Range1_11_2"/>
    <protectedRange password="CC78" sqref="G10" name="Range1_8_1"/>
    <protectedRange password="CC78" sqref="H11" name="Range1_3_2_1"/>
    <protectedRange password="CC78" sqref="H15 H13" name="Range1_3_3"/>
    <protectedRange password="CC78" sqref="H14" name="Range1_11_1_1"/>
    <protectedRange password="CC78" sqref="H16" name="Range1_11_1_1_1"/>
  </protectedRanges>
  <autoFilter ref="A9:AL13"/>
  <mergeCells count="22">
    <mergeCell ref="A19:C21"/>
    <mergeCell ref="B7:B8"/>
    <mergeCell ref="A7:A8"/>
    <mergeCell ref="C7:C8"/>
    <mergeCell ref="AJ7:AJ8"/>
    <mergeCell ref="AI7:AI8"/>
    <mergeCell ref="D7:D8"/>
    <mergeCell ref="E7:F7"/>
    <mergeCell ref="G7:I7"/>
    <mergeCell ref="J7:K7"/>
    <mergeCell ref="L7:M7"/>
    <mergeCell ref="AH7:AH8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3" activePane="bottomRight" state="frozen"/>
      <selection activeCell="A2" sqref="A2:A3"/>
      <selection pane="topRight" activeCell="A2" sqref="A2:A3"/>
      <selection pane="bottomLeft" activeCell="A2" sqref="A2:A3"/>
      <selection pane="bottomRight" activeCell="E24" sqref="A24:XFD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5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01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42370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42370</v>
      </c>
      <c r="G5" s="107">
        <f t="shared" ref="G5:AJ5" si="0">F5+1</f>
        <v>42371</v>
      </c>
      <c r="H5" s="107">
        <f t="shared" si="0"/>
        <v>42372</v>
      </c>
      <c r="I5" s="107">
        <f t="shared" si="0"/>
        <v>42373</v>
      </c>
      <c r="J5" s="107">
        <f t="shared" si="0"/>
        <v>42374</v>
      </c>
      <c r="K5" s="107">
        <f t="shared" si="0"/>
        <v>42375</v>
      </c>
      <c r="L5" s="107">
        <f t="shared" si="0"/>
        <v>42376</v>
      </c>
      <c r="M5" s="107">
        <f t="shared" si="0"/>
        <v>42377</v>
      </c>
      <c r="N5" s="107">
        <f t="shared" si="0"/>
        <v>42378</v>
      </c>
      <c r="O5" s="107">
        <f t="shared" si="0"/>
        <v>42379</v>
      </c>
      <c r="P5" s="107">
        <f t="shared" si="0"/>
        <v>42380</v>
      </c>
      <c r="Q5" s="107">
        <f t="shared" si="0"/>
        <v>42381</v>
      </c>
      <c r="R5" s="107">
        <f t="shared" si="0"/>
        <v>42382</v>
      </c>
      <c r="S5" s="107">
        <f t="shared" si="0"/>
        <v>42383</v>
      </c>
      <c r="T5" s="107">
        <f t="shared" si="0"/>
        <v>42384</v>
      </c>
      <c r="U5" s="107">
        <f t="shared" si="0"/>
        <v>42385</v>
      </c>
      <c r="V5" s="107">
        <f t="shared" si="0"/>
        <v>42386</v>
      </c>
      <c r="W5" s="107">
        <f t="shared" si="0"/>
        <v>42387</v>
      </c>
      <c r="X5" s="107">
        <f t="shared" si="0"/>
        <v>42388</v>
      </c>
      <c r="Y5" s="107">
        <f t="shared" si="0"/>
        <v>42389</v>
      </c>
      <c r="Z5" s="107">
        <f t="shared" si="0"/>
        <v>42390</v>
      </c>
      <c r="AA5" s="107">
        <f t="shared" si="0"/>
        <v>42391</v>
      </c>
      <c r="AB5" s="107">
        <f t="shared" si="0"/>
        <v>42392</v>
      </c>
      <c r="AC5" s="107">
        <f t="shared" si="0"/>
        <v>42393</v>
      </c>
      <c r="AD5" s="107">
        <f t="shared" si="0"/>
        <v>42394</v>
      </c>
      <c r="AE5" s="107">
        <f t="shared" si="0"/>
        <v>42395</v>
      </c>
      <c r="AF5" s="107">
        <f t="shared" si="0"/>
        <v>42396</v>
      </c>
      <c r="AG5" s="107">
        <f t="shared" si="0"/>
        <v>42397</v>
      </c>
      <c r="AH5" s="107">
        <f>AG5+1</f>
        <v>42398</v>
      </c>
      <c r="AI5" s="107">
        <f t="shared" si="0"/>
        <v>42399</v>
      </c>
      <c r="AJ5" s="107">
        <f t="shared" si="0"/>
        <v>42400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T.Sáu</v>
      </c>
      <c r="G6" s="162" t="str">
        <f t="shared" ref="G6:AJ6" si="1">CHOOSE(WEEKDAY(G5),"C.Nhật","T.Hai","T.Ba","T.Tư","T.Năm","T.Sáu","T.Bảy")</f>
        <v>T.Bảy</v>
      </c>
      <c r="H6" s="162" t="str">
        <f t="shared" si="1"/>
        <v>C.Nhật</v>
      </c>
      <c r="I6" s="162" t="str">
        <f t="shared" si="1"/>
        <v>T.Hai</v>
      </c>
      <c r="J6" s="162" t="str">
        <f t="shared" si="1"/>
        <v>T.Ba</v>
      </c>
      <c r="K6" s="162" t="str">
        <f t="shared" si="1"/>
        <v>T.Tư</v>
      </c>
      <c r="L6" s="162" t="str">
        <f t="shared" si="1"/>
        <v>T.Năm</v>
      </c>
      <c r="M6" s="162" t="str">
        <f t="shared" si="1"/>
        <v>T.Sáu</v>
      </c>
      <c r="N6" s="162" t="str">
        <f t="shared" si="1"/>
        <v>T.Bảy</v>
      </c>
      <c r="O6" s="162" t="str">
        <f t="shared" si="1"/>
        <v>C.Nhật</v>
      </c>
      <c r="P6" s="162" t="str">
        <f t="shared" si="1"/>
        <v>T.Hai</v>
      </c>
      <c r="Q6" s="162" t="str">
        <f t="shared" si="1"/>
        <v>T.Ba</v>
      </c>
      <c r="R6" s="162" t="str">
        <f t="shared" si="1"/>
        <v>T.Tư</v>
      </c>
      <c r="S6" s="162" t="str">
        <f t="shared" si="1"/>
        <v>T.Năm</v>
      </c>
      <c r="T6" s="162" t="str">
        <f t="shared" si="1"/>
        <v>T.Sáu</v>
      </c>
      <c r="U6" s="162" t="str">
        <f t="shared" si="1"/>
        <v>T.Bảy</v>
      </c>
      <c r="V6" s="162" t="str">
        <f t="shared" si="1"/>
        <v>C.Nhật</v>
      </c>
      <c r="W6" s="162" t="str">
        <f t="shared" si="1"/>
        <v>T.Hai</v>
      </c>
      <c r="X6" s="162" t="str">
        <f t="shared" si="1"/>
        <v>T.Ba</v>
      </c>
      <c r="Y6" s="162" t="str">
        <f t="shared" si="1"/>
        <v>T.Tư</v>
      </c>
      <c r="Z6" s="162" t="str">
        <f t="shared" si="1"/>
        <v>T.Năm</v>
      </c>
      <c r="AA6" s="162" t="str">
        <f t="shared" si="1"/>
        <v>T.Sáu</v>
      </c>
      <c r="AB6" s="162" t="str">
        <f t="shared" si="1"/>
        <v>T.Bảy</v>
      </c>
      <c r="AC6" s="162" t="str">
        <f t="shared" si="1"/>
        <v>C.Nhật</v>
      </c>
      <c r="AD6" s="162" t="str">
        <f t="shared" si="1"/>
        <v>T.Hai</v>
      </c>
      <c r="AE6" s="162" t="str">
        <f t="shared" si="1"/>
        <v>T.Ba</v>
      </c>
      <c r="AF6" s="162" t="str">
        <f t="shared" si="1"/>
        <v>T.Tư</v>
      </c>
      <c r="AG6" s="162" t="str">
        <f t="shared" si="1"/>
        <v>T.Năm</v>
      </c>
      <c r="AH6" s="162" t="str">
        <f t="shared" si="1"/>
        <v>T.Sáu</v>
      </c>
      <c r="AI6" s="162" t="str">
        <f t="shared" si="1"/>
        <v>T.Bảy</v>
      </c>
      <c r="AJ6" s="162" t="str">
        <f t="shared" si="1"/>
        <v>C.Nhật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20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80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/>
      <c r="G9" s="132">
        <v>8</v>
      </c>
      <c r="H9" s="132"/>
      <c r="I9" s="132">
        <v>8</v>
      </c>
      <c r="J9" s="132">
        <v>8</v>
      </c>
      <c r="K9" s="132">
        <v>8</v>
      </c>
      <c r="L9" s="132">
        <v>8</v>
      </c>
      <c r="M9" s="132">
        <v>8</v>
      </c>
      <c r="N9" s="132">
        <v>8</v>
      </c>
      <c r="O9" s="132"/>
      <c r="P9" s="132">
        <v>8</v>
      </c>
      <c r="Q9" s="132">
        <v>8</v>
      </c>
      <c r="R9" s="132">
        <v>8</v>
      </c>
      <c r="S9" s="132">
        <v>8</v>
      </c>
      <c r="T9" s="132">
        <v>8</v>
      </c>
      <c r="U9" s="132">
        <v>8</v>
      </c>
      <c r="V9" s="132"/>
      <c r="W9" s="132">
        <v>8</v>
      </c>
      <c r="X9" s="132">
        <v>8</v>
      </c>
      <c r="Y9" s="132">
        <v>8</v>
      </c>
      <c r="Z9" s="132">
        <v>8</v>
      </c>
      <c r="AA9" s="132">
        <v>8</v>
      </c>
      <c r="AB9" s="132">
        <v>8</v>
      </c>
      <c r="AC9" s="132"/>
      <c r="AD9" s="132">
        <v>8</v>
      </c>
      <c r="AE9" s="132">
        <v>8</v>
      </c>
      <c r="AF9" s="132">
        <v>8</v>
      </c>
      <c r="AG9" s="132">
        <v>8</v>
      </c>
      <c r="AH9" s="132">
        <v>8</v>
      </c>
      <c r="AI9" s="132">
        <v>8</v>
      </c>
      <c r="AJ9" s="132"/>
      <c r="AK9" s="251">
        <f t="shared" ref="AK9" si="2">((SUM(F9:AJ9))/8)-(SUMIF($F$6:$AJ$6,"C.Nhật",F9:AJ9)/8)</f>
        <v>25</v>
      </c>
      <c r="AL9" s="251">
        <f t="shared" ref="AL9" si="3">SUM(F10:AJ10)/8*1.5</f>
        <v>0</v>
      </c>
      <c r="AM9" s="253">
        <f t="shared" ref="AM9:AM11" si="4">SUMIF($F$6:$AJ$6,"C.Nhật",$F9:$AJ10)/8*2</f>
        <v>0</v>
      </c>
      <c r="AN9" s="241">
        <f t="shared" ref="AN9" si="5">SUM(AK9:AM10)</f>
        <v>25</v>
      </c>
      <c r="AO9" s="255">
        <v>0</v>
      </c>
      <c r="AP9" s="241"/>
      <c r="AQ9" s="241"/>
      <c r="AR9" s="241"/>
      <c r="AS9" s="243"/>
      <c r="AT9" s="20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20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5">
        <v>2</v>
      </c>
      <c r="B11" s="245" t="s">
        <v>75</v>
      </c>
      <c r="C11" s="247" t="str">
        <f>VLOOKUP(B11,DS,2,0)</f>
        <v>Đinh Hoàng Lợi</v>
      </c>
      <c r="D11" s="249" t="str">
        <f>VLOOKUP(B11,DS,3,0)</f>
        <v>Tài xế</v>
      </c>
      <c r="E11" s="57" t="s">
        <v>30</v>
      </c>
      <c r="F11" s="132"/>
      <c r="G11" s="132">
        <v>8</v>
      </c>
      <c r="H11" s="132"/>
      <c r="I11" s="132">
        <v>8</v>
      </c>
      <c r="J11" s="132">
        <v>8</v>
      </c>
      <c r="K11" s="132">
        <v>8</v>
      </c>
      <c r="L11" s="132">
        <v>8</v>
      </c>
      <c r="M11" s="132">
        <v>8</v>
      </c>
      <c r="N11" s="132">
        <v>8</v>
      </c>
      <c r="O11" s="132"/>
      <c r="P11" s="132">
        <v>8</v>
      </c>
      <c r="Q11" s="132">
        <v>8</v>
      </c>
      <c r="R11" s="132">
        <v>8</v>
      </c>
      <c r="S11" s="132">
        <v>8</v>
      </c>
      <c r="T11" s="132">
        <v>8</v>
      </c>
      <c r="U11" s="132">
        <v>8</v>
      </c>
      <c r="V11" s="132"/>
      <c r="W11" s="132">
        <v>8</v>
      </c>
      <c r="X11" s="132">
        <v>8</v>
      </c>
      <c r="Y11" s="132">
        <v>8</v>
      </c>
      <c r="Z11" s="132">
        <v>8</v>
      </c>
      <c r="AA11" s="132">
        <v>8</v>
      </c>
      <c r="AB11" s="132">
        <v>8</v>
      </c>
      <c r="AC11" s="132"/>
      <c r="AD11" s="132">
        <v>8</v>
      </c>
      <c r="AE11" s="132">
        <v>8</v>
      </c>
      <c r="AF11" s="132">
        <v>8</v>
      </c>
      <c r="AG11" s="132">
        <v>8</v>
      </c>
      <c r="AH11" s="132">
        <v>8</v>
      </c>
      <c r="AI11" s="132">
        <v>8</v>
      </c>
      <c r="AJ11" s="132"/>
      <c r="AK11" s="251">
        <f t="shared" ref="AK11" si="6">((SUM(F11:AJ11))/8)-(SUMIF($F$6:$AJ$6,"C.Nhật",F11:AJ11)/8)</f>
        <v>25</v>
      </c>
      <c r="AL11" s="251">
        <f t="shared" ref="AL11" si="7">SUM(F12:AJ12)/8*1.5</f>
        <v>0</v>
      </c>
      <c r="AM11" s="253">
        <f t="shared" si="4"/>
        <v>0</v>
      </c>
      <c r="AN11" s="241">
        <f t="shared" ref="AN11" si="8">SUM(AK11:AM12)</f>
        <v>25</v>
      </c>
      <c r="AO11" s="255">
        <v>0</v>
      </c>
      <c r="AP11" s="241"/>
      <c r="AQ11" s="241"/>
      <c r="AR11" s="241"/>
      <c r="AS11" s="243"/>
      <c r="AT11" s="21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6"/>
      <c r="B12" s="246"/>
      <c r="C12" s="248"/>
      <c r="D12" s="250"/>
      <c r="E12" s="58" t="s">
        <v>29</v>
      </c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252"/>
      <c r="AL12" s="252"/>
      <c r="AM12" s="254"/>
      <c r="AN12" s="242"/>
      <c r="AO12" s="256"/>
      <c r="AP12" s="242"/>
      <c r="AQ12" s="242"/>
      <c r="AR12" s="242"/>
      <c r="AS12" s="244"/>
      <c r="AT12" s="21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8" customFormat="1" ht="21" customHeight="1">
      <c r="A13" s="166" t="s">
        <v>69</v>
      </c>
      <c r="B13" s="169" t="s">
        <v>73</v>
      </c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1"/>
      <c r="AT13" s="167"/>
    </row>
    <row r="14" spans="1:91" s="56" customFormat="1" ht="18" customHeight="1">
      <c r="A14" s="245">
        <v>1</v>
      </c>
      <c r="B14" s="245" t="s">
        <v>76</v>
      </c>
      <c r="C14" s="247" t="str">
        <f>VLOOKUP(B14,DS,2,0)</f>
        <v>Bùi Trường Giang</v>
      </c>
      <c r="D14" s="249" t="str">
        <f>VLOOKUP(B14,DS,3,0)</f>
        <v>Thợ in</v>
      </c>
      <c r="E14" s="57" t="s">
        <v>30</v>
      </c>
      <c r="F14" s="132"/>
      <c r="G14" s="132">
        <v>8</v>
      </c>
      <c r="H14" s="132"/>
      <c r="I14" s="132">
        <v>8</v>
      </c>
      <c r="J14" s="132">
        <v>8</v>
      </c>
      <c r="K14" s="132">
        <v>8</v>
      </c>
      <c r="L14" s="132">
        <v>8</v>
      </c>
      <c r="M14" s="132">
        <v>8</v>
      </c>
      <c r="N14" s="132">
        <v>8</v>
      </c>
      <c r="O14" s="132"/>
      <c r="P14" s="132">
        <v>8</v>
      </c>
      <c r="Q14" s="132">
        <v>8</v>
      </c>
      <c r="R14" s="132">
        <v>8</v>
      </c>
      <c r="S14" s="132">
        <v>8</v>
      </c>
      <c r="T14" s="132">
        <v>8</v>
      </c>
      <c r="U14" s="132">
        <v>8</v>
      </c>
      <c r="V14" s="132"/>
      <c r="W14" s="132">
        <v>8</v>
      </c>
      <c r="X14" s="132">
        <v>8</v>
      </c>
      <c r="Y14" s="132">
        <v>8</v>
      </c>
      <c r="Z14" s="132">
        <v>8</v>
      </c>
      <c r="AA14" s="132">
        <v>8</v>
      </c>
      <c r="AB14" s="132">
        <v>8</v>
      </c>
      <c r="AC14" s="132"/>
      <c r="AD14" s="132">
        <v>8</v>
      </c>
      <c r="AE14" s="132">
        <v>8</v>
      </c>
      <c r="AF14" s="132">
        <v>8</v>
      </c>
      <c r="AG14" s="132">
        <v>8</v>
      </c>
      <c r="AH14" s="132">
        <v>8</v>
      </c>
      <c r="AI14" s="132">
        <v>8</v>
      </c>
      <c r="AJ14" s="132"/>
      <c r="AK14" s="251">
        <f t="shared" ref="AK14" si="9">((SUM(F14:AJ14))/8)-(SUMIF($F$6:$AJ$6,"C.Nhật",F14:AJ14)/8)</f>
        <v>25</v>
      </c>
      <c r="AL14" s="251">
        <f t="shared" ref="AL14" si="10">SUM(F15:AJ15)/8*1.5</f>
        <v>0</v>
      </c>
      <c r="AM14" s="253">
        <f>SUMIF($F$6:$AJ$6,"C.Nhật",$F14:$AJ15)/8*2</f>
        <v>0</v>
      </c>
      <c r="AN14" s="241">
        <f>SUM(AK14:AM15)</f>
        <v>25</v>
      </c>
      <c r="AO14" s="255">
        <v>0</v>
      </c>
      <c r="AP14" s="241"/>
      <c r="AQ14" s="241"/>
      <c r="AR14" s="241"/>
      <c r="AS14" s="243"/>
      <c r="AT14" s="20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0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2</v>
      </c>
      <c r="B16" s="245" t="s">
        <v>77</v>
      </c>
      <c r="C16" s="247" t="str">
        <f>VLOOKUP(B16,DS,2,0)</f>
        <v>Lý Thanh Hải</v>
      </c>
      <c r="D16" s="249" t="str">
        <f>VLOOKUP(B16,DS,3,0)</f>
        <v>Công Đoạn 1</v>
      </c>
      <c r="E16" s="57" t="s">
        <v>30</v>
      </c>
      <c r="F16" s="132"/>
      <c r="G16" s="132">
        <v>8</v>
      </c>
      <c r="H16" s="132"/>
      <c r="I16" s="132">
        <v>8</v>
      </c>
      <c r="J16" s="132">
        <v>8</v>
      </c>
      <c r="K16" s="132">
        <v>8</v>
      </c>
      <c r="L16" s="132">
        <v>8</v>
      </c>
      <c r="M16" s="132">
        <v>8</v>
      </c>
      <c r="N16" s="132">
        <v>8</v>
      </c>
      <c r="O16" s="132"/>
      <c r="P16" s="132">
        <v>8</v>
      </c>
      <c r="Q16" s="132">
        <v>8</v>
      </c>
      <c r="R16" s="132">
        <v>8</v>
      </c>
      <c r="S16" s="132">
        <v>8</v>
      </c>
      <c r="T16" s="132">
        <v>8</v>
      </c>
      <c r="U16" s="132">
        <v>8</v>
      </c>
      <c r="V16" s="132"/>
      <c r="W16" s="132">
        <v>8</v>
      </c>
      <c r="X16" s="132">
        <v>8</v>
      </c>
      <c r="Y16" s="132">
        <v>8</v>
      </c>
      <c r="Z16" s="132">
        <v>8</v>
      </c>
      <c r="AA16" s="132">
        <v>8</v>
      </c>
      <c r="AB16" s="132">
        <v>8</v>
      </c>
      <c r="AC16" s="132"/>
      <c r="AD16" s="132">
        <v>8</v>
      </c>
      <c r="AE16" s="132">
        <v>8</v>
      </c>
      <c r="AF16" s="132">
        <v>8</v>
      </c>
      <c r="AG16" s="132">
        <v>8</v>
      </c>
      <c r="AH16" s="132">
        <v>8</v>
      </c>
      <c r="AI16" s="132">
        <v>8</v>
      </c>
      <c r="AJ16" s="132"/>
      <c r="AK16" s="251">
        <f t="shared" ref="AK16" si="11">((SUM(F16:AJ16))/8)-(SUMIF($F$6:$AJ$6,"C.Nhật",F16:AJ16)/8)</f>
        <v>25</v>
      </c>
      <c r="AL16" s="251">
        <f t="shared" ref="AL16" si="12">SUM(F17:AJ17)/8*1.5</f>
        <v>0</v>
      </c>
      <c r="AM16" s="253">
        <f>SUMIF($F$6:$AJ$6,"C.Nhật",$F16:$AJ17)/8*2</f>
        <v>0</v>
      </c>
      <c r="AN16" s="241">
        <f t="shared" ref="AN16" si="13">SUM(AK16:AM17)</f>
        <v>25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6" customFormat="1" ht="18" customHeight="1">
      <c r="A18" s="245">
        <v>3</v>
      </c>
      <c r="B18" s="245" t="s">
        <v>78</v>
      </c>
      <c r="C18" s="247" t="str">
        <f>VLOOKUP(B18,DS,2,0)</f>
        <v>Cao Minh Chí</v>
      </c>
      <c r="D18" s="249" t="str">
        <f>VLOOKUP(B18,DS,3,0)</f>
        <v>Công Đoạn 1</v>
      </c>
      <c r="E18" s="57" t="s">
        <v>30</v>
      </c>
      <c r="F18" s="132"/>
      <c r="G18" s="132">
        <v>8</v>
      </c>
      <c r="H18" s="132"/>
      <c r="I18" s="132">
        <v>8</v>
      </c>
      <c r="J18" s="132">
        <v>8</v>
      </c>
      <c r="K18" s="132">
        <v>8</v>
      </c>
      <c r="L18" s="132">
        <v>8</v>
      </c>
      <c r="M18" s="132">
        <v>8</v>
      </c>
      <c r="N18" s="132">
        <v>8</v>
      </c>
      <c r="O18" s="132"/>
      <c r="P18" s="132">
        <v>8</v>
      </c>
      <c r="Q18" s="132">
        <v>8</v>
      </c>
      <c r="R18" s="132">
        <v>8</v>
      </c>
      <c r="S18" s="132">
        <v>8</v>
      </c>
      <c r="T18" s="132">
        <v>8</v>
      </c>
      <c r="U18" s="132">
        <v>8</v>
      </c>
      <c r="V18" s="132"/>
      <c r="W18" s="132">
        <v>8</v>
      </c>
      <c r="X18" s="132">
        <v>8</v>
      </c>
      <c r="Y18" s="132">
        <v>8</v>
      </c>
      <c r="Z18" s="132">
        <v>8</v>
      </c>
      <c r="AA18" s="132">
        <v>8</v>
      </c>
      <c r="AB18" s="132">
        <v>8</v>
      </c>
      <c r="AC18" s="132"/>
      <c r="AD18" s="132">
        <v>8</v>
      </c>
      <c r="AE18" s="132">
        <v>8</v>
      </c>
      <c r="AF18" s="132">
        <v>8</v>
      </c>
      <c r="AG18" s="132">
        <v>8</v>
      </c>
      <c r="AH18" s="132">
        <v>8</v>
      </c>
      <c r="AI18" s="132">
        <v>8</v>
      </c>
      <c r="AJ18" s="132"/>
      <c r="AK18" s="251">
        <f t="shared" ref="AK18" si="14">((SUM(F18:AJ18))/8)-(SUMIF($F$6:$AJ$6,"C.Nhật",F18:AJ18)/8)</f>
        <v>25</v>
      </c>
      <c r="AL18" s="251">
        <f t="shared" ref="AL18" si="15">SUM(F19:AJ19)/8*1.5</f>
        <v>0</v>
      </c>
      <c r="AM18" s="253">
        <f>SUMIF($F$6:$AJ$6,"C.Nhật",$F18:$AJ19)/8*2</f>
        <v>0</v>
      </c>
      <c r="AN18" s="241">
        <f t="shared" ref="AN18" si="16">SUM(AK18:AM19)</f>
        <v>25</v>
      </c>
      <c r="AO18" s="255">
        <v>0</v>
      </c>
      <c r="AP18" s="241"/>
      <c r="AQ18" s="241"/>
      <c r="AR18" s="241"/>
      <c r="AS18" s="243"/>
      <c r="AT18" s="21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6" customFormat="1" ht="18" customHeight="1">
      <c r="A19" s="246"/>
      <c r="B19" s="246"/>
      <c r="C19" s="248"/>
      <c r="D19" s="250"/>
      <c r="E19" s="58" t="s">
        <v>29</v>
      </c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252"/>
      <c r="AL19" s="252"/>
      <c r="AM19" s="254"/>
      <c r="AN19" s="242"/>
      <c r="AO19" s="256"/>
      <c r="AP19" s="242"/>
      <c r="AQ19" s="242"/>
      <c r="AR19" s="242"/>
      <c r="AS19" s="244"/>
      <c r="AT19" s="21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6" customFormat="1" ht="18" customHeight="1">
      <c r="A20" s="245">
        <v>4</v>
      </c>
      <c r="B20" s="245" t="s">
        <v>84</v>
      </c>
      <c r="C20" s="247" t="str">
        <f>VLOOKUP(B20,DS,2,0)</f>
        <v>Lê Văn Hữu</v>
      </c>
      <c r="D20" s="249" t="str">
        <f>VLOOKUP(B20,DS,3,0)</f>
        <v>Công Đoạn 2</v>
      </c>
      <c r="E20" s="57" t="s">
        <v>30</v>
      </c>
      <c r="F20" s="132"/>
      <c r="G20" s="132">
        <v>8</v>
      </c>
      <c r="H20" s="132"/>
      <c r="I20" s="132">
        <v>8</v>
      </c>
      <c r="J20" s="132">
        <v>8</v>
      </c>
      <c r="K20" s="132">
        <v>8</v>
      </c>
      <c r="L20" s="132">
        <v>8</v>
      </c>
      <c r="M20" s="132">
        <v>8</v>
      </c>
      <c r="N20" s="132">
        <v>8</v>
      </c>
      <c r="O20" s="132"/>
      <c r="P20" s="132">
        <v>8</v>
      </c>
      <c r="Q20" s="132">
        <v>8</v>
      </c>
      <c r="R20" s="132">
        <v>8</v>
      </c>
      <c r="S20" s="132">
        <v>8</v>
      </c>
      <c r="T20" s="132">
        <v>8</v>
      </c>
      <c r="U20" s="132">
        <v>8</v>
      </c>
      <c r="V20" s="132"/>
      <c r="W20" s="132">
        <v>8</v>
      </c>
      <c r="X20" s="132">
        <v>8</v>
      </c>
      <c r="Y20" s="132">
        <v>8</v>
      </c>
      <c r="Z20" s="132">
        <v>8</v>
      </c>
      <c r="AA20" s="132">
        <v>8</v>
      </c>
      <c r="AB20" s="132">
        <v>8</v>
      </c>
      <c r="AC20" s="132"/>
      <c r="AD20" s="132">
        <v>8</v>
      </c>
      <c r="AE20" s="132">
        <v>8</v>
      </c>
      <c r="AF20" s="132">
        <v>8</v>
      </c>
      <c r="AG20" s="132">
        <v>8</v>
      </c>
      <c r="AH20" s="132">
        <v>8</v>
      </c>
      <c r="AI20" s="132">
        <v>8</v>
      </c>
      <c r="AJ20" s="132"/>
      <c r="AK20" s="251">
        <f t="shared" ref="AK20" si="17">((SUM(F20:AJ20))/8)-(SUMIF($F$6:$AJ$6,"C.Nhật",F20:AJ20)/8)</f>
        <v>25</v>
      </c>
      <c r="AL20" s="251">
        <f t="shared" ref="AL20" si="18">SUM(F21:AJ21)/8*1.5</f>
        <v>0</v>
      </c>
      <c r="AM20" s="253">
        <f>SUMIF($F$6:$AJ$6,"C.Nhật",$F20:$AJ21)/8*2</f>
        <v>0</v>
      </c>
      <c r="AN20" s="241">
        <f t="shared" ref="AN20" si="19">SUM(AK20:AM21)</f>
        <v>25</v>
      </c>
      <c r="AO20" s="255">
        <v>0</v>
      </c>
      <c r="AP20" s="241"/>
      <c r="AQ20" s="241"/>
      <c r="AR20" s="241"/>
      <c r="AS20" s="243"/>
      <c r="AT20" s="21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6" customFormat="1" ht="18" customHeight="1">
      <c r="A21" s="246"/>
      <c r="B21" s="246"/>
      <c r="C21" s="248"/>
      <c r="D21" s="250"/>
      <c r="E21" s="58" t="s">
        <v>29</v>
      </c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252"/>
      <c r="AL21" s="252"/>
      <c r="AM21" s="254"/>
      <c r="AN21" s="242"/>
      <c r="AO21" s="256"/>
      <c r="AP21" s="242"/>
      <c r="AQ21" s="242"/>
      <c r="AR21" s="242"/>
      <c r="AS21" s="244"/>
      <c r="AT21" s="21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6" customFormat="1" ht="18" customHeight="1">
      <c r="A22" s="245">
        <v>5</v>
      </c>
      <c r="B22" s="245" t="s">
        <v>85</v>
      </c>
      <c r="C22" s="247" t="str">
        <f>VLOOKUP(B22,DS,2,0)</f>
        <v>Nguyễn Thị Sự</v>
      </c>
      <c r="D22" s="249" t="str">
        <f>VLOOKUP(B22,DS,3,0)</f>
        <v>Công Đoạn 2</v>
      </c>
      <c r="E22" s="57" t="s">
        <v>30</v>
      </c>
      <c r="F22" s="132"/>
      <c r="G22" s="132">
        <v>8</v>
      </c>
      <c r="H22" s="132"/>
      <c r="I22" s="132">
        <v>8</v>
      </c>
      <c r="J22" s="132">
        <v>8</v>
      </c>
      <c r="K22" s="132">
        <v>8</v>
      </c>
      <c r="L22" s="132">
        <v>8</v>
      </c>
      <c r="M22" s="132">
        <v>8</v>
      </c>
      <c r="N22" s="132">
        <v>8</v>
      </c>
      <c r="O22" s="132"/>
      <c r="P22" s="132">
        <v>8</v>
      </c>
      <c r="Q22" s="132">
        <v>8</v>
      </c>
      <c r="R22" s="132">
        <v>8</v>
      </c>
      <c r="S22" s="132">
        <v>8</v>
      </c>
      <c r="T22" s="132">
        <v>8</v>
      </c>
      <c r="U22" s="132">
        <v>8</v>
      </c>
      <c r="V22" s="132"/>
      <c r="W22" s="132">
        <v>8</v>
      </c>
      <c r="X22" s="132">
        <v>8</v>
      </c>
      <c r="Y22" s="132">
        <v>8</v>
      </c>
      <c r="Z22" s="132">
        <v>8</v>
      </c>
      <c r="AA22" s="132">
        <v>8</v>
      </c>
      <c r="AB22" s="132">
        <v>8</v>
      </c>
      <c r="AC22" s="132"/>
      <c r="AD22" s="132">
        <v>8</v>
      </c>
      <c r="AE22" s="132">
        <v>8</v>
      </c>
      <c r="AF22" s="132">
        <v>8</v>
      </c>
      <c r="AG22" s="132">
        <v>8</v>
      </c>
      <c r="AH22" s="132">
        <v>8</v>
      </c>
      <c r="AI22" s="132">
        <v>8</v>
      </c>
      <c r="AJ22" s="132"/>
      <c r="AK22" s="251">
        <f t="shared" ref="AK22" si="20">((SUM(F22:AJ22))/8)-(SUMIF($F$6:$AJ$6,"C.Nhật",F22:AJ22)/8)</f>
        <v>25</v>
      </c>
      <c r="AL22" s="251">
        <f t="shared" ref="AL22" si="21">SUM(F23:AJ23)/8*1.5</f>
        <v>0</v>
      </c>
      <c r="AM22" s="253">
        <f>SUMIF($F$6:$AJ$6,"C.Nhật",$F22:$AJ23)/8*2</f>
        <v>0</v>
      </c>
      <c r="AN22" s="241">
        <f t="shared" ref="AN22" si="22">SUM(AK22:AM23)</f>
        <v>25</v>
      </c>
      <c r="AO22" s="255">
        <v>0</v>
      </c>
      <c r="AP22" s="241"/>
      <c r="AQ22" s="241"/>
      <c r="AR22" s="241"/>
      <c r="AS22" s="243"/>
      <c r="AT22" s="20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6" customFormat="1" ht="18" customHeight="1">
      <c r="A23" s="246"/>
      <c r="B23" s="246"/>
      <c r="C23" s="248"/>
      <c r="D23" s="250"/>
      <c r="E23" s="58" t="s">
        <v>29</v>
      </c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252"/>
      <c r="AL23" s="252"/>
      <c r="AM23" s="254"/>
      <c r="AN23" s="242"/>
      <c r="AO23" s="256"/>
      <c r="AP23" s="242"/>
      <c r="AQ23" s="242"/>
      <c r="AR23" s="242"/>
      <c r="AS23" s="244"/>
      <c r="AT23" s="20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9" customFormat="1" ht="12.75">
      <c r="A24" s="14"/>
      <c r="B24" s="60"/>
      <c r="C24" s="4"/>
      <c r="D24" s="102"/>
      <c r="E24" s="4"/>
      <c r="F24" s="64"/>
      <c r="G24" s="64"/>
      <c r="H24" s="61"/>
      <c r="I24" s="61"/>
      <c r="J24" s="109"/>
      <c r="K24" s="64"/>
      <c r="L24" s="61"/>
      <c r="M24" s="64"/>
      <c r="N24" s="64"/>
      <c r="O24" s="64"/>
      <c r="P24" s="64"/>
      <c r="Q24" s="61"/>
      <c r="R24" s="64"/>
      <c r="S24" s="64"/>
      <c r="T24" s="109"/>
      <c r="U24" s="64"/>
      <c r="V24" s="64"/>
      <c r="W24" s="64"/>
      <c r="X24" s="60"/>
      <c r="Y24" s="64"/>
      <c r="Z24" s="64"/>
      <c r="AA24" s="64"/>
      <c r="AB24" s="64"/>
      <c r="AC24" s="64"/>
      <c r="AD24" s="61"/>
      <c r="AE24" s="64"/>
      <c r="AF24" s="64"/>
      <c r="AG24" s="64"/>
      <c r="AH24" s="64"/>
      <c r="AI24" s="64"/>
      <c r="AJ24" s="64"/>
      <c r="AK24" s="4"/>
      <c r="AL24" s="4"/>
      <c r="AM24" s="87"/>
      <c r="AN24" s="63"/>
      <c r="AO24" s="63"/>
      <c r="AP24" s="63"/>
      <c r="AQ24" s="63"/>
      <c r="AR24" s="63"/>
      <c r="AS24" s="4"/>
      <c r="AT24" s="93"/>
    </row>
    <row r="25" spans="1:90" s="59" customFormat="1" ht="12.75">
      <c r="A25" s="14"/>
      <c r="B25" s="60"/>
      <c r="C25" s="14" t="s">
        <v>14</v>
      </c>
      <c r="D25" s="102"/>
      <c r="E25" s="4"/>
      <c r="F25" s="64"/>
      <c r="G25" s="64"/>
      <c r="H25" s="61"/>
      <c r="I25" s="61"/>
      <c r="J25" s="109"/>
      <c r="K25" s="64"/>
      <c r="L25" s="61"/>
      <c r="M25" s="64"/>
      <c r="N25" s="64"/>
      <c r="O25" s="64"/>
      <c r="P25" s="64"/>
      <c r="Q25" s="61"/>
      <c r="R25" s="64"/>
      <c r="S25" s="64"/>
      <c r="T25" s="109"/>
      <c r="U25" s="64"/>
      <c r="V25" s="64"/>
      <c r="W25" s="64"/>
      <c r="X25" s="60"/>
      <c r="Y25" s="64"/>
      <c r="Z25" s="64"/>
      <c r="AA25" s="64"/>
      <c r="AB25" s="64"/>
      <c r="AC25" s="64"/>
      <c r="AD25" s="61"/>
      <c r="AE25" s="64"/>
      <c r="AF25" s="64"/>
      <c r="AG25" s="64"/>
      <c r="AH25" s="64"/>
      <c r="AI25" s="64"/>
      <c r="AJ25" s="64"/>
      <c r="AK25" s="4"/>
      <c r="AL25" s="4"/>
      <c r="AM25" s="87"/>
      <c r="AN25" s="63"/>
      <c r="AO25" s="63"/>
      <c r="AP25" s="63"/>
      <c r="AQ25" s="63"/>
      <c r="AR25" s="63"/>
      <c r="AS25" s="4"/>
      <c r="AT25" s="93"/>
    </row>
    <row r="26" spans="1:90" s="59" customFormat="1" ht="12.75">
      <c r="A26" s="12"/>
      <c r="B26" s="12"/>
      <c r="C26" s="4"/>
      <c r="D26" s="102"/>
      <c r="E26" s="4"/>
      <c r="F26" s="64"/>
      <c r="G26" s="64"/>
      <c r="H26" s="110"/>
      <c r="I26" s="110"/>
      <c r="J26" s="110"/>
      <c r="K26" s="64"/>
      <c r="L26" s="110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110"/>
      <c r="AE26" s="64"/>
      <c r="AF26" s="64"/>
      <c r="AG26" s="64"/>
      <c r="AH26" s="64"/>
      <c r="AI26" s="64"/>
      <c r="AJ26" s="64"/>
      <c r="AK26" s="4"/>
      <c r="AL26" s="4"/>
      <c r="AM26" s="87"/>
      <c r="AN26" s="65"/>
      <c r="AO26" s="65"/>
      <c r="AP26" s="65"/>
      <c r="AQ26" s="65"/>
      <c r="AR26" s="65"/>
      <c r="AS26" s="4"/>
      <c r="AT26" s="93"/>
    </row>
    <row r="27" spans="1:90" s="62" customFormat="1" ht="15" customHeight="1">
      <c r="A27" s="12"/>
      <c r="B27" s="12"/>
      <c r="C27" s="4"/>
      <c r="D27" s="102"/>
      <c r="E27" s="4"/>
      <c r="F27" s="64"/>
      <c r="G27" s="64"/>
      <c r="H27" s="110"/>
      <c r="I27" s="110"/>
      <c r="J27" s="110"/>
      <c r="K27" s="64"/>
      <c r="L27" s="110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110"/>
      <c r="AE27" s="64"/>
      <c r="AF27" s="64"/>
      <c r="AG27" s="64"/>
      <c r="AH27" s="64"/>
      <c r="AI27" s="64"/>
      <c r="AJ27" s="64"/>
      <c r="AK27" s="4"/>
      <c r="AL27" s="4"/>
      <c r="AM27" s="87"/>
      <c r="AN27" s="65"/>
      <c r="AO27" s="65"/>
      <c r="AP27" s="65"/>
      <c r="AQ27" s="65"/>
      <c r="AR27" s="65"/>
      <c r="AS27" s="4"/>
      <c r="AT27" s="4"/>
    </row>
    <row r="28" spans="1:90" s="62" customFormat="1" ht="11.25">
      <c r="A28" s="12"/>
      <c r="B28" s="12"/>
      <c r="C28" s="4"/>
      <c r="D28" s="102"/>
      <c r="E28" s="4"/>
      <c r="F28" s="64"/>
      <c r="G28" s="64"/>
      <c r="H28" s="110"/>
      <c r="I28" s="110"/>
      <c r="J28" s="110"/>
      <c r="K28" s="64"/>
      <c r="L28" s="110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110"/>
      <c r="AE28" s="64"/>
      <c r="AF28" s="64"/>
      <c r="AG28" s="64"/>
      <c r="AH28" s="64"/>
      <c r="AI28" s="64"/>
      <c r="AJ28" s="64"/>
      <c r="AK28" s="4"/>
      <c r="AL28" s="4"/>
      <c r="AM28" s="87"/>
      <c r="AN28" s="65"/>
      <c r="AO28" s="65"/>
      <c r="AP28" s="65"/>
      <c r="AQ28" s="65"/>
      <c r="AR28" s="65"/>
      <c r="AS28" s="4"/>
      <c r="AT28" s="4"/>
    </row>
    <row r="29" spans="1:90" s="62" customFormat="1" ht="11.25">
      <c r="A29" s="12"/>
      <c r="B29" s="12"/>
      <c r="C29" s="4"/>
      <c r="D29" s="102"/>
      <c r="E29" s="4"/>
      <c r="F29" s="64"/>
      <c r="G29" s="64"/>
      <c r="H29" s="110"/>
      <c r="I29" s="110"/>
      <c r="J29" s="110"/>
      <c r="K29" s="64"/>
      <c r="L29" s="110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110"/>
      <c r="AE29" s="64"/>
      <c r="AF29" s="64"/>
      <c r="AG29" s="64"/>
      <c r="AH29" s="64"/>
      <c r="AI29" s="64"/>
      <c r="AJ29" s="64"/>
      <c r="AK29" s="4"/>
      <c r="AL29" s="4"/>
      <c r="AM29" s="87"/>
      <c r="AN29" s="65"/>
      <c r="AO29" s="65"/>
      <c r="AP29" s="65"/>
      <c r="AQ29" s="65"/>
      <c r="AR29" s="65"/>
      <c r="AS29" s="4"/>
      <c r="AT29" s="4"/>
    </row>
    <row r="30" spans="1:90" s="62" customFormat="1" ht="11.25">
      <c r="A30" s="10"/>
      <c r="B30" s="10"/>
      <c r="C30" s="14"/>
      <c r="D30" s="103"/>
      <c r="E30" s="66"/>
      <c r="F30" s="109"/>
      <c r="G30" s="111"/>
      <c r="H30" s="61"/>
      <c r="I30" s="61"/>
      <c r="J30" s="61"/>
      <c r="K30" s="111"/>
      <c r="L30" s="61"/>
      <c r="M30" s="111"/>
      <c r="N30" s="111"/>
      <c r="O30" s="111"/>
      <c r="P30" s="111"/>
      <c r="Q30" s="61"/>
      <c r="R30" s="109"/>
      <c r="S30" s="111"/>
      <c r="T30" s="111"/>
      <c r="U30" s="61"/>
      <c r="V30" s="111"/>
      <c r="W30" s="111"/>
      <c r="X30" s="61"/>
      <c r="Y30" s="111"/>
      <c r="Z30" s="111"/>
      <c r="AA30" s="111"/>
      <c r="AB30" s="111"/>
      <c r="AC30" s="111"/>
      <c r="AD30" s="61"/>
      <c r="AE30" s="111"/>
      <c r="AF30" s="111"/>
      <c r="AG30" s="111"/>
      <c r="AH30" s="111"/>
      <c r="AI30" s="111"/>
      <c r="AJ30" s="111"/>
      <c r="AK30" s="66"/>
      <c r="AM30" s="88"/>
      <c r="AN30" s="10"/>
      <c r="AO30" s="10"/>
      <c r="AP30" s="10"/>
      <c r="AQ30" s="10"/>
      <c r="AR30" s="10"/>
      <c r="AS30" s="14"/>
      <c r="AT30" s="4"/>
    </row>
    <row r="31" spans="1:90" s="62" customFormat="1" ht="12.75">
      <c r="A31" s="2"/>
      <c r="B31" s="2" t="s">
        <v>0</v>
      </c>
      <c r="C31" s="2"/>
      <c r="D31" s="205"/>
      <c r="E31" s="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3"/>
      <c r="AI31" s="113"/>
      <c r="AJ31" s="113"/>
      <c r="AK31" s="2"/>
      <c r="AL31" s="2"/>
      <c r="AM31" s="89"/>
      <c r="AN31" s="2"/>
      <c r="AO31" s="2"/>
      <c r="AP31" s="2"/>
      <c r="AQ31" s="2"/>
      <c r="AR31" s="2"/>
      <c r="AS31" s="2"/>
      <c r="AT31" s="4"/>
    </row>
    <row r="32" spans="1:90" s="62" customFormat="1" ht="12.75">
      <c r="A32" s="2"/>
      <c r="B32" s="2"/>
      <c r="C32" s="2" t="s">
        <v>40</v>
      </c>
      <c r="D32" s="205"/>
      <c r="E32" s="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113"/>
      <c r="AJ32" s="113"/>
      <c r="AK32" s="2"/>
      <c r="AL32" s="2"/>
      <c r="AM32" s="89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41</v>
      </c>
    </row>
    <row r="34" spans="1:91" ht="15" customHeight="1">
      <c r="C34" s="2" t="s">
        <v>42</v>
      </c>
    </row>
    <row r="35" spans="1:91" s="205" customFormat="1" ht="15" customHeight="1">
      <c r="A35" s="2"/>
      <c r="B35" s="2"/>
      <c r="C35" s="2" t="s">
        <v>43</v>
      </c>
      <c r="E35" s="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3"/>
      <c r="AI35" s="113"/>
      <c r="AJ35" s="113"/>
      <c r="AK35" s="2"/>
      <c r="AL35" s="2"/>
      <c r="AM35" s="89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5" customFormat="1" ht="15" customHeight="1">
      <c r="A36" s="2"/>
      <c r="B36" s="2"/>
      <c r="C36" s="2" t="s">
        <v>44</v>
      </c>
      <c r="E36" s="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3"/>
      <c r="AI36" s="113"/>
      <c r="AJ36" s="113"/>
      <c r="AK36" s="2"/>
      <c r="AL36" s="2"/>
      <c r="AM36" s="89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5" customFormat="1" ht="15" customHeight="1">
      <c r="A37" s="2"/>
      <c r="B37" s="2"/>
      <c r="C37" s="2" t="s">
        <v>45</v>
      </c>
      <c r="E37" s="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3"/>
      <c r="AI37" s="113"/>
      <c r="AJ37" s="113"/>
      <c r="AK37" s="2"/>
      <c r="AL37" s="2"/>
      <c r="AM37" s="89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5" customFormat="1" ht="15" customHeight="1">
      <c r="A38" s="2"/>
      <c r="B38" s="2"/>
      <c r="C38" s="2" t="s">
        <v>46</v>
      </c>
      <c r="E38" s="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3"/>
      <c r="AI38" s="113"/>
      <c r="AJ38" s="113"/>
      <c r="AK38" s="2"/>
      <c r="AL38" s="2"/>
      <c r="AM38" s="89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5" customFormat="1" ht="15" customHeight="1">
      <c r="A39" s="2"/>
      <c r="B39" s="2"/>
      <c r="C39" s="2" t="s">
        <v>47</v>
      </c>
      <c r="E39" s="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3"/>
      <c r="AI39" s="113"/>
      <c r="AJ39" s="113"/>
      <c r="AK39" s="2"/>
      <c r="AL39" s="2"/>
      <c r="AM39" s="89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5" customFormat="1" ht="15" customHeight="1">
      <c r="A40" s="2"/>
      <c r="B40" s="2"/>
      <c r="C40" s="2" t="s">
        <v>48</v>
      </c>
      <c r="E40" s="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3"/>
      <c r="AI40" s="113"/>
      <c r="AJ40" s="113"/>
      <c r="AK40" s="2"/>
      <c r="AL40" s="2"/>
      <c r="AM40" s="89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1:A12"/>
    <mergeCell ref="AN18:AN19"/>
    <mergeCell ref="AO18:AO19"/>
    <mergeCell ref="AP18:AP19"/>
    <mergeCell ref="AQ18:AQ19"/>
    <mergeCell ref="AR18:AR19"/>
    <mergeCell ref="AS18:AS19"/>
    <mergeCell ref="AL11:AL12"/>
    <mergeCell ref="AM11:AM12"/>
    <mergeCell ref="AN11:AN12"/>
    <mergeCell ref="AO11:AO12"/>
    <mergeCell ref="AP11:AP12"/>
    <mergeCell ref="AP14:AP15"/>
    <mergeCell ref="AQ14:AQ15"/>
    <mergeCell ref="AR14:AR15"/>
    <mergeCell ref="AS14:AS15"/>
    <mergeCell ref="AQ20:AQ21"/>
    <mergeCell ref="AR20:AR21"/>
    <mergeCell ref="AS20:AS21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20:AL21"/>
    <mergeCell ref="AM20:AM21"/>
    <mergeCell ref="AN20:AN21"/>
    <mergeCell ref="AO20:AO21"/>
    <mergeCell ref="AP20:AP21"/>
    <mergeCell ref="A20:A21"/>
    <mergeCell ref="B20:B21"/>
    <mergeCell ref="C20:C21"/>
  </mergeCells>
  <conditionalFormatting sqref="F5:AJ6 G9 G11 H9:AJ12">
    <cfRule type="expression" dxfId="86" priority="43" stopIfTrue="1">
      <formula>IF(WEEKDAY(F$5)=1,TRUE,FALSE)</formula>
    </cfRule>
  </conditionalFormatting>
  <conditionalFormatting sqref="G9 G11 H9:AJ12">
    <cfRule type="expression" dxfId="85" priority="42" stopIfTrue="1">
      <formula>IF(WEEKDAY(G$5)=1,TRUE,FALSE)</formula>
    </cfRule>
  </conditionalFormatting>
  <conditionalFormatting sqref="F10:G10 F9 F12:G12 F11">
    <cfRule type="expression" dxfId="84" priority="40" stopIfTrue="1">
      <formula>IF(WEEKDAY(F$5)=1,TRUE,FALSE)</formula>
    </cfRule>
  </conditionalFormatting>
  <conditionalFormatting sqref="F10:G10 F9 F12:G12 F11">
    <cfRule type="expression" dxfId="83" priority="39" stopIfTrue="1">
      <formula>IF(WEEKDAY(F$5)=1,TRUE,FALSE)</formula>
    </cfRule>
  </conditionalFormatting>
  <conditionalFormatting sqref="G14 G16 G18 G20 G22 H14:AJ23">
    <cfRule type="expression" dxfId="82" priority="8" stopIfTrue="1">
      <formula>IF(WEEKDAY(G$5)=1,TRUE,FALSE)</formula>
    </cfRule>
  </conditionalFormatting>
  <conditionalFormatting sqref="G14 G16 G18 G20 G22 H14:AJ23">
    <cfRule type="expression" dxfId="81" priority="7" stopIfTrue="1">
      <formula>IF(WEEKDAY(G$5)=1,TRUE,FALSE)</formula>
    </cfRule>
  </conditionalFormatting>
  <conditionalFormatting sqref="F15:G15 F14 F17:G17 F19:G19 F16 F18 F21:G21 F20 F23:G23 F22">
    <cfRule type="expression" dxfId="80" priority="6" stopIfTrue="1">
      <formula>IF(WEEKDAY(F$5)=1,TRUE,FALSE)</formula>
    </cfRule>
  </conditionalFormatting>
  <conditionalFormatting sqref="F15:G15 F14 F17:G17 F19:G19 F16 F18 F21:G21 F20 F23:G23 F22">
    <cfRule type="expression" dxfId="79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2"/>
  <sheetViews>
    <sheetView topLeftCell="D1" zoomScaleNormal="70" workbookViewId="0">
      <selection activeCell="F15" sqref="F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209"/>
      <c r="C1" s="209"/>
      <c r="D1" s="269" t="str">
        <f>"BẢNG THANH TOÁN LƯƠNG THÁNG"&amp;" "&amp;TEXT($E$4,"mm")&amp;" / "&amp;TEXT($E$4,"yyyy")</f>
        <v>BẢNG THANH TOÁN LƯƠNG THÁNG 01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209"/>
      <c r="C2" s="209"/>
      <c r="D2" s="209"/>
      <c r="E2" s="70"/>
      <c r="F2" s="209"/>
      <c r="G2" s="209"/>
      <c r="H2" s="209"/>
      <c r="I2" s="209"/>
      <c r="J2" s="71"/>
      <c r="K2" s="209"/>
      <c r="L2" s="209"/>
      <c r="M2" s="209"/>
      <c r="N2" s="209"/>
      <c r="O2" s="209"/>
      <c r="P2" s="209"/>
      <c r="Q2" s="209"/>
      <c r="R2" s="209"/>
      <c r="S2" s="209"/>
      <c r="T2" s="48"/>
      <c r="U2" s="69">
        <f>MAX(F10:F21)</f>
        <v>25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209"/>
      <c r="C3" s="209"/>
      <c r="D3" s="209"/>
      <c r="E3" s="70"/>
      <c r="F3" s="209"/>
      <c r="G3" s="209"/>
      <c r="H3" s="209"/>
      <c r="I3" s="209"/>
      <c r="J3" s="71"/>
      <c r="K3" s="209"/>
      <c r="L3" s="209"/>
      <c r="M3" s="209"/>
      <c r="N3" s="209"/>
      <c r="O3" s="209"/>
      <c r="P3" s="209"/>
      <c r="Q3" s="209"/>
      <c r="R3" s="209"/>
      <c r="S3" s="209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-1'!$E$4</f>
        <v>42370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208" t="s">
        <v>34</v>
      </c>
      <c r="G7" s="206" t="s">
        <v>18</v>
      </c>
      <c r="H7" s="208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/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-1'!$B$9:$AS$24,36,0)</f>
        <v>25</v>
      </c>
      <c r="G10" s="134">
        <f t="shared" ref="G10" si="3">ROUND(E10/$U$2*F10,0)</f>
        <v>5000000</v>
      </c>
      <c r="H10" s="81">
        <f>(VLOOKUP(B10,'CC -1'!$B$9:$AS$24,37,0)+VLOOKUP(B10,'CC -1'!$B$9:$AS$24,38,0))</f>
        <v>0</v>
      </c>
      <c r="I10" s="134">
        <f t="shared" ref="I10" si="4">ROUND(E10/$U$2*H10,0)</f>
        <v>0</v>
      </c>
      <c r="J10" s="82">
        <f t="shared" ref="J10:K10" si="5">F10+H10</f>
        <v>25</v>
      </c>
      <c r="K10" s="33">
        <f t="shared" si="5"/>
        <v>5000000</v>
      </c>
      <c r="L10" s="79">
        <f t="shared" ref="L10" si="6">+F10*15000</f>
        <v>375000</v>
      </c>
      <c r="M10" s="34">
        <f t="shared" ref="M10" si="7">K10+L10</f>
        <v>5375000</v>
      </c>
      <c r="N10" s="34">
        <f t="shared" ref="N10:P11" si="8">IF(VLOOKUP($B10,DS,9,0)="x",$E10*N$4,0)</f>
        <v>0</v>
      </c>
      <c r="O10" s="34">
        <f t="shared" si="8"/>
        <v>0</v>
      </c>
      <c r="P10" s="34">
        <f t="shared" si="8"/>
        <v>0</v>
      </c>
      <c r="Q10" s="33">
        <f t="shared" ref="Q10" si="9">M10-SUM(N10:P10)</f>
        <v>5375000</v>
      </c>
      <c r="R10" s="33">
        <f>VLOOKUP(B10,DS,23,0)</f>
        <v>0</v>
      </c>
      <c r="S10" s="39">
        <f t="shared" ref="S10" si="10">Q10-R10</f>
        <v>5375000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32">
        <v>2</v>
      </c>
      <c r="B11" s="130" t="s">
        <v>75</v>
      </c>
      <c r="C11" s="78" t="str">
        <f t="shared" ref="C11" si="11">VLOOKUP(B11,DS,2,0)</f>
        <v>Đinh Hoàng Lợi</v>
      </c>
      <c r="D11" s="105" t="str">
        <f t="shared" ref="D11" si="12">VLOOKUP(B11,DS,3,0)</f>
        <v>Tài xế</v>
      </c>
      <c r="E11" s="79">
        <f t="shared" ref="E11" si="13">VLOOKUP(B11,DS,4,0)</f>
        <v>5000000</v>
      </c>
      <c r="F11" s="81">
        <f>VLOOKUP(B11,'CC -1'!$B$9:$AS$24,36,0)</f>
        <v>25</v>
      </c>
      <c r="G11" s="134">
        <f t="shared" ref="G11" si="14">ROUND(E11/$U$2*F11,0)</f>
        <v>5000000</v>
      </c>
      <c r="H11" s="81">
        <f>(VLOOKUP(B11,'CC -1'!$B$9:$AS$24,37,0)+VLOOKUP(B11,'CC -1'!$B$9:$AS$24,38,0))</f>
        <v>0</v>
      </c>
      <c r="I11" s="134">
        <f t="shared" ref="I11" si="15">ROUND(E11/$U$2*H11,0)</f>
        <v>0</v>
      </c>
      <c r="J11" s="82">
        <f t="shared" ref="J11" si="16">F11+H11</f>
        <v>25</v>
      </c>
      <c r="K11" s="33">
        <f t="shared" ref="K11" si="17">G11+I11</f>
        <v>5000000</v>
      </c>
      <c r="L11" s="79">
        <f t="shared" ref="L11" si="18">+F11*15000</f>
        <v>375000</v>
      </c>
      <c r="M11" s="34">
        <f t="shared" ref="M11" si="19">K11+L11</f>
        <v>5375000</v>
      </c>
      <c r="N11" s="34">
        <f t="shared" si="8"/>
        <v>0</v>
      </c>
      <c r="O11" s="34">
        <f t="shared" si="8"/>
        <v>0</v>
      </c>
      <c r="P11" s="34">
        <f t="shared" si="8"/>
        <v>0</v>
      </c>
      <c r="Q11" s="33">
        <f t="shared" ref="Q11" si="20">M11-SUM(N11:P11)</f>
        <v>5375000</v>
      </c>
      <c r="R11" s="33">
        <f>VLOOKUP(B11,DS,23,0)</f>
        <v>0</v>
      </c>
      <c r="S11" s="39">
        <f t="shared" ref="S11" si="21">Q11-R11</f>
        <v>5375000</v>
      </c>
      <c r="T11" s="33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30" customFormat="1" ht="24" customHeight="1">
      <c r="A12" s="189"/>
      <c r="B12" s="190"/>
      <c r="C12" s="191"/>
      <c r="D12" s="192"/>
      <c r="E12" s="193"/>
      <c r="F12" s="194"/>
      <c r="G12" s="195"/>
      <c r="H12" s="194"/>
      <c r="I12" s="195"/>
      <c r="J12" s="196"/>
      <c r="K12" s="197"/>
      <c r="L12" s="193"/>
      <c r="M12" s="198"/>
      <c r="N12" s="198"/>
      <c r="O12" s="198"/>
      <c r="P12" s="198"/>
      <c r="Q12" s="197"/>
      <c r="R12" s="197"/>
      <c r="S12" s="199"/>
      <c r="T12" s="197"/>
      <c r="U12" s="93"/>
      <c r="V12" s="31"/>
      <c r="W12" s="23"/>
      <c r="X12" s="5"/>
      <c r="Y12" s="5"/>
      <c r="Z12" s="5"/>
      <c r="AA12" s="4"/>
      <c r="AB12" s="4"/>
      <c r="AC12" s="4"/>
      <c r="AD12" s="4"/>
      <c r="AE12" s="4"/>
    </row>
    <row r="13" spans="1:31" s="26" customFormat="1" ht="21" customHeight="1">
      <c r="A13" s="225" t="s">
        <v>23</v>
      </c>
      <c r="B13" s="226"/>
      <c r="C13" s="226"/>
      <c r="D13" s="227"/>
      <c r="E13" s="129">
        <f>SUM(E9:E12)</f>
        <v>10000000</v>
      </c>
      <c r="F13" s="129"/>
      <c r="G13" s="129">
        <f>SUM(G9:G12)</f>
        <v>10000000</v>
      </c>
      <c r="H13" s="129"/>
      <c r="I13" s="129">
        <f>SUM(I9:I12)</f>
        <v>0</v>
      </c>
      <c r="J13" s="129"/>
      <c r="K13" s="129">
        <f t="shared" ref="K13:S13" si="22">SUM(K9:K12)</f>
        <v>10000000</v>
      </c>
      <c r="L13" s="129">
        <f t="shared" si="22"/>
        <v>750000</v>
      </c>
      <c r="M13" s="129">
        <f t="shared" si="22"/>
        <v>10750000</v>
      </c>
      <c r="N13" s="129">
        <f t="shared" si="22"/>
        <v>0</v>
      </c>
      <c r="O13" s="129">
        <f t="shared" si="22"/>
        <v>0</v>
      </c>
      <c r="P13" s="129">
        <f t="shared" si="22"/>
        <v>0</v>
      </c>
      <c r="Q13" s="129">
        <f t="shared" si="22"/>
        <v>10750000</v>
      </c>
      <c r="R13" s="129">
        <f t="shared" si="22"/>
        <v>0</v>
      </c>
      <c r="S13" s="129">
        <f t="shared" si="22"/>
        <v>10750000</v>
      </c>
      <c r="T13" s="21"/>
      <c r="U13" s="93"/>
      <c r="V13" s="27"/>
      <c r="W13" s="27"/>
      <c r="X13" s="27"/>
      <c r="Y13" s="27"/>
      <c r="Z13" s="27"/>
    </row>
    <row r="14" spans="1:31" s="74" customFormat="1" ht="24" customHeight="1">
      <c r="A14" s="176" t="s">
        <v>69</v>
      </c>
      <c r="B14" s="175" t="s">
        <v>70</v>
      </c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93"/>
      <c r="V14" s="75"/>
      <c r="W14" s="75"/>
      <c r="X14" s="76"/>
      <c r="Y14" s="76"/>
      <c r="Z14" s="76"/>
      <c r="AA14" s="77"/>
      <c r="AB14" s="77"/>
      <c r="AC14" s="77"/>
      <c r="AD14" s="77"/>
      <c r="AE14" s="77"/>
    </row>
    <row r="15" spans="1:31" s="30" customFormat="1" ht="24" customHeight="1">
      <c r="A15" s="32">
        <v>1</v>
      </c>
      <c r="B15" s="130" t="s">
        <v>76</v>
      </c>
      <c r="C15" s="78" t="str">
        <f t="shared" ref="C15:C17" si="23">VLOOKUP(B15,DS,2,0)</f>
        <v>Bùi Trường Giang</v>
      </c>
      <c r="D15" s="105" t="str">
        <f t="shared" ref="D15:D17" si="24">VLOOKUP(B15,DS,3,0)</f>
        <v>Thợ in</v>
      </c>
      <c r="E15" s="79">
        <f t="shared" ref="E15:E17" si="25">VLOOKUP(B15,DS,4,0)</f>
        <v>5000000</v>
      </c>
      <c r="F15" s="81">
        <f>VLOOKUP(B15,'CC -1'!$B$9:$AS$24,36,0)</f>
        <v>25</v>
      </c>
      <c r="G15" s="134">
        <f t="shared" ref="G15:G17" si="26">ROUND(E15/$U$2*F15,0)</f>
        <v>5000000</v>
      </c>
      <c r="H15" s="81">
        <f>(VLOOKUP(B15,'CC -1'!$B$9:$AS$24,37,0)+VLOOKUP(B15,'CC -1'!$B$9:$AS$24,38,0))</f>
        <v>0</v>
      </c>
      <c r="I15" s="134">
        <f t="shared" ref="I15:I17" si="27">ROUND(E15/$U$2*H15,0)</f>
        <v>0</v>
      </c>
      <c r="J15" s="135">
        <f t="shared" ref="J15:J17" si="28">F15+H15</f>
        <v>25</v>
      </c>
      <c r="K15" s="33">
        <f t="shared" ref="K15:K17" si="29">G15+I15</f>
        <v>5000000</v>
      </c>
      <c r="L15" s="79">
        <f t="shared" ref="L15:L17" si="30">+F15*15000</f>
        <v>375000</v>
      </c>
      <c r="M15" s="34">
        <f t="shared" ref="M15:M17" si="31">K15+L15</f>
        <v>5375000</v>
      </c>
      <c r="N15" s="34">
        <f t="shared" ref="N15:P19" si="32">IF(VLOOKUP($B15,DS,9,0)="x",$E15*N$4,0)</f>
        <v>0</v>
      </c>
      <c r="O15" s="34">
        <f t="shared" si="32"/>
        <v>0</v>
      </c>
      <c r="P15" s="34">
        <f t="shared" si="32"/>
        <v>0</v>
      </c>
      <c r="Q15" s="33">
        <f>M15-SUM(N15:P15)</f>
        <v>5375000</v>
      </c>
      <c r="R15" s="33">
        <f t="shared" ref="R15:R17" si="33">VLOOKUP(B15,DS,23,0)</f>
        <v>0</v>
      </c>
      <c r="S15" s="39">
        <f>Q15-R15</f>
        <v>5375000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2</v>
      </c>
      <c r="B16" s="130" t="s">
        <v>77</v>
      </c>
      <c r="C16" s="78" t="str">
        <f t="shared" si="23"/>
        <v>Lý Thanh Hải</v>
      </c>
      <c r="D16" s="105" t="str">
        <f t="shared" si="24"/>
        <v>Công Đoạn 1</v>
      </c>
      <c r="E16" s="79">
        <f t="shared" si="25"/>
        <v>5000000</v>
      </c>
      <c r="F16" s="81">
        <f>VLOOKUP(B16,'CC -1'!$B$9:$AS$24,36,0)</f>
        <v>25</v>
      </c>
      <c r="G16" s="134">
        <f t="shared" si="26"/>
        <v>5000000</v>
      </c>
      <c r="H16" s="81">
        <f>(VLOOKUP(B16,'CC -1'!$B$9:$AS$24,37,0)+VLOOKUP(B16,'CC -1'!$B$9:$AS$24,38,0))</f>
        <v>0</v>
      </c>
      <c r="I16" s="134">
        <f t="shared" si="27"/>
        <v>0</v>
      </c>
      <c r="J16" s="135">
        <f t="shared" si="28"/>
        <v>25</v>
      </c>
      <c r="K16" s="33">
        <f t="shared" si="29"/>
        <v>5000000</v>
      </c>
      <c r="L16" s="79">
        <f t="shared" si="30"/>
        <v>375000</v>
      </c>
      <c r="M16" s="34">
        <f t="shared" si="31"/>
        <v>5375000</v>
      </c>
      <c r="N16" s="34">
        <f t="shared" si="32"/>
        <v>0</v>
      </c>
      <c r="O16" s="34">
        <f t="shared" si="32"/>
        <v>0</v>
      </c>
      <c r="P16" s="34">
        <f t="shared" si="32"/>
        <v>0</v>
      </c>
      <c r="Q16" s="33">
        <f t="shared" ref="Q16:Q17" si="34">M16-SUM(N16:P16)</f>
        <v>5375000</v>
      </c>
      <c r="R16" s="33">
        <f t="shared" si="33"/>
        <v>0</v>
      </c>
      <c r="S16" s="39">
        <f t="shared" ref="S16:S17" si="35">Q16-R16</f>
        <v>5375000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31" s="30" customFormat="1" ht="24" customHeight="1">
      <c r="A17" s="32">
        <v>3</v>
      </c>
      <c r="B17" s="130" t="s">
        <v>78</v>
      </c>
      <c r="C17" s="78" t="str">
        <f t="shared" si="23"/>
        <v>Cao Minh Chí</v>
      </c>
      <c r="D17" s="105" t="str">
        <f t="shared" si="24"/>
        <v>Công Đoạn 1</v>
      </c>
      <c r="E17" s="79">
        <f t="shared" si="25"/>
        <v>4200000</v>
      </c>
      <c r="F17" s="81">
        <f>VLOOKUP(B17,'CC -1'!$B$9:$AS$24,36,0)</f>
        <v>25</v>
      </c>
      <c r="G17" s="134">
        <f t="shared" si="26"/>
        <v>4200000</v>
      </c>
      <c r="H17" s="81">
        <f>(VLOOKUP(B17,'CC -1'!$B$9:$AS$24,37,0)+VLOOKUP(B17,'CC -1'!$B$9:$AS$24,38,0))</f>
        <v>0</v>
      </c>
      <c r="I17" s="134">
        <f t="shared" si="27"/>
        <v>0</v>
      </c>
      <c r="J17" s="135">
        <f t="shared" si="28"/>
        <v>25</v>
      </c>
      <c r="K17" s="33">
        <f t="shared" si="29"/>
        <v>4200000</v>
      </c>
      <c r="L17" s="79">
        <f t="shared" si="30"/>
        <v>375000</v>
      </c>
      <c r="M17" s="34">
        <f t="shared" si="31"/>
        <v>4575000</v>
      </c>
      <c r="N17" s="34">
        <f t="shared" si="32"/>
        <v>0</v>
      </c>
      <c r="O17" s="34">
        <f t="shared" si="32"/>
        <v>0</v>
      </c>
      <c r="P17" s="34">
        <f t="shared" si="32"/>
        <v>0</v>
      </c>
      <c r="Q17" s="33">
        <f t="shared" si="34"/>
        <v>4575000</v>
      </c>
      <c r="R17" s="33">
        <f t="shared" si="33"/>
        <v>0</v>
      </c>
      <c r="S17" s="39">
        <f t="shared" si="35"/>
        <v>4575000</v>
      </c>
      <c r="T17" s="33"/>
      <c r="U17" s="93"/>
      <c r="V17" s="31"/>
      <c r="W17" s="23"/>
      <c r="X17" s="5"/>
      <c r="Y17" s="5"/>
      <c r="Z17" s="5"/>
      <c r="AA17" s="4"/>
      <c r="AB17" s="4"/>
      <c r="AC17" s="4"/>
      <c r="AD17" s="4"/>
      <c r="AE17" s="4"/>
    </row>
    <row r="18" spans="1:31" s="30" customFormat="1" ht="24" customHeight="1">
      <c r="A18" s="32">
        <v>4</v>
      </c>
      <c r="B18" s="130" t="s">
        <v>84</v>
      </c>
      <c r="C18" s="78" t="str">
        <f t="shared" ref="C18:C19" si="36">VLOOKUP(B18,DS,2,0)</f>
        <v>Lê Văn Hữu</v>
      </c>
      <c r="D18" s="105" t="str">
        <f t="shared" ref="D18:D19" si="37">VLOOKUP(B18,DS,3,0)</f>
        <v>Công Đoạn 2</v>
      </c>
      <c r="E18" s="79">
        <f t="shared" ref="E18:E19" si="38">VLOOKUP(B18,DS,4,0)</f>
        <v>5000000</v>
      </c>
      <c r="F18" s="81">
        <f>VLOOKUP(B18,'CC -1'!$B$9:$AS$24,36,0)</f>
        <v>25</v>
      </c>
      <c r="G18" s="134">
        <f t="shared" ref="G18:G19" si="39">ROUND(E18/$U$2*F18,0)</f>
        <v>5000000</v>
      </c>
      <c r="H18" s="81">
        <f>(VLOOKUP(B18,'CC -1'!$B$9:$AS$24,37,0)+VLOOKUP(B18,'CC -1'!$B$9:$AS$24,38,0))</f>
        <v>0</v>
      </c>
      <c r="I18" s="134">
        <f t="shared" ref="I18:I19" si="40">ROUND(E18/$U$2*H18,0)</f>
        <v>0</v>
      </c>
      <c r="J18" s="135">
        <f t="shared" ref="J18:K19" si="41">F18+H18</f>
        <v>25</v>
      </c>
      <c r="K18" s="33">
        <f t="shared" si="41"/>
        <v>5000000</v>
      </c>
      <c r="L18" s="79">
        <f t="shared" ref="L18:L19" si="42">+F18*15000</f>
        <v>375000</v>
      </c>
      <c r="M18" s="34">
        <f t="shared" ref="M18:M19" si="43">K18+L18</f>
        <v>5375000</v>
      </c>
      <c r="N18" s="34">
        <f t="shared" si="32"/>
        <v>0</v>
      </c>
      <c r="O18" s="34">
        <f t="shared" si="32"/>
        <v>0</v>
      </c>
      <c r="P18" s="34">
        <f t="shared" si="32"/>
        <v>0</v>
      </c>
      <c r="Q18" s="33">
        <f>M18-SUM(N18:P18)</f>
        <v>5375000</v>
      </c>
      <c r="R18" s="33">
        <f t="shared" ref="R18:R19" si="44">VLOOKUP(B18,DS,23,0)</f>
        <v>0</v>
      </c>
      <c r="S18" s="39">
        <f>Q18-R18</f>
        <v>5375000</v>
      </c>
      <c r="T18" s="33"/>
      <c r="U18" s="93"/>
      <c r="V18" s="31"/>
      <c r="W18" s="23"/>
      <c r="X18" s="5"/>
      <c r="Y18" s="5"/>
      <c r="Z18" s="5"/>
      <c r="AA18" s="4"/>
      <c r="AB18" s="4"/>
      <c r="AC18" s="4"/>
      <c r="AD18" s="4"/>
      <c r="AE18" s="4"/>
    </row>
    <row r="19" spans="1:31" s="30" customFormat="1" ht="24" customHeight="1">
      <c r="A19" s="32">
        <v>5</v>
      </c>
      <c r="B19" s="130" t="s">
        <v>85</v>
      </c>
      <c r="C19" s="78" t="str">
        <f t="shared" si="36"/>
        <v>Nguyễn Thị Sự</v>
      </c>
      <c r="D19" s="105" t="str">
        <f t="shared" si="37"/>
        <v>Công Đoạn 2</v>
      </c>
      <c r="E19" s="79">
        <f t="shared" si="38"/>
        <v>4200000</v>
      </c>
      <c r="F19" s="81">
        <f>VLOOKUP(B19,'CC -1'!$B$9:$AS$24,36,0)</f>
        <v>25</v>
      </c>
      <c r="G19" s="134">
        <f t="shared" si="39"/>
        <v>4200000</v>
      </c>
      <c r="H19" s="81">
        <f>(VLOOKUP(B19,'CC -1'!$B$9:$AS$24,37,0)+VLOOKUP(B19,'CC -1'!$B$9:$AS$24,38,0))</f>
        <v>0</v>
      </c>
      <c r="I19" s="134">
        <f t="shared" si="40"/>
        <v>0</v>
      </c>
      <c r="J19" s="135">
        <f t="shared" si="41"/>
        <v>25</v>
      </c>
      <c r="K19" s="33">
        <f t="shared" si="41"/>
        <v>4200000</v>
      </c>
      <c r="L19" s="79">
        <f t="shared" si="42"/>
        <v>375000</v>
      </c>
      <c r="M19" s="34">
        <f t="shared" si="43"/>
        <v>4575000</v>
      </c>
      <c r="N19" s="34">
        <f t="shared" si="32"/>
        <v>0</v>
      </c>
      <c r="O19" s="34">
        <f t="shared" si="32"/>
        <v>0</v>
      </c>
      <c r="P19" s="34">
        <f t="shared" si="32"/>
        <v>0</v>
      </c>
      <c r="Q19" s="33">
        <f t="shared" ref="Q19" si="45">M19-SUM(N19:P19)</f>
        <v>4575000</v>
      </c>
      <c r="R19" s="33">
        <f t="shared" si="44"/>
        <v>0</v>
      </c>
      <c r="S19" s="39">
        <f t="shared" ref="S19" si="46">Q19-R19</f>
        <v>4575000</v>
      </c>
      <c r="T19" s="33"/>
      <c r="U19" s="93"/>
      <c r="V19" s="31"/>
      <c r="W19" s="23"/>
      <c r="X19" s="5"/>
      <c r="Y19" s="5"/>
      <c r="Z19" s="5"/>
      <c r="AA19" s="4"/>
      <c r="AB19" s="4"/>
      <c r="AC19" s="4"/>
      <c r="AD19" s="4"/>
      <c r="AE19" s="4"/>
    </row>
    <row r="20" spans="1:31" s="30" customFormat="1" ht="22.5" customHeight="1">
      <c r="A20" s="35"/>
      <c r="B20" s="173"/>
      <c r="C20" s="36"/>
      <c r="D20" s="3"/>
      <c r="E20" s="37"/>
      <c r="F20" s="37"/>
      <c r="G20" s="37"/>
      <c r="H20" s="37"/>
      <c r="I20" s="37"/>
      <c r="J20" s="38"/>
      <c r="K20" s="37"/>
      <c r="L20" s="37"/>
      <c r="M20" s="172"/>
      <c r="N20" s="37"/>
      <c r="O20" s="37"/>
      <c r="P20" s="37"/>
      <c r="Q20" s="37"/>
      <c r="R20" s="37"/>
      <c r="S20" s="37"/>
      <c r="T20" s="33"/>
      <c r="U20" s="93"/>
      <c r="V20" s="31"/>
      <c r="W20" s="31"/>
      <c r="X20" s="31"/>
      <c r="Y20" s="31"/>
      <c r="Z20" s="31"/>
    </row>
    <row r="21" spans="1:31" s="26" customFormat="1" ht="21" customHeight="1">
      <c r="A21" s="225" t="s">
        <v>23</v>
      </c>
      <c r="B21" s="226"/>
      <c r="C21" s="226"/>
      <c r="D21" s="227"/>
      <c r="E21" s="129">
        <f>SUM(E14:E20)</f>
        <v>23400000</v>
      </c>
      <c r="F21" s="129"/>
      <c r="G21" s="129">
        <f>SUM(G14:G20)</f>
        <v>23400000</v>
      </c>
      <c r="H21" s="129"/>
      <c r="I21" s="129">
        <f>SUM(I14:I20)</f>
        <v>0</v>
      </c>
      <c r="J21" s="129"/>
      <c r="K21" s="129">
        <f t="shared" ref="K21:S21" si="47">SUM(K14:K20)</f>
        <v>23400000</v>
      </c>
      <c r="L21" s="129">
        <f t="shared" si="47"/>
        <v>1875000</v>
      </c>
      <c r="M21" s="129">
        <f t="shared" si="47"/>
        <v>25275000</v>
      </c>
      <c r="N21" s="129">
        <f t="shared" si="47"/>
        <v>0</v>
      </c>
      <c r="O21" s="129">
        <f t="shared" si="47"/>
        <v>0</v>
      </c>
      <c r="P21" s="129">
        <f t="shared" si="47"/>
        <v>0</v>
      </c>
      <c r="Q21" s="129">
        <f t="shared" si="47"/>
        <v>25275000</v>
      </c>
      <c r="R21" s="129">
        <f t="shared" si="47"/>
        <v>0</v>
      </c>
      <c r="S21" s="129">
        <f t="shared" si="47"/>
        <v>25275000</v>
      </c>
      <c r="T21" s="21"/>
      <c r="U21" s="210"/>
      <c r="V21" s="27"/>
      <c r="W21" s="27"/>
      <c r="X21" s="27"/>
      <c r="Y21" s="27"/>
      <c r="Z21" s="27"/>
    </row>
    <row r="22" spans="1:31" ht="11.25" customHeight="1">
      <c r="A22" s="8"/>
      <c r="B22" s="8"/>
      <c r="C22" s="9"/>
      <c r="D22" s="106"/>
      <c r="E22" s="83"/>
      <c r="F22" s="9"/>
      <c r="G22" s="9"/>
      <c r="H22" s="9"/>
      <c r="I22" s="9"/>
      <c r="K22" s="9"/>
      <c r="L22" s="9"/>
      <c r="M22" s="91"/>
      <c r="N22" s="9"/>
      <c r="O22" s="9"/>
      <c r="P22" s="9"/>
      <c r="Q22" s="9"/>
      <c r="R22" s="9"/>
      <c r="S22" s="9"/>
      <c r="T22" s="9"/>
      <c r="U22" s="93"/>
    </row>
    <row r="23" spans="1:31" s="30" customFormat="1" ht="11.25" customHeight="1">
      <c r="A23" s="67"/>
      <c r="B23" s="67"/>
      <c r="C23" s="67"/>
      <c r="D23" s="122"/>
      <c r="E23" s="123"/>
      <c r="F23" s="67"/>
      <c r="G23" s="67"/>
      <c r="H23" s="67"/>
      <c r="I23" s="67"/>
      <c r="J23" s="124"/>
      <c r="K23" s="123"/>
      <c r="L23" s="67"/>
      <c r="M23" s="67"/>
      <c r="N23" s="67"/>
      <c r="O23" s="67"/>
      <c r="P23" s="67"/>
      <c r="Q23" s="67"/>
      <c r="R23" s="67"/>
      <c r="S23" s="97" t="str">
        <f>"Bình Chánh, ngày  "&amp;$V$2&amp;"   tháng   "&amp;TEXT(E4,"mm")&amp;"   năm "&amp;TEXT(E4,"yyyy")</f>
        <v>Bình Chánh, ngày  31   tháng   01   năm 2016</v>
      </c>
      <c r="T23" s="67"/>
      <c r="U23" s="125"/>
      <c r="V23" s="31"/>
      <c r="W23" s="31"/>
      <c r="X23" s="31"/>
      <c r="Y23" s="31"/>
      <c r="Z23" s="31"/>
    </row>
    <row r="24" spans="1:31" s="30" customFormat="1" ht="12.75">
      <c r="A24" s="24"/>
      <c r="B24" s="24"/>
      <c r="C24" s="24" t="s">
        <v>53</v>
      </c>
      <c r="D24" s="126"/>
      <c r="E24" s="68"/>
      <c r="F24" s="125"/>
      <c r="G24" s="68"/>
      <c r="H24" s="68"/>
      <c r="I24" s="68"/>
      <c r="J24" s="127"/>
      <c r="K24" s="31"/>
      <c r="L24" s="24"/>
      <c r="M24" s="136"/>
      <c r="N24" s="20"/>
      <c r="O24" s="20"/>
      <c r="P24" s="20"/>
      <c r="Q24" s="20"/>
      <c r="S24" s="125" t="s">
        <v>21</v>
      </c>
      <c r="T24" s="125"/>
      <c r="U24" s="125"/>
      <c r="V24" s="31"/>
      <c r="W24" s="31"/>
      <c r="X24" s="31"/>
      <c r="Y24" s="31"/>
      <c r="Z24" s="31"/>
    </row>
    <row r="25" spans="1:31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N25" s="11"/>
      <c r="O25" s="11"/>
      <c r="P25" s="11"/>
      <c r="Q25" s="11"/>
      <c r="S25" s="11"/>
      <c r="T25" s="12"/>
      <c r="U25" s="93"/>
    </row>
    <row r="26" spans="1:31" ht="12">
      <c r="C26" s="15"/>
      <c r="L26" s="15"/>
      <c r="T26" s="15"/>
      <c r="U26" s="93"/>
    </row>
    <row r="27" spans="1:31" ht="12">
      <c r="U27" s="93"/>
    </row>
    <row r="28" spans="1:31" ht="12">
      <c r="U28" s="93"/>
    </row>
    <row r="29" spans="1:31" ht="12">
      <c r="U29" s="93"/>
    </row>
    <row r="30" spans="1:31" ht="12">
      <c r="U30" s="93"/>
    </row>
    <row r="31" spans="1:31" ht="12">
      <c r="U31" s="93"/>
    </row>
    <row r="32" spans="1:31" ht="12">
      <c r="U32" s="93"/>
    </row>
  </sheetData>
  <protectedRanges>
    <protectedRange password="CC78" sqref="V20:IK21 C5:D7 B24:C24 V5:W9 A20:A25 B20:B23 B25 V14:W14 Q5:T7 E5:I6 N5:P6 L5 L24 J6:K7 L7 A27:T60 U33:U60 N20:S20 V27:IK60 J20:L20 A61:IK65328 AF14:IK14 V13:IK13 D21:T21 D13:T13 A10:B13 Q10:S12 AF5:IK12 W10:W12" name="Range1"/>
    <protectedRange password="CC78" sqref="F7:H7" name="Range1_4"/>
    <protectedRange password="CC78" sqref="V24:IK25 S24:T25 N24:Q25 E24:I25" name="Range1_1_1"/>
    <protectedRange password="CC78" sqref="U1 W1:IK3 V4:IK4 B4:T4 R2:S3 B1:Q3 U20:U32 X14:AE14 X5:AE12 U4:U14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F15:IK19 W15:W19 A15:B19 Q15:S19" name="Range1_5"/>
    <protectedRange password="CC78" sqref="U15:U19 X15:AE19" name="Range1_2_3"/>
    <protectedRange password="CC78" sqref="V15:V19" name="Range1_1_3"/>
    <protectedRange password="CC78" sqref="K10:K12 K15:K19" name="Range1_6"/>
    <protectedRange password="CC78" sqref="A2:A3" name="Range1_2_1_3"/>
  </protectedRanges>
  <autoFilter ref="A7:AE9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5" customWidth="1"/>
    <col min="5" max="5" width="7.140625" style="2" customWidth="1"/>
    <col min="6" max="33" width="3.42578125" style="112" customWidth="1"/>
    <col min="34" max="34" width="3.42578125" style="113" customWidth="1"/>
    <col min="35" max="36" width="4.42578125" style="2" customWidth="1"/>
    <col min="37" max="37" width="5.5703125" style="89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02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44"/>
      <c r="AJ1" s="44"/>
      <c r="AK1" s="257" t="s">
        <v>81</v>
      </c>
      <c r="AL1" s="258"/>
      <c r="AM1" s="258"/>
      <c r="AN1" s="258"/>
      <c r="AO1" s="258"/>
      <c r="AP1" s="258"/>
      <c r="AQ1" s="259"/>
      <c r="AR1" s="46"/>
    </row>
    <row r="2" spans="1:89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44"/>
      <c r="AJ2" s="44"/>
      <c r="AK2" s="85"/>
      <c r="AL2" s="48"/>
      <c r="AM2" s="48"/>
      <c r="AN2" s="48"/>
      <c r="AO2" s="48"/>
      <c r="AP2" s="48"/>
      <c r="AQ2" s="84"/>
      <c r="AR2" s="84"/>
    </row>
    <row r="3" spans="1:89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44"/>
      <c r="AJ3" s="44"/>
      <c r="AK3" s="85"/>
      <c r="AL3" s="46"/>
      <c r="AM3" s="46"/>
      <c r="AN3" s="46"/>
      <c r="AO3" s="46"/>
      <c r="AP3" s="46"/>
      <c r="AQ3" s="51"/>
      <c r="AR3" s="51"/>
    </row>
    <row r="4" spans="1:89" ht="14.25" customHeight="1">
      <c r="A4" s="52"/>
      <c r="B4" s="52"/>
      <c r="C4" s="144"/>
      <c r="D4" s="143"/>
      <c r="E4" s="53">
        <v>42401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2"/>
      <c r="AJ4" s="52"/>
      <c r="AK4" s="86"/>
      <c r="AL4" s="52"/>
      <c r="AM4" s="52"/>
      <c r="AN4" s="52"/>
      <c r="AO4" s="52"/>
      <c r="AP4" s="52"/>
      <c r="AQ4" s="52"/>
      <c r="AR4" s="90"/>
    </row>
    <row r="5" spans="1:89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42401</v>
      </c>
      <c r="G5" s="107">
        <f t="shared" ref="G5:AG5" si="0">F5+1</f>
        <v>42402</v>
      </c>
      <c r="H5" s="107">
        <f t="shared" si="0"/>
        <v>42403</v>
      </c>
      <c r="I5" s="107">
        <f t="shared" si="0"/>
        <v>42404</v>
      </c>
      <c r="J5" s="107">
        <f t="shared" si="0"/>
        <v>42405</v>
      </c>
      <c r="K5" s="107">
        <f t="shared" si="0"/>
        <v>42406</v>
      </c>
      <c r="L5" s="107">
        <f t="shared" si="0"/>
        <v>42407</v>
      </c>
      <c r="M5" s="107">
        <f t="shared" si="0"/>
        <v>42408</v>
      </c>
      <c r="N5" s="107">
        <f t="shared" si="0"/>
        <v>42409</v>
      </c>
      <c r="O5" s="107">
        <f t="shared" si="0"/>
        <v>42410</v>
      </c>
      <c r="P5" s="107">
        <f t="shared" si="0"/>
        <v>42411</v>
      </c>
      <c r="Q5" s="107">
        <f t="shared" si="0"/>
        <v>42412</v>
      </c>
      <c r="R5" s="107">
        <f t="shared" si="0"/>
        <v>42413</v>
      </c>
      <c r="S5" s="107">
        <f t="shared" si="0"/>
        <v>42414</v>
      </c>
      <c r="T5" s="107">
        <f t="shared" si="0"/>
        <v>42415</v>
      </c>
      <c r="U5" s="107">
        <f t="shared" si="0"/>
        <v>42416</v>
      </c>
      <c r="V5" s="107">
        <f t="shared" si="0"/>
        <v>42417</v>
      </c>
      <c r="W5" s="107">
        <f t="shared" si="0"/>
        <v>42418</v>
      </c>
      <c r="X5" s="107">
        <f t="shared" si="0"/>
        <v>42419</v>
      </c>
      <c r="Y5" s="107">
        <f t="shared" si="0"/>
        <v>42420</v>
      </c>
      <c r="Z5" s="107">
        <f t="shared" si="0"/>
        <v>42421</v>
      </c>
      <c r="AA5" s="107">
        <f t="shared" si="0"/>
        <v>42422</v>
      </c>
      <c r="AB5" s="107">
        <f t="shared" si="0"/>
        <v>42423</v>
      </c>
      <c r="AC5" s="107">
        <f t="shared" si="0"/>
        <v>42424</v>
      </c>
      <c r="AD5" s="107">
        <f t="shared" si="0"/>
        <v>42425</v>
      </c>
      <c r="AE5" s="107">
        <f t="shared" si="0"/>
        <v>42426</v>
      </c>
      <c r="AF5" s="107">
        <f t="shared" si="0"/>
        <v>42427</v>
      </c>
      <c r="AG5" s="107">
        <f t="shared" si="0"/>
        <v>42428</v>
      </c>
      <c r="AH5" s="107">
        <f>AG5+1</f>
        <v>42429</v>
      </c>
      <c r="AI5" s="263" t="s">
        <v>15</v>
      </c>
      <c r="AJ5" s="264"/>
      <c r="AK5" s="265"/>
      <c r="AL5" s="266" t="s">
        <v>39</v>
      </c>
      <c r="AM5" s="266" t="s">
        <v>35</v>
      </c>
      <c r="AN5" s="266" t="s">
        <v>36</v>
      </c>
      <c r="AO5" s="266" t="s">
        <v>37</v>
      </c>
      <c r="AP5" s="266" t="s">
        <v>38</v>
      </c>
      <c r="AQ5" s="262" t="s">
        <v>0</v>
      </c>
      <c r="AR5" s="268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T.Hai</v>
      </c>
      <c r="G6" s="162" t="str">
        <f t="shared" ref="G6:AH6" si="1">CHOOSE(WEEKDAY(G5),"C.Nhật","T.Hai","T.Ba","T.Tư","T.Năm","T.Sáu","T.Bảy")</f>
        <v>T.Ba</v>
      </c>
      <c r="H6" s="162" t="str">
        <f t="shared" si="1"/>
        <v>T.Tư</v>
      </c>
      <c r="I6" s="162" t="str">
        <f t="shared" si="1"/>
        <v>T.Năm</v>
      </c>
      <c r="J6" s="162" t="str">
        <f t="shared" si="1"/>
        <v>T.Sáu</v>
      </c>
      <c r="K6" s="162" t="str">
        <f t="shared" si="1"/>
        <v>T.Bảy</v>
      </c>
      <c r="L6" s="162" t="str">
        <f t="shared" si="1"/>
        <v>C.Nhật</v>
      </c>
      <c r="M6" s="162" t="str">
        <f t="shared" si="1"/>
        <v>T.Hai</v>
      </c>
      <c r="N6" s="162" t="str">
        <f t="shared" si="1"/>
        <v>T.Ba</v>
      </c>
      <c r="O6" s="162" t="str">
        <f t="shared" si="1"/>
        <v>T.Tư</v>
      </c>
      <c r="P6" s="162" t="str">
        <f t="shared" si="1"/>
        <v>T.Năm</v>
      </c>
      <c r="Q6" s="162" t="str">
        <f t="shared" si="1"/>
        <v>T.Sáu</v>
      </c>
      <c r="R6" s="162" t="str">
        <f t="shared" si="1"/>
        <v>T.Bảy</v>
      </c>
      <c r="S6" s="162" t="str">
        <f t="shared" si="1"/>
        <v>C.Nhật</v>
      </c>
      <c r="T6" s="162" t="str">
        <f t="shared" si="1"/>
        <v>T.Hai</v>
      </c>
      <c r="U6" s="162" t="str">
        <f t="shared" si="1"/>
        <v>T.Ba</v>
      </c>
      <c r="V6" s="162" t="str">
        <f t="shared" si="1"/>
        <v>T.Tư</v>
      </c>
      <c r="W6" s="162" t="str">
        <f t="shared" si="1"/>
        <v>T.Năm</v>
      </c>
      <c r="X6" s="162" t="str">
        <f t="shared" si="1"/>
        <v>T.Sáu</v>
      </c>
      <c r="Y6" s="162" t="str">
        <f t="shared" si="1"/>
        <v>T.Bảy</v>
      </c>
      <c r="Z6" s="162" t="str">
        <f t="shared" si="1"/>
        <v>C.Nhật</v>
      </c>
      <c r="AA6" s="162" t="str">
        <f t="shared" si="1"/>
        <v>T.Hai</v>
      </c>
      <c r="AB6" s="162" t="str">
        <f t="shared" si="1"/>
        <v>T.Ba</v>
      </c>
      <c r="AC6" s="162" t="str">
        <f t="shared" si="1"/>
        <v>T.Tư</v>
      </c>
      <c r="AD6" s="162" t="str">
        <f t="shared" si="1"/>
        <v>T.Năm</v>
      </c>
      <c r="AE6" s="162" t="str">
        <f t="shared" si="1"/>
        <v>T.Sáu</v>
      </c>
      <c r="AF6" s="162" t="str">
        <f t="shared" si="1"/>
        <v>T.Bảy</v>
      </c>
      <c r="AG6" s="162" t="str">
        <f t="shared" si="1"/>
        <v>C.Nhật</v>
      </c>
      <c r="AH6" s="162" t="str">
        <f t="shared" si="1"/>
        <v>T.Hai</v>
      </c>
      <c r="AI6" s="163" t="s">
        <v>16</v>
      </c>
      <c r="AJ6" s="163" t="s">
        <v>29</v>
      </c>
      <c r="AK6" s="164" t="s">
        <v>17</v>
      </c>
      <c r="AL6" s="267"/>
      <c r="AM6" s="267"/>
      <c r="AN6" s="267"/>
      <c r="AO6" s="267"/>
      <c r="AP6" s="267"/>
      <c r="AQ6" s="261"/>
      <c r="AR6" s="268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207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8" customFormat="1" ht="21" customHeight="1">
      <c r="A8" s="166" t="s">
        <v>68</v>
      </c>
      <c r="B8" s="169" t="s">
        <v>80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1"/>
      <c r="AR8" s="167"/>
    </row>
    <row r="9" spans="1:89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>
        <v>8</v>
      </c>
      <c r="H9" s="132">
        <v>8</v>
      </c>
      <c r="I9" s="132">
        <v>8</v>
      </c>
      <c r="J9" s="132">
        <v>8</v>
      </c>
      <c r="K9" s="132">
        <v>8</v>
      </c>
      <c r="L9" s="132"/>
      <c r="M9" s="132"/>
      <c r="N9" s="132"/>
      <c r="O9" s="132"/>
      <c r="P9" s="132"/>
      <c r="Q9" s="132"/>
      <c r="R9" s="132"/>
      <c r="S9" s="132"/>
      <c r="T9" s="132">
        <v>8</v>
      </c>
      <c r="U9" s="132">
        <v>8</v>
      </c>
      <c r="V9" s="132">
        <v>8</v>
      </c>
      <c r="W9" s="132">
        <v>8</v>
      </c>
      <c r="X9" s="132">
        <v>8</v>
      </c>
      <c r="Y9" s="132">
        <v>8</v>
      </c>
      <c r="Z9" s="132"/>
      <c r="AA9" s="132">
        <v>8</v>
      </c>
      <c r="AB9" s="132">
        <v>8</v>
      </c>
      <c r="AC9" s="132">
        <v>8</v>
      </c>
      <c r="AD9" s="132">
        <v>8</v>
      </c>
      <c r="AE9" s="132">
        <v>8</v>
      </c>
      <c r="AF9" s="132">
        <v>8</v>
      </c>
      <c r="AG9" s="132"/>
      <c r="AH9" s="132">
        <v>8</v>
      </c>
      <c r="AI9" s="251">
        <f>((SUM(F9:AH9))/8)-(SUMIF($F$6:$AH$6,"C.Nhật",F9:AH9)/8)</f>
        <v>19</v>
      </c>
      <c r="AJ9" s="251">
        <f>SUM(F10:AH10)/8*1.5</f>
        <v>0</v>
      </c>
      <c r="AK9" s="253">
        <f>SUMIF($F$6:$AH$6,"C.Nhật",$F9:$AH10)/8*2</f>
        <v>0</v>
      </c>
      <c r="AL9" s="241">
        <f>SUM(AI9:AK10)</f>
        <v>19</v>
      </c>
      <c r="AM9" s="255">
        <v>0</v>
      </c>
      <c r="AN9" s="241"/>
      <c r="AO9" s="241"/>
      <c r="AP9" s="241"/>
      <c r="AQ9" s="243"/>
      <c r="AR9" s="207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252"/>
      <c r="AJ10" s="252"/>
      <c r="AK10" s="254"/>
      <c r="AL10" s="242"/>
      <c r="AM10" s="256"/>
      <c r="AN10" s="242"/>
      <c r="AO10" s="242"/>
      <c r="AP10" s="242"/>
      <c r="AQ10" s="244"/>
      <c r="AR10" s="207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6" customFormat="1" ht="18" customHeight="1">
      <c r="A11" s="245">
        <v>2</v>
      </c>
      <c r="B11" s="245" t="s">
        <v>75</v>
      </c>
      <c r="C11" s="247" t="str">
        <f>VLOOKUP(B11,DS,2,0)</f>
        <v>Đinh Hoàng Lợi</v>
      </c>
      <c r="D11" s="249" t="str">
        <f>VLOOKUP(B11,DS,3,0)</f>
        <v>Tài xế</v>
      </c>
      <c r="E11" s="57" t="s">
        <v>30</v>
      </c>
      <c r="F11" s="132">
        <v>8</v>
      </c>
      <c r="G11" s="132">
        <v>8</v>
      </c>
      <c r="H11" s="132">
        <v>8</v>
      </c>
      <c r="I11" s="132">
        <v>8</v>
      </c>
      <c r="J11" s="132">
        <v>8</v>
      </c>
      <c r="K11" s="132">
        <v>8</v>
      </c>
      <c r="L11" s="132"/>
      <c r="M11" s="132"/>
      <c r="N11" s="132"/>
      <c r="O11" s="132"/>
      <c r="P11" s="132"/>
      <c r="Q11" s="132"/>
      <c r="R11" s="132"/>
      <c r="S11" s="132"/>
      <c r="T11" s="132">
        <v>8</v>
      </c>
      <c r="U11" s="132">
        <v>8</v>
      </c>
      <c r="V11" s="132">
        <v>8</v>
      </c>
      <c r="W11" s="132">
        <v>8</v>
      </c>
      <c r="X11" s="132">
        <v>8</v>
      </c>
      <c r="Y11" s="132">
        <v>8</v>
      </c>
      <c r="Z11" s="132"/>
      <c r="AA11" s="132">
        <v>8</v>
      </c>
      <c r="AB11" s="132">
        <v>8</v>
      </c>
      <c r="AC11" s="132">
        <v>8</v>
      </c>
      <c r="AD11" s="132">
        <v>8</v>
      </c>
      <c r="AE11" s="132">
        <v>8</v>
      </c>
      <c r="AF11" s="132">
        <v>8</v>
      </c>
      <c r="AG11" s="132"/>
      <c r="AH11" s="132">
        <v>8</v>
      </c>
      <c r="AI11" s="251">
        <f>((SUM(F11:AH11))/8)-(SUMIF($F$6:$AH$6,"C.Nhật",F11:AH11)/8)</f>
        <v>19</v>
      </c>
      <c r="AJ11" s="251">
        <f>SUM(F12:AH12)/8*1.5</f>
        <v>0</v>
      </c>
      <c r="AK11" s="253">
        <f>SUMIF($F$6:$AH$6,"C.Nhật",$F11:$AH12)/8*2</f>
        <v>0</v>
      </c>
      <c r="AL11" s="241">
        <f t="shared" ref="AL11" si="2">SUM(AI11:AK12)</f>
        <v>19</v>
      </c>
      <c r="AM11" s="255">
        <v>0</v>
      </c>
      <c r="AN11" s="241"/>
      <c r="AO11" s="241"/>
      <c r="AP11" s="241"/>
      <c r="AQ11" s="243"/>
      <c r="AR11" s="214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6" customFormat="1" ht="18" customHeight="1">
      <c r="A12" s="246"/>
      <c r="B12" s="246"/>
      <c r="C12" s="248"/>
      <c r="D12" s="250"/>
      <c r="E12" s="58" t="s">
        <v>29</v>
      </c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252"/>
      <c r="AJ12" s="252"/>
      <c r="AK12" s="254"/>
      <c r="AL12" s="242"/>
      <c r="AM12" s="256"/>
      <c r="AN12" s="242"/>
      <c r="AO12" s="242"/>
      <c r="AP12" s="242"/>
      <c r="AQ12" s="244"/>
      <c r="AR12" s="214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8" customFormat="1" ht="21" customHeight="1">
      <c r="A13" s="166" t="s">
        <v>69</v>
      </c>
      <c r="B13" s="169" t="s">
        <v>73</v>
      </c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1"/>
      <c r="AR13" s="167"/>
    </row>
    <row r="14" spans="1:89" s="56" customFormat="1" ht="18" customHeight="1">
      <c r="A14" s="245">
        <v>1</v>
      </c>
      <c r="B14" s="245" t="s">
        <v>76</v>
      </c>
      <c r="C14" s="247" t="str">
        <f>VLOOKUP(B14,DS,2,0)</f>
        <v>Bùi Trường Giang</v>
      </c>
      <c r="D14" s="249" t="str">
        <f>VLOOKUP(B14,DS,3,0)</f>
        <v>Thợ in</v>
      </c>
      <c r="E14" s="57" t="s">
        <v>30</v>
      </c>
      <c r="F14" s="132">
        <v>8</v>
      </c>
      <c r="G14" s="132">
        <v>8</v>
      </c>
      <c r="H14" s="132">
        <v>8</v>
      </c>
      <c r="I14" s="132">
        <v>8</v>
      </c>
      <c r="J14" s="132">
        <v>8</v>
      </c>
      <c r="K14" s="132">
        <v>8</v>
      </c>
      <c r="L14" s="132"/>
      <c r="M14" s="132"/>
      <c r="N14" s="132"/>
      <c r="O14" s="132"/>
      <c r="P14" s="132"/>
      <c r="Q14" s="132"/>
      <c r="R14" s="132"/>
      <c r="S14" s="132"/>
      <c r="T14" s="132">
        <v>8</v>
      </c>
      <c r="U14" s="132">
        <v>8</v>
      </c>
      <c r="V14" s="132">
        <v>8</v>
      </c>
      <c r="W14" s="132">
        <v>8</v>
      </c>
      <c r="X14" s="132">
        <v>8</v>
      </c>
      <c r="Y14" s="132">
        <v>8</v>
      </c>
      <c r="Z14" s="132"/>
      <c r="AA14" s="132">
        <v>8</v>
      </c>
      <c r="AB14" s="132">
        <v>8</v>
      </c>
      <c r="AC14" s="132">
        <v>8</v>
      </c>
      <c r="AD14" s="132">
        <v>8</v>
      </c>
      <c r="AE14" s="132">
        <v>8</v>
      </c>
      <c r="AF14" s="132">
        <v>8</v>
      </c>
      <c r="AG14" s="132"/>
      <c r="AH14" s="132">
        <v>8</v>
      </c>
      <c r="AI14" s="251">
        <f>((SUM(F14:AH14))/8)-(SUMIF($F$6:$AH$6,"C.Nhật",F14:AH14)/8)</f>
        <v>19</v>
      </c>
      <c r="AJ14" s="251">
        <f>SUM(F15:AH15)/8*1.5</f>
        <v>0</v>
      </c>
      <c r="AK14" s="253">
        <f>SUMIF($F$6:$AH$6,"C.Nhật",$F14:$AH15)/8*2</f>
        <v>0</v>
      </c>
      <c r="AL14" s="241">
        <f>SUM(AI14:AK15)</f>
        <v>19</v>
      </c>
      <c r="AM14" s="255">
        <v>0</v>
      </c>
      <c r="AN14" s="241"/>
      <c r="AO14" s="241"/>
      <c r="AP14" s="241"/>
      <c r="AQ14" s="243"/>
      <c r="AR14" s="207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252"/>
      <c r="AJ15" s="252"/>
      <c r="AK15" s="254"/>
      <c r="AL15" s="242"/>
      <c r="AM15" s="256"/>
      <c r="AN15" s="242"/>
      <c r="AO15" s="242"/>
      <c r="AP15" s="242"/>
      <c r="AQ15" s="244"/>
      <c r="AR15" s="207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6" customFormat="1" ht="18" customHeight="1">
      <c r="A16" s="245">
        <v>2</v>
      </c>
      <c r="B16" s="245" t="s">
        <v>77</v>
      </c>
      <c r="C16" s="247" t="str">
        <f>VLOOKUP(B16,DS,2,0)</f>
        <v>Lý Thanh Hải</v>
      </c>
      <c r="D16" s="249" t="str">
        <f>VLOOKUP(B16,DS,3,0)</f>
        <v>Công Đoạn 1</v>
      </c>
      <c r="E16" s="57" t="s">
        <v>30</v>
      </c>
      <c r="F16" s="132">
        <v>8</v>
      </c>
      <c r="G16" s="132">
        <v>8</v>
      </c>
      <c r="H16" s="132">
        <v>8</v>
      </c>
      <c r="I16" s="132">
        <v>8</v>
      </c>
      <c r="J16" s="132">
        <v>8</v>
      </c>
      <c r="K16" s="132">
        <v>8</v>
      </c>
      <c r="L16" s="132"/>
      <c r="M16" s="132"/>
      <c r="N16" s="132"/>
      <c r="O16" s="132"/>
      <c r="P16" s="132"/>
      <c r="Q16" s="132"/>
      <c r="R16" s="132"/>
      <c r="S16" s="132"/>
      <c r="T16" s="132">
        <v>8</v>
      </c>
      <c r="U16" s="132">
        <v>8</v>
      </c>
      <c r="V16" s="132">
        <v>8</v>
      </c>
      <c r="W16" s="132">
        <v>8</v>
      </c>
      <c r="X16" s="132">
        <v>8</v>
      </c>
      <c r="Y16" s="132">
        <v>8</v>
      </c>
      <c r="Z16" s="132"/>
      <c r="AA16" s="132">
        <v>8</v>
      </c>
      <c r="AB16" s="132">
        <v>8</v>
      </c>
      <c r="AC16" s="132">
        <v>8</v>
      </c>
      <c r="AD16" s="132">
        <v>8</v>
      </c>
      <c r="AE16" s="132">
        <v>8</v>
      </c>
      <c r="AF16" s="132">
        <v>8</v>
      </c>
      <c r="AG16" s="132"/>
      <c r="AH16" s="132">
        <v>8</v>
      </c>
      <c r="AI16" s="251">
        <f>((SUM(F16:AH16))/8)-(SUMIF($F$6:$AH$6,"C.Nhật",F16:AH16)/8)</f>
        <v>19</v>
      </c>
      <c r="AJ16" s="251">
        <f>SUM(F17:AH17)/8*1.5</f>
        <v>0</v>
      </c>
      <c r="AK16" s="253">
        <f>SUMIF($F$6:$AH$6,"C.Nhật",$F16:$AH17)/8*2</f>
        <v>0</v>
      </c>
      <c r="AL16" s="241">
        <f t="shared" ref="AL16" si="3">SUM(AI16:AK17)</f>
        <v>19</v>
      </c>
      <c r="AM16" s="255">
        <v>0</v>
      </c>
      <c r="AN16" s="241"/>
      <c r="AO16" s="241"/>
      <c r="AP16" s="241"/>
      <c r="AQ16" s="243"/>
      <c r="AR16" s="214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252"/>
      <c r="AJ17" s="252"/>
      <c r="AK17" s="254"/>
      <c r="AL17" s="242"/>
      <c r="AM17" s="256"/>
      <c r="AN17" s="242"/>
      <c r="AO17" s="242"/>
      <c r="AP17" s="242"/>
      <c r="AQ17" s="244"/>
      <c r="AR17" s="214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56" customFormat="1" ht="18" customHeight="1">
      <c r="A18" s="245">
        <v>3</v>
      </c>
      <c r="B18" s="245" t="s">
        <v>78</v>
      </c>
      <c r="C18" s="247" t="str">
        <f>VLOOKUP(B18,DS,2,0)</f>
        <v>Cao Minh Chí</v>
      </c>
      <c r="D18" s="249" t="str">
        <f>VLOOKUP(B18,DS,3,0)</f>
        <v>Công Đoạn 1</v>
      </c>
      <c r="E18" s="57" t="s">
        <v>30</v>
      </c>
      <c r="F18" s="132">
        <v>8</v>
      </c>
      <c r="G18" s="132">
        <v>8</v>
      </c>
      <c r="H18" s="132">
        <v>8</v>
      </c>
      <c r="I18" s="132">
        <v>8</v>
      </c>
      <c r="J18" s="132">
        <v>8</v>
      </c>
      <c r="K18" s="132">
        <v>8</v>
      </c>
      <c r="L18" s="132"/>
      <c r="M18" s="132"/>
      <c r="N18" s="132"/>
      <c r="O18" s="132"/>
      <c r="P18" s="132"/>
      <c r="Q18" s="132"/>
      <c r="R18" s="132"/>
      <c r="S18" s="132"/>
      <c r="T18" s="132">
        <v>8</v>
      </c>
      <c r="U18" s="132">
        <v>8</v>
      </c>
      <c r="V18" s="132">
        <v>8</v>
      </c>
      <c r="W18" s="132">
        <v>8</v>
      </c>
      <c r="X18" s="132">
        <v>8</v>
      </c>
      <c r="Y18" s="132">
        <v>8</v>
      </c>
      <c r="Z18" s="132"/>
      <c r="AA18" s="132">
        <v>8</v>
      </c>
      <c r="AB18" s="132">
        <v>8</v>
      </c>
      <c r="AC18" s="132">
        <v>8</v>
      </c>
      <c r="AD18" s="132">
        <v>8</v>
      </c>
      <c r="AE18" s="132">
        <v>8</v>
      </c>
      <c r="AF18" s="132">
        <v>8</v>
      </c>
      <c r="AG18" s="132"/>
      <c r="AH18" s="132">
        <v>8</v>
      </c>
      <c r="AI18" s="251">
        <f>((SUM(F18:AH18))/8)-(SUMIF($F$6:$AH$6,"C.Nhật",F18:AH18)/8)</f>
        <v>19</v>
      </c>
      <c r="AJ18" s="251">
        <f>SUM(F19:AH19)/8*1.5</f>
        <v>0</v>
      </c>
      <c r="AK18" s="253">
        <f>SUMIF($F$6:$AH$6,"C.Nhật",$F18:$AH19)/8*2</f>
        <v>0</v>
      </c>
      <c r="AL18" s="241">
        <f t="shared" ref="AL18" si="4">SUM(AI18:AK19)</f>
        <v>19</v>
      </c>
      <c r="AM18" s="255">
        <v>0</v>
      </c>
      <c r="AN18" s="241"/>
      <c r="AO18" s="241"/>
      <c r="AP18" s="241"/>
      <c r="AQ18" s="243"/>
      <c r="AR18" s="214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56" customFormat="1" ht="18" customHeight="1">
      <c r="A19" s="246"/>
      <c r="B19" s="246"/>
      <c r="C19" s="248"/>
      <c r="D19" s="250"/>
      <c r="E19" s="58" t="s">
        <v>29</v>
      </c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252"/>
      <c r="AJ19" s="252"/>
      <c r="AK19" s="254"/>
      <c r="AL19" s="242"/>
      <c r="AM19" s="256"/>
      <c r="AN19" s="242"/>
      <c r="AO19" s="242"/>
      <c r="AP19" s="242"/>
      <c r="AQ19" s="244"/>
      <c r="AR19" s="214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56" customFormat="1" ht="18" customHeight="1">
      <c r="A20" s="245">
        <v>4</v>
      </c>
      <c r="B20" s="245" t="s">
        <v>84</v>
      </c>
      <c r="C20" s="247" t="str">
        <f>VLOOKUP(B20,DS,2,0)</f>
        <v>Lê Văn Hữu</v>
      </c>
      <c r="D20" s="249" t="str">
        <f>VLOOKUP(B20,DS,3,0)</f>
        <v>Công Đoạn 2</v>
      </c>
      <c r="E20" s="57" t="s">
        <v>30</v>
      </c>
      <c r="F20" s="132">
        <v>8</v>
      </c>
      <c r="G20" s="132">
        <v>8</v>
      </c>
      <c r="H20" s="132">
        <v>8</v>
      </c>
      <c r="I20" s="132">
        <v>8</v>
      </c>
      <c r="J20" s="132">
        <v>8</v>
      </c>
      <c r="K20" s="132">
        <v>8</v>
      </c>
      <c r="L20" s="132"/>
      <c r="M20" s="132"/>
      <c r="N20" s="132"/>
      <c r="O20" s="132"/>
      <c r="P20" s="132"/>
      <c r="Q20" s="132"/>
      <c r="R20" s="132"/>
      <c r="S20" s="132"/>
      <c r="T20" s="132">
        <v>8</v>
      </c>
      <c r="U20" s="132">
        <v>8</v>
      </c>
      <c r="V20" s="132">
        <v>8</v>
      </c>
      <c r="W20" s="132">
        <v>8</v>
      </c>
      <c r="X20" s="132">
        <v>8</v>
      </c>
      <c r="Y20" s="132">
        <v>8</v>
      </c>
      <c r="Z20" s="132"/>
      <c r="AA20" s="132">
        <v>8</v>
      </c>
      <c r="AB20" s="132">
        <v>8</v>
      </c>
      <c r="AC20" s="132">
        <v>8</v>
      </c>
      <c r="AD20" s="132">
        <v>8</v>
      </c>
      <c r="AE20" s="132">
        <v>8</v>
      </c>
      <c r="AF20" s="132">
        <v>8</v>
      </c>
      <c r="AG20" s="132"/>
      <c r="AH20" s="132">
        <v>8</v>
      </c>
      <c r="AI20" s="251">
        <f>((SUM(F20:AH20))/8)-(SUMIF($F$6:$AH$6,"C.Nhật",F20:AH20)/8)</f>
        <v>19</v>
      </c>
      <c r="AJ20" s="251">
        <f>SUM(F21:AH21)/8*1.5</f>
        <v>0</v>
      </c>
      <c r="AK20" s="253">
        <f>SUMIF($F$6:$AH$6,"C.Nhật",$F20:$AH21)/8*2</f>
        <v>0</v>
      </c>
      <c r="AL20" s="241">
        <f>SUM(AI20:AK21)</f>
        <v>19</v>
      </c>
      <c r="AM20" s="255">
        <v>0</v>
      </c>
      <c r="AN20" s="241"/>
      <c r="AO20" s="241"/>
      <c r="AP20" s="241"/>
      <c r="AQ20" s="243"/>
      <c r="AR20" s="214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56" customFormat="1" ht="18" customHeight="1">
      <c r="A21" s="246"/>
      <c r="B21" s="246"/>
      <c r="C21" s="248"/>
      <c r="D21" s="250"/>
      <c r="E21" s="58" t="s">
        <v>29</v>
      </c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252"/>
      <c r="AJ21" s="252"/>
      <c r="AK21" s="254"/>
      <c r="AL21" s="242"/>
      <c r="AM21" s="256"/>
      <c r="AN21" s="242"/>
      <c r="AO21" s="242"/>
      <c r="AP21" s="242"/>
      <c r="AQ21" s="244"/>
      <c r="AR21" s="214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56" customFormat="1" ht="18" customHeight="1">
      <c r="A22" s="245">
        <v>5</v>
      </c>
      <c r="B22" s="245" t="s">
        <v>85</v>
      </c>
      <c r="C22" s="247" t="str">
        <f>VLOOKUP(B22,DS,2,0)</f>
        <v>Nguyễn Thị Sự</v>
      </c>
      <c r="D22" s="249" t="str">
        <f>VLOOKUP(B22,DS,3,0)</f>
        <v>Công Đoạn 2</v>
      </c>
      <c r="E22" s="57" t="s">
        <v>30</v>
      </c>
      <c r="F22" s="132">
        <v>8</v>
      </c>
      <c r="G22" s="132">
        <v>8</v>
      </c>
      <c r="H22" s="132">
        <v>8</v>
      </c>
      <c r="I22" s="132">
        <v>8</v>
      </c>
      <c r="J22" s="132">
        <v>8</v>
      </c>
      <c r="K22" s="132">
        <v>8</v>
      </c>
      <c r="L22" s="132"/>
      <c r="M22" s="132"/>
      <c r="N22" s="132"/>
      <c r="O22" s="132"/>
      <c r="P22" s="132"/>
      <c r="Q22" s="132"/>
      <c r="R22" s="132"/>
      <c r="S22" s="132"/>
      <c r="T22" s="132">
        <v>8</v>
      </c>
      <c r="U22" s="132">
        <v>8</v>
      </c>
      <c r="V22" s="132">
        <v>8</v>
      </c>
      <c r="W22" s="132">
        <v>8</v>
      </c>
      <c r="X22" s="132">
        <v>8</v>
      </c>
      <c r="Y22" s="132">
        <v>8</v>
      </c>
      <c r="Z22" s="132"/>
      <c r="AA22" s="132">
        <v>8</v>
      </c>
      <c r="AB22" s="132">
        <v>8</v>
      </c>
      <c r="AC22" s="132">
        <v>8</v>
      </c>
      <c r="AD22" s="132">
        <v>8</v>
      </c>
      <c r="AE22" s="132">
        <v>8</v>
      </c>
      <c r="AF22" s="132">
        <v>8</v>
      </c>
      <c r="AG22" s="132"/>
      <c r="AH22" s="132">
        <v>8</v>
      </c>
      <c r="AI22" s="251">
        <f>((SUM(F22:AH22))/8)-(SUMIF($F$6:$AH$6,"C.Nhật",F22:AH22)/8)</f>
        <v>19</v>
      </c>
      <c r="AJ22" s="251">
        <f>SUM(F23:AH23)/8*1.5</f>
        <v>0</v>
      </c>
      <c r="AK22" s="253">
        <f>SUMIF($F$6:$AH$6,"C.Nhật",$F22:$AH23)/8*2</f>
        <v>0</v>
      </c>
      <c r="AL22" s="241">
        <f t="shared" ref="AL22" si="5">SUM(AI22:AK23)</f>
        <v>19</v>
      </c>
      <c r="AM22" s="255">
        <v>0</v>
      </c>
      <c r="AN22" s="241"/>
      <c r="AO22" s="241"/>
      <c r="AP22" s="241"/>
      <c r="AQ22" s="243"/>
      <c r="AR22" s="207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56" customFormat="1" ht="18" customHeight="1">
      <c r="A23" s="246"/>
      <c r="B23" s="246"/>
      <c r="C23" s="248"/>
      <c r="D23" s="250"/>
      <c r="E23" s="58" t="s">
        <v>29</v>
      </c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252"/>
      <c r="AJ23" s="252"/>
      <c r="AK23" s="254"/>
      <c r="AL23" s="242"/>
      <c r="AM23" s="256"/>
      <c r="AN23" s="242"/>
      <c r="AO23" s="242"/>
      <c r="AP23" s="242"/>
      <c r="AQ23" s="244"/>
      <c r="AR23" s="207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59" customFormat="1" ht="12.75">
      <c r="A24" s="14"/>
      <c r="B24" s="60"/>
      <c r="C24" s="4"/>
      <c r="D24" s="102"/>
      <c r="E24" s="4"/>
      <c r="F24" s="64"/>
      <c r="G24" s="64"/>
      <c r="H24" s="61"/>
      <c r="I24" s="61"/>
      <c r="J24" s="109"/>
      <c r="K24" s="64"/>
      <c r="L24" s="61"/>
      <c r="M24" s="64"/>
      <c r="N24" s="64"/>
      <c r="O24" s="64"/>
      <c r="P24" s="64"/>
      <c r="Q24" s="61"/>
      <c r="R24" s="64"/>
      <c r="S24" s="64"/>
      <c r="T24" s="109"/>
      <c r="U24" s="64"/>
      <c r="V24" s="64"/>
      <c r="W24" s="64"/>
      <c r="X24" s="60"/>
      <c r="Y24" s="64"/>
      <c r="Z24" s="64"/>
      <c r="AA24" s="64"/>
      <c r="AB24" s="64"/>
      <c r="AC24" s="64"/>
      <c r="AD24" s="61"/>
      <c r="AE24" s="64"/>
      <c r="AF24" s="64"/>
      <c r="AG24" s="64"/>
      <c r="AH24" s="64"/>
      <c r="AI24" s="4"/>
      <c r="AJ24" s="4"/>
      <c r="AK24" s="87"/>
      <c r="AL24" s="63"/>
      <c r="AM24" s="63"/>
      <c r="AN24" s="63"/>
      <c r="AO24" s="63"/>
      <c r="AP24" s="63"/>
      <c r="AQ24" s="4"/>
      <c r="AR24" s="93"/>
    </row>
    <row r="25" spans="1:88" s="59" customFormat="1" ht="12.75">
      <c r="A25" s="14"/>
      <c r="B25" s="60"/>
      <c r="C25" s="14" t="s">
        <v>14</v>
      </c>
      <c r="D25" s="102"/>
      <c r="E25" s="4"/>
      <c r="F25" s="64"/>
      <c r="G25" s="64"/>
      <c r="H25" s="61"/>
      <c r="I25" s="61"/>
      <c r="J25" s="109"/>
      <c r="K25" s="64"/>
      <c r="L25" s="61"/>
      <c r="M25" s="64"/>
      <c r="N25" s="64"/>
      <c r="O25" s="64"/>
      <c r="P25" s="64"/>
      <c r="Q25" s="61"/>
      <c r="R25" s="64"/>
      <c r="S25" s="64"/>
      <c r="T25" s="109"/>
      <c r="U25" s="64"/>
      <c r="V25" s="64"/>
      <c r="W25" s="64"/>
      <c r="X25" s="60"/>
      <c r="Y25" s="64"/>
      <c r="Z25" s="64"/>
      <c r="AA25" s="64"/>
      <c r="AB25" s="64"/>
      <c r="AC25" s="64"/>
      <c r="AD25" s="61"/>
      <c r="AE25" s="64"/>
      <c r="AF25" s="64"/>
      <c r="AG25" s="64"/>
      <c r="AH25" s="64"/>
      <c r="AI25" s="4"/>
      <c r="AJ25" s="4"/>
      <c r="AK25" s="87"/>
      <c r="AL25" s="63"/>
      <c r="AM25" s="63"/>
      <c r="AN25" s="63"/>
      <c r="AO25" s="63"/>
      <c r="AP25" s="63"/>
      <c r="AQ25" s="4"/>
      <c r="AR25" s="93"/>
    </row>
    <row r="26" spans="1:88" s="59" customFormat="1" ht="12.75">
      <c r="A26" s="12"/>
      <c r="B26" s="12"/>
      <c r="C26" s="4"/>
      <c r="D26" s="102"/>
      <c r="E26" s="4"/>
      <c r="F26" s="64"/>
      <c r="G26" s="64"/>
      <c r="H26" s="110"/>
      <c r="I26" s="110"/>
      <c r="J26" s="110"/>
      <c r="K26" s="64"/>
      <c r="L26" s="110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110"/>
      <c r="AE26" s="64"/>
      <c r="AF26" s="64"/>
      <c r="AG26" s="64"/>
      <c r="AH26" s="64"/>
      <c r="AI26" s="4"/>
      <c r="AJ26" s="4"/>
      <c r="AK26" s="87"/>
      <c r="AL26" s="65"/>
      <c r="AM26" s="65"/>
      <c r="AN26" s="65"/>
      <c r="AO26" s="65"/>
      <c r="AP26" s="65"/>
      <c r="AQ26" s="4"/>
      <c r="AR26" s="93"/>
    </row>
    <row r="27" spans="1:88" s="62" customFormat="1" ht="15" customHeight="1">
      <c r="A27" s="12"/>
      <c r="B27" s="12"/>
      <c r="C27" s="4"/>
      <c r="D27" s="102"/>
      <c r="E27" s="4"/>
      <c r="F27" s="64"/>
      <c r="G27" s="64"/>
      <c r="H27" s="110"/>
      <c r="I27" s="110"/>
      <c r="J27" s="110"/>
      <c r="K27" s="64"/>
      <c r="L27" s="110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110"/>
      <c r="AE27" s="64"/>
      <c r="AF27" s="64"/>
      <c r="AG27" s="64"/>
      <c r="AH27" s="64"/>
      <c r="AI27" s="4"/>
      <c r="AJ27" s="4"/>
      <c r="AK27" s="87"/>
      <c r="AL27" s="65"/>
      <c r="AM27" s="65"/>
      <c r="AN27" s="65"/>
      <c r="AO27" s="65"/>
      <c r="AP27" s="65"/>
      <c r="AQ27" s="4"/>
      <c r="AR27" s="4"/>
    </row>
    <row r="28" spans="1:88" s="62" customFormat="1" ht="11.25">
      <c r="A28" s="12"/>
      <c r="B28" s="12"/>
      <c r="C28" s="4"/>
      <c r="D28" s="102"/>
      <c r="E28" s="4"/>
      <c r="F28" s="64"/>
      <c r="G28" s="64"/>
      <c r="H28" s="110"/>
      <c r="I28" s="110"/>
      <c r="J28" s="110"/>
      <c r="K28" s="64"/>
      <c r="L28" s="110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110"/>
      <c r="AE28" s="64"/>
      <c r="AF28" s="64"/>
      <c r="AG28" s="64"/>
      <c r="AH28" s="64"/>
      <c r="AI28" s="4"/>
      <c r="AJ28" s="4"/>
      <c r="AK28" s="87"/>
      <c r="AL28" s="65"/>
      <c r="AM28" s="65"/>
      <c r="AN28" s="65"/>
      <c r="AO28" s="65"/>
      <c r="AP28" s="65"/>
      <c r="AQ28" s="4"/>
      <c r="AR28" s="4"/>
    </row>
    <row r="29" spans="1:88" s="62" customFormat="1" ht="11.25">
      <c r="A29" s="12"/>
      <c r="B29" s="12"/>
      <c r="C29" s="4"/>
      <c r="D29" s="102"/>
      <c r="E29" s="4"/>
      <c r="F29" s="64"/>
      <c r="G29" s="64"/>
      <c r="H29" s="110"/>
      <c r="I29" s="110"/>
      <c r="J29" s="110"/>
      <c r="K29" s="64"/>
      <c r="L29" s="110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110"/>
      <c r="AE29" s="64"/>
      <c r="AF29" s="64"/>
      <c r="AG29" s="64"/>
      <c r="AH29" s="64"/>
      <c r="AI29" s="4"/>
      <c r="AJ29" s="4"/>
      <c r="AK29" s="87"/>
      <c r="AL29" s="65"/>
      <c r="AM29" s="65"/>
      <c r="AN29" s="65"/>
      <c r="AO29" s="65"/>
      <c r="AP29" s="65"/>
      <c r="AQ29" s="4"/>
      <c r="AR29" s="4"/>
    </row>
    <row r="30" spans="1:88" s="62" customFormat="1" ht="11.25">
      <c r="A30" s="10"/>
      <c r="B30" s="10"/>
      <c r="C30" s="14"/>
      <c r="D30" s="103"/>
      <c r="E30" s="66"/>
      <c r="F30" s="109"/>
      <c r="G30" s="111"/>
      <c r="H30" s="61"/>
      <c r="I30" s="61"/>
      <c r="J30" s="61"/>
      <c r="K30" s="111"/>
      <c r="L30" s="61"/>
      <c r="M30" s="111"/>
      <c r="N30" s="111"/>
      <c r="O30" s="111"/>
      <c r="P30" s="111"/>
      <c r="Q30" s="61"/>
      <c r="R30" s="109"/>
      <c r="S30" s="111"/>
      <c r="T30" s="111"/>
      <c r="U30" s="61"/>
      <c r="V30" s="111"/>
      <c r="W30" s="111"/>
      <c r="X30" s="61"/>
      <c r="Y30" s="111"/>
      <c r="Z30" s="111"/>
      <c r="AA30" s="111"/>
      <c r="AB30" s="111"/>
      <c r="AC30" s="111"/>
      <c r="AD30" s="61"/>
      <c r="AE30" s="111"/>
      <c r="AF30" s="111"/>
      <c r="AG30" s="111"/>
      <c r="AH30" s="111"/>
      <c r="AI30" s="66"/>
      <c r="AK30" s="88"/>
      <c r="AL30" s="10"/>
      <c r="AM30" s="10"/>
      <c r="AN30" s="10"/>
      <c r="AO30" s="10"/>
      <c r="AP30" s="10"/>
      <c r="AQ30" s="14"/>
      <c r="AR30" s="4"/>
    </row>
    <row r="31" spans="1:88" s="62" customFormat="1" ht="12.75">
      <c r="A31" s="2"/>
      <c r="B31" s="2" t="s">
        <v>0</v>
      </c>
      <c r="C31" s="2"/>
      <c r="D31" s="205"/>
      <c r="E31" s="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3"/>
      <c r="AI31" s="2"/>
      <c r="AJ31" s="2"/>
      <c r="AK31" s="89"/>
      <c r="AL31" s="2"/>
      <c r="AM31" s="2"/>
      <c r="AN31" s="2"/>
      <c r="AO31" s="2"/>
      <c r="AP31" s="2"/>
      <c r="AQ31" s="2"/>
      <c r="AR31" s="4"/>
    </row>
    <row r="32" spans="1:88" s="62" customFormat="1" ht="12.75">
      <c r="A32" s="2"/>
      <c r="B32" s="2"/>
      <c r="C32" s="2" t="s">
        <v>40</v>
      </c>
      <c r="D32" s="205"/>
      <c r="E32" s="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2"/>
      <c r="AJ32" s="2"/>
      <c r="AK32" s="89"/>
      <c r="AL32" s="2"/>
      <c r="AM32" s="2"/>
      <c r="AN32" s="2"/>
      <c r="AO32" s="2"/>
      <c r="AP32" s="2"/>
      <c r="AQ32" s="2"/>
      <c r="AR32" s="14"/>
    </row>
    <row r="33" spans="1:91" ht="15" customHeight="1">
      <c r="C33" s="2" t="s">
        <v>41</v>
      </c>
    </row>
    <row r="34" spans="1:91" ht="15" customHeight="1">
      <c r="C34" s="2" t="s">
        <v>42</v>
      </c>
    </row>
    <row r="35" spans="1:91" s="205" customFormat="1" ht="15" customHeight="1">
      <c r="A35" s="2"/>
      <c r="B35" s="2"/>
      <c r="C35" s="2" t="s">
        <v>43</v>
      </c>
      <c r="E35" s="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3"/>
      <c r="AI35" s="2"/>
      <c r="AJ35" s="2"/>
      <c r="AK35" s="89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5" customFormat="1" ht="15" customHeight="1">
      <c r="A36" s="2"/>
      <c r="B36" s="2"/>
      <c r="C36" s="2" t="s">
        <v>44</v>
      </c>
      <c r="E36" s="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3"/>
      <c r="AI36" s="2"/>
      <c r="AJ36" s="2"/>
      <c r="AK36" s="89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5" customFormat="1" ht="15" customHeight="1">
      <c r="A37" s="2"/>
      <c r="B37" s="2"/>
      <c r="C37" s="2" t="s">
        <v>45</v>
      </c>
      <c r="E37" s="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3"/>
      <c r="AI37" s="2"/>
      <c r="AJ37" s="2"/>
      <c r="AK37" s="89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5" customFormat="1" ht="15" customHeight="1">
      <c r="A38" s="2"/>
      <c r="B38" s="2"/>
      <c r="C38" s="2" t="s">
        <v>46</v>
      </c>
      <c r="E38" s="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3"/>
      <c r="AI38" s="2"/>
      <c r="AJ38" s="2"/>
      <c r="AK38" s="89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5" customFormat="1" ht="15" customHeight="1">
      <c r="A39" s="2"/>
      <c r="B39" s="2"/>
      <c r="C39" s="2" t="s">
        <v>47</v>
      </c>
      <c r="E39" s="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3"/>
      <c r="AI39" s="2"/>
      <c r="AJ39" s="2"/>
      <c r="AK39" s="89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5" customFormat="1" ht="15" customHeight="1">
      <c r="A40" s="2"/>
      <c r="B40" s="2"/>
      <c r="C40" s="2" t="s">
        <v>48</v>
      </c>
      <c r="E40" s="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3"/>
      <c r="AI40" s="2"/>
      <c r="AJ40" s="2"/>
      <c r="AK40" s="89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Q14:AQ15"/>
    <mergeCell ref="AQ18:AQ19"/>
    <mergeCell ref="A20:A21"/>
    <mergeCell ref="A22:A23"/>
    <mergeCell ref="B22:B23"/>
    <mergeCell ref="C22:C23"/>
    <mergeCell ref="D22:D23"/>
    <mergeCell ref="AI22:AI23"/>
    <mergeCell ref="AJ22:AJ23"/>
    <mergeCell ref="AQ22:AQ23"/>
    <mergeCell ref="AK22:AK23"/>
    <mergeCell ref="AL22:AL23"/>
    <mergeCell ref="AQ20:AQ21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K20:AK21"/>
    <mergeCell ref="AL20:AL21"/>
    <mergeCell ref="AM20:AM21"/>
    <mergeCell ref="AM22:AM23"/>
    <mergeCell ref="AN22:AN23"/>
    <mergeCell ref="AO22:AO23"/>
    <mergeCell ref="AP22:AP23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J20:AJ21"/>
    <mergeCell ref="AP20:AP21"/>
    <mergeCell ref="AI16:AI17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J11:AJ12"/>
    <mergeCell ref="AK11:AK12"/>
    <mergeCell ref="A16:A17"/>
    <mergeCell ref="B16:B17"/>
    <mergeCell ref="C16:C17"/>
    <mergeCell ref="D16:D17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L11:AL12"/>
    <mergeCell ref="AM11:AM12"/>
    <mergeCell ref="AN11:AN12"/>
    <mergeCell ref="AO11:AO12"/>
    <mergeCell ref="AP11:AP12"/>
    <mergeCell ref="AN20:AN21"/>
    <mergeCell ref="AO20:AO21"/>
    <mergeCell ref="B20:B21"/>
    <mergeCell ref="C20:C21"/>
    <mergeCell ref="D20:D21"/>
    <mergeCell ref="AI20:AI21"/>
    <mergeCell ref="AQ11:AQ12"/>
    <mergeCell ref="A18:A19"/>
    <mergeCell ref="B18:B19"/>
    <mergeCell ref="C18:C19"/>
    <mergeCell ref="D18:D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11:A12"/>
    <mergeCell ref="B11:B12"/>
    <mergeCell ref="C11:C12"/>
    <mergeCell ref="D11:D12"/>
    <mergeCell ref="AI11:AI12"/>
  </mergeCells>
  <conditionalFormatting sqref="F5:AH6 F9:AH12">
    <cfRule type="expression" dxfId="78" priority="20" stopIfTrue="1">
      <formula>IF(WEEKDAY(F$5)=1,TRUE,FALSE)</formula>
    </cfRule>
  </conditionalFormatting>
  <conditionalFormatting sqref="F14:AH19">
    <cfRule type="expression" dxfId="77" priority="3" stopIfTrue="1">
      <formula>IF(WEEKDAY(F$5)=1,TRUE,FALSE)</formula>
    </cfRule>
  </conditionalFormatting>
  <conditionalFormatting sqref="F20:AH23">
    <cfRule type="expression" dxfId="76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2"/>
  <sheetViews>
    <sheetView zoomScaleNormal="70" workbookViewId="0">
      <pane xSplit="3" ySplit="8" topLeftCell="G16" activePane="bottomRight" state="frozen"/>
      <selection activeCell="X10" sqref="X10"/>
      <selection pane="topRight" activeCell="X10" sqref="X10"/>
      <selection pane="bottomLeft" activeCell="X10" sqref="X10"/>
      <selection pane="bottomRight" activeCell="C25" sqref="C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209"/>
      <c r="C1" s="209"/>
      <c r="D1" s="269" t="str">
        <f>"BẢNG THANH TOÁN LƯƠNG THÁNG"&amp;" "&amp;TEXT($E$4,"mm")&amp;" / "&amp;TEXT($E$4,"yyyy")</f>
        <v>BẢNG THANH TOÁN LƯƠNG THÁNG 02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209"/>
      <c r="C2" s="209"/>
      <c r="D2" s="209"/>
      <c r="E2" s="70"/>
      <c r="F2" s="209"/>
      <c r="G2" s="209"/>
      <c r="H2" s="209"/>
      <c r="I2" s="209"/>
      <c r="J2" s="71"/>
      <c r="K2" s="209"/>
      <c r="L2" s="209"/>
      <c r="M2" s="209"/>
      <c r="N2" s="209"/>
      <c r="O2" s="209"/>
      <c r="P2" s="209"/>
      <c r="Q2" s="209"/>
      <c r="R2" s="209"/>
      <c r="S2" s="209"/>
      <c r="T2" s="48"/>
      <c r="U2" s="69">
        <f>MAX(F10:F21)</f>
        <v>19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209"/>
      <c r="C3" s="209"/>
      <c r="D3" s="209"/>
      <c r="E3" s="70"/>
      <c r="F3" s="209"/>
      <c r="G3" s="209"/>
      <c r="H3" s="209"/>
      <c r="I3" s="209"/>
      <c r="J3" s="71"/>
      <c r="K3" s="209"/>
      <c r="L3" s="209"/>
      <c r="M3" s="209"/>
      <c r="N3" s="209"/>
      <c r="O3" s="209"/>
      <c r="P3" s="209"/>
      <c r="Q3" s="209"/>
      <c r="R3" s="209"/>
      <c r="S3" s="209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-2'!$E$4</f>
        <v>42401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208" t="s">
        <v>34</v>
      </c>
      <c r="G7" s="206" t="s">
        <v>18</v>
      </c>
      <c r="H7" s="208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-2'!$B$8:$AQ$23,34,0)</f>
        <v>19</v>
      </c>
      <c r="G10" s="134">
        <f t="shared" ref="G10" si="3">ROUND(E10/$U$2*F10,0)</f>
        <v>5000000</v>
      </c>
      <c r="H10" s="81">
        <f>(VLOOKUP(B10,'CC -2'!$B$8:$AQ$23,35,0)+VLOOKUP(B10,'CC -2'!$B$8:$AQ$23,36,0))</f>
        <v>0</v>
      </c>
      <c r="I10" s="134">
        <f t="shared" ref="I10" si="4">ROUND(E10/$U$2*H10,0)</f>
        <v>0</v>
      </c>
      <c r="J10" s="82">
        <f t="shared" ref="J10" si="5">F10+H10</f>
        <v>19</v>
      </c>
      <c r="K10" s="33">
        <f>G10+I10</f>
        <v>5000000</v>
      </c>
      <c r="L10" s="79">
        <f t="shared" ref="L10" si="6">+F10*15000</f>
        <v>285000</v>
      </c>
      <c r="M10" s="34">
        <f t="shared" ref="M10" si="7">K10+L10</f>
        <v>5285000</v>
      </c>
      <c r="N10" s="34">
        <f t="shared" ref="N10:P11" si="8">IF(VLOOKUP($B10,DS,11,0)="x",$E10*N$4,0)</f>
        <v>0</v>
      </c>
      <c r="O10" s="34">
        <f t="shared" si="8"/>
        <v>0</v>
      </c>
      <c r="P10" s="34">
        <f t="shared" si="8"/>
        <v>0</v>
      </c>
      <c r="Q10" s="33">
        <f t="shared" ref="Q10" si="9">M10-SUM(N10:P10)</f>
        <v>5285000</v>
      </c>
      <c r="R10" s="33">
        <f>VLOOKUP(B10,DS,23,0)</f>
        <v>0</v>
      </c>
      <c r="S10" s="39">
        <f t="shared" ref="S10" si="10">Q10-R10</f>
        <v>5285000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32">
        <v>2</v>
      </c>
      <c r="B11" s="130" t="s">
        <v>75</v>
      </c>
      <c r="C11" s="78" t="str">
        <f t="shared" ref="C11" si="11">VLOOKUP(B11,DS,2,0)</f>
        <v>Đinh Hoàng Lợi</v>
      </c>
      <c r="D11" s="105" t="str">
        <f t="shared" ref="D11" si="12">VLOOKUP(B11,DS,3,0)</f>
        <v>Tài xế</v>
      </c>
      <c r="E11" s="79">
        <f t="shared" ref="E11" si="13">VLOOKUP(B11,DS,4,0)</f>
        <v>5000000</v>
      </c>
      <c r="F11" s="81">
        <f>VLOOKUP(B11,'CC -2'!$B$8:$AQ$23,34,0)</f>
        <v>19</v>
      </c>
      <c r="G11" s="134">
        <f t="shared" ref="G11" si="14">ROUND(E11/$U$2*F11,0)</f>
        <v>5000000</v>
      </c>
      <c r="H11" s="81">
        <f>(VLOOKUP(B11,'CC -2'!$B$8:$AQ$23,35,0)+VLOOKUP(B11,'CC -2'!$B$8:$AQ$23,36,0))</f>
        <v>0</v>
      </c>
      <c r="I11" s="134">
        <f t="shared" ref="I11" si="15">ROUND(E11/$U$2*H11,0)</f>
        <v>0</v>
      </c>
      <c r="J11" s="82">
        <f t="shared" ref="J11" si="16">F11+H11</f>
        <v>19</v>
      </c>
      <c r="K11" s="33">
        <f t="shared" ref="K11" si="17">G11+I11</f>
        <v>5000000</v>
      </c>
      <c r="L11" s="79">
        <f t="shared" ref="L11" si="18">+F11*15000</f>
        <v>285000</v>
      </c>
      <c r="M11" s="34">
        <f t="shared" ref="M11" si="19">K11+L11</f>
        <v>5285000</v>
      </c>
      <c r="N11" s="34">
        <f t="shared" si="8"/>
        <v>0</v>
      </c>
      <c r="O11" s="34">
        <f t="shared" si="8"/>
        <v>0</v>
      </c>
      <c r="P11" s="34">
        <f t="shared" si="8"/>
        <v>0</v>
      </c>
      <c r="Q11" s="33">
        <f t="shared" ref="Q11" si="20">M11-SUM(N11:P11)</f>
        <v>5285000</v>
      </c>
      <c r="R11" s="33">
        <f>VLOOKUP(B11,DS,23,0)</f>
        <v>0</v>
      </c>
      <c r="S11" s="39">
        <f t="shared" ref="S11" si="21">Q11-R11</f>
        <v>5285000</v>
      </c>
      <c r="T11" s="33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30" customFormat="1" ht="24" customHeight="1">
      <c r="A12" s="189"/>
      <c r="B12" s="190"/>
      <c r="C12" s="191"/>
      <c r="D12" s="192"/>
      <c r="E12" s="193"/>
      <c r="F12" s="194"/>
      <c r="G12" s="195"/>
      <c r="H12" s="194"/>
      <c r="I12" s="195"/>
      <c r="J12" s="196"/>
      <c r="K12" s="197"/>
      <c r="L12" s="193"/>
      <c r="M12" s="198"/>
      <c r="N12" s="198"/>
      <c r="O12" s="198"/>
      <c r="P12" s="198"/>
      <c r="Q12" s="197"/>
      <c r="R12" s="197"/>
      <c r="S12" s="199"/>
      <c r="T12" s="197"/>
      <c r="U12" s="93"/>
      <c r="V12" s="31"/>
      <c r="W12" s="23"/>
      <c r="X12" s="5"/>
      <c r="Y12" s="5"/>
      <c r="Z12" s="5"/>
      <c r="AA12" s="4"/>
      <c r="AB12" s="4"/>
      <c r="AC12" s="4"/>
      <c r="AD12" s="4"/>
      <c r="AE12" s="4"/>
    </row>
    <row r="13" spans="1:31" s="26" customFormat="1" ht="21" customHeight="1">
      <c r="A13" s="225" t="s">
        <v>23</v>
      </c>
      <c r="B13" s="226"/>
      <c r="C13" s="226"/>
      <c r="D13" s="227"/>
      <c r="E13" s="129">
        <f>SUM(E9:E11)</f>
        <v>10000000</v>
      </c>
      <c r="F13" s="129"/>
      <c r="G13" s="129">
        <f>SUM(G9:G11)</f>
        <v>10000000</v>
      </c>
      <c r="H13" s="129"/>
      <c r="I13" s="129">
        <f>SUM(I9:I11)</f>
        <v>0</v>
      </c>
      <c r="J13" s="129"/>
      <c r="K13" s="129">
        <f t="shared" ref="K13:S13" si="22">SUM(K9:K11)</f>
        <v>10000000</v>
      </c>
      <c r="L13" s="129">
        <f t="shared" si="22"/>
        <v>570000</v>
      </c>
      <c r="M13" s="129">
        <f t="shared" si="22"/>
        <v>10570000</v>
      </c>
      <c r="N13" s="129">
        <f t="shared" si="22"/>
        <v>0</v>
      </c>
      <c r="O13" s="129">
        <f t="shared" si="22"/>
        <v>0</v>
      </c>
      <c r="P13" s="129">
        <f t="shared" si="22"/>
        <v>0</v>
      </c>
      <c r="Q13" s="129">
        <f t="shared" si="22"/>
        <v>10570000</v>
      </c>
      <c r="R13" s="129">
        <f t="shared" si="22"/>
        <v>0</v>
      </c>
      <c r="S13" s="129">
        <f t="shared" si="22"/>
        <v>10570000</v>
      </c>
      <c r="T13" s="21"/>
      <c r="U13" s="93"/>
      <c r="V13" s="27"/>
      <c r="W13" s="27"/>
      <c r="X13" s="27"/>
      <c r="Y13" s="27"/>
      <c r="Z13" s="27"/>
    </row>
    <row r="14" spans="1:31" s="74" customFormat="1" ht="24" customHeight="1">
      <c r="A14" s="176" t="s">
        <v>69</v>
      </c>
      <c r="B14" s="175" t="s">
        <v>70</v>
      </c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93"/>
      <c r="V14" s="75"/>
      <c r="W14" s="75"/>
      <c r="X14" s="76"/>
      <c r="Y14" s="76"/>
      <c r="Z14" s="76"/>
      <c r="AA14" s="77"/>
      <c r="AB14" s="77"/>
      <c r="AC14" s="77"/>
      <c r="AD14" s="77"/>
      <c r="AE14" s="77"/>
    </row>
    <row r="15" spans="1:31" s="30" customFormat="1" ht="24" customHeight="1">
      <c r="A15" s="32">
        <v>1</v>
      </c>
      <c r="B15" s="130" t="s">
        <v>76</v>
      </c>
      <c r="C15" s="78" t="str">
        <f t="shared" ref="C15" si="23">VLOOKUP(B15,DS,2,0)</f>
        <v>Bùi Trường Giang</v>
      </c>
      <c r="D15" s="105" t="str">
        <f t="shared" ref="D15" si="24">VLOOKUP(B15,DS,3,0)</f>
        <v>Thợ in</v>
      </c>
      <c r="E15" s="79">
        <f t="shared" ref="E15" si="25">VLOOKUP(B15,DS,4,0)</f>
        <v>5000000</v>
      </c>
      <c r="F15" s="81">
        <f>VLOOKUP(B15,'CC -2'!$B$8:$AQ$23,34,0)</f>
        <v>19</v>
      </c>
      <c r="G15" s="134">
        <f t="shared" ref="G15" si="26">ROUND(E15/$U$2*F15,0)</f>
        <v>5000000</v>
      </c>
      <c r="H15" s="81">
        <f>(VLOOKUP(B15,'CC -2'!$B$8:$AQ$23,35,0)+VLOOKUP(B15,'CC -2'!$B$8:$AQ$23,36,0))</f>
        <v>0</v>
      </c>
      <c r="I15" s="134">
        <f t="shared" ref="I15" si="27">ROUND(E15/$U$2*H15,0)</f>
        <v>0</v>
      </c>
      <c r="J15" s="135">
        <f t="shared" ref="J15:K15" si="28">F15+H15</f>
        <v>19</v>
      </c>
      <c r="K15" s="33">
        <f t="shared" si="28"/>
        <v>5000000</v>
      </c>
      <c r="L15" s="79">
        <f t="shared" ref="L15" si="29">+F15*15000</f>
        <v>285000</v>
      </c>
      <c r="M15" s="34">
        <f t="shared" ref="M15" si="30">K15+L15</f>
        <v>5285000</v>
      </c>
      <c r="N15" s="34">
        <f t="shared" ref="N15:P19" si="31">IF(VLOOKUP($B15,DS,11,0)="x",$E15*N$4,0)</f>
        <v>0</v>
      </c>
      <c r="O15" s="34">
        <f t="shared" si="31"/>
        <v>0</v>
      </c>
      <c r="P15" s="34">
        <f t="shared" si="31"/>
        <v>0</v>
      </c>
      <c r="Q15" s="33">
        <f>M15-SUM(N15:P15)</f>
        <v>5285000</v>
      </c>
      <c r="R15" s="33">
        <f t="shared" ref="R15" si="32">VLOOKUP(B15,DS,23,0)</f>
        <v>0</v>
      </c>
      <c r="S15" s="39">
        <f>Q15-R15</f>
        <v>5285000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2</v>
      </c>
      <c r="B16" s="130" t="s">
        <v>77</v>
      </c>
      <c r="C16" s="78" t="str">
        <f t="shared" ref="C16:C19" si="33">VLOOKUP(B16,DS,2,0)</f>
        <v>Lý Thanh Hải</v>
      </c>
      <c r="D16" s="105" t="str">
        <f t="shared" ref="D16:D19" si="34">VLOOKUP(B16,DS,3,0)</f>
        <v>Công Đoạn 1</v>
      </c>
      <c r="E16" s="79">
        <f t="shared" ref="E16:E19" si="35">VLOOKUP(B16,DS,4,0)</f>
        <v>5000000</v>
      </c>
      <c r="F16" s="81">
        <f>VLOOKUP(B16,'CC -2'!$B$8:$AQ$23,34,0)</f>
        <v>19</v>
      </c>
      <c r="G16" s="134">
        <f t="shared" ref="G16:G19" si="36">ROUND(E16/$U$2*F16,0)</f>
        <v>5000000</v>
      </c>
      <c r="H16" s="81">
        <f>(VLOOKUP(B16,'CC -2'!$B$8:$AQ$23,35,0)+VLOOKUP(B16,'CC -2'!$B$8:$AQ$23,36,0))</f>
        <v>0</v>
      </c>
      <c r="I16" s="134">
        <f t="shared" ref="I16:I19" si="37">ROUND(E16/$U$2*H16,0)</f>
        <v>0</v>
      </c>
      <c r="J16" s="135">
        <f t="shared" ref="J16:J19" si="38">F16+H16</f>
        <v>19</v>
      </c>
      <c r="K16" s="33">
        <f t="shared" ref="K16:K19" si="39">G16+I16</f>
        <v>5000000</v>
      </c>
      <c r="L16" s="79">
        <f t="shared" ref="L16:L19" si="40">+F16*15000</f>
        <v>285000</v>
      </c>
      <c r="M16" s="34">
        <f t="shared" ref="M16:M19" si="41">K16+L16</f>
        <v>5285000</v>
      </c>
      <c r="N16" s="34">
        <f t="shared" si="31"/>
        <v>0</v>
      </c>
      <c r="O16" s="34">
        <f t="shared" si="31"/>
        <v>0</v>
      </c>
      <c r="P16" s="34">
        <f t="shared" si="31"/>
        <v>0</v>
      </c>
      <c r="Q16" s="33">
        <f t="shared" ref="Q16:Q19" si="42">M16-SUM(N16:P16)</f>
        <v>5285000</v>
      </c>
      <c r="R16" s="33">
        <f t="shared" ref="R16:R19" si="43">VLOOKUP(B16,DS,23,0)</f>
        <v>0</v>
      </c>
      <c r="S16" s="39">
        <f t="shared" ref="S16:S19" si="44">Q16-R16</f>
        <v>5285000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31" s="30" customFormat="1" ht="24" customHeight="1">
      <c r="A17" s="32">
        <v>3</v>
      </c>
      <c r="B17" s="130" t="s">
        <v>78</v>
      </c>
      <c r="C17" s="78" t="str">
        <f t="shared" si="33"/>
        <v>Cao Minh Chí</v>
      </c>
      <c r="D17" s="105" t="str">
        <f t="shared" si="34"/>
        <v>Công Đoạn 1</v>
      </c>
      <c r="E17" s="79">
        <f t="shared" si="35"/>
        <v>4200000</v>
      </c>
      <c r="F17" s="81">
        <f>VLOOKUP(B17,'CC -2'!$B$8:$AQ$23,34,0)</f>
        <v>19</v>
      </c>
      <c r="G17" s="134">
        <f t="shared" si="36"/>
        <v>4200000</v>
      </c>
      <c r="H17" s="81">
        <f>(VLOOKUP(B17,'CC -2'!$B$8:$AQ$23,35,0)+VLOOKUP(B17,'CC -2'!$B$8:$AQ$23,36,0))</f>
        <v>0</v>
      </c>
      <c r="I17" s="134">
        <f t="shared" si="37"/>
        <v>0</v>
      </c>
      <c r="J17" s="135">
        <f t="shared" si="38"/>
        <v>19</v>
      </c>
      <c r="K17" s="33">
        <f t="shared" si="39"/>
        <v>4200000</v>
      </c>
      <c r="L17" s="79">
        <f t="shared" si="40"/>
        <v>285000</v>
      </c>
      <c r="M17" s="34">
        <f t="shared" si="41"/>
        <v>4485000</v>
      </c>
      <c r="N17" s="34">
        <f t="shared" si="31"/>
        <v>0</v>
      </c>
      <c r="O17" s="34">
        <f t="shared" si="31"/>
        <v>0</v>
      </c>
      <c r="P17" s="34">
        <f t="shared" si="31"/>
        <v>0</v>
      </c>
      <c r="Q17" s="33">
        <f t="shared" si="42"/>
        <v>4485000</v>
      </c>
      <c r="R17" s="33">
        <f t="shared" si="43"/>
        <v>0</v>
      </c>
      <c r="S17" s="39">
        <f t="shared" si="44"/>
        <v>4485000</v>
      </c>
      <c r="T17" s="33"/>
      <c r="U17" s="93"/>
      <c r="V17" s="31"/>
      <c r="W17" s="23"/>
      <c r="X17" s="5"/>
      <c r="Y17" s="5"/>
      <c r="Z17" s="5"/>
      <c r="AA17" s="4"/>
      <c r="AB17" s="4"/>
      <c r="AC17" s="4"/>
      <c r="AD17" s="4"/>
      <c r="AE17" s="4"/>
    </row>
    <row r="18" spans="1:31" s="30" customFormat="1" ht="24" customHeight="1">
      <c r="A18" s="32">
        <v>4</v>
      </c>
      <c r="B18" s="130" t="s">
        <v>84</v>
      </c>
      <c r="C18" s="78" t="str">
        <f t="shared" si="33"/>
        <v>Lê Văn Hữu</v>
      </c>
      <c r="D18" s="105" t="str">
        <f t="shared" si="34"/>
        <v>Công Đoạn 2</v>
      </c>
      <c r="E18" s="79">
        <f t="shared" si="35"/>
        <v>5000000</v>
      </c>
      <c r="F18" s="81">
        <f>VLOOKUP(B18,'CC -2'!$B$8:$AQ$23,34,0)</f>
        <v>19</v>
      </c>
      <c r="G18" s="134">
        <f t="shared" si="36"/>
        <v>5000000</v>
      </c>
      <c r="H18" s="81">
        <f>(VLOOKUP(B18,'CC -2'!$B$8:$AQ$23,35,0)+VLOOKUP(B18,'CC -2'!$B$8:$AQ$23,36,0))</f>
        <v>0</v>
      </c>
      <c r="I18" s="134">
        <f t="shared" si="37"/>
        <v>0</v>
      </c>
      <c r="J18" s="135">
        <f t="shared" si="38"/>
        <v>19</v>
      </c>
      <c r="K18" s="33">
        <f t="shared" si="39"/>
        <v>5000000</v>
      </c>
      <c r="L18" s="79">
        <f t="shared" si="40"/>
        <v>285000</v>
      </c>
      <c r="M18" s="34">
        <f t="shared" si="41"/>
        <v>5285000</v>
      </c>
      <c r="N18" s="34">
        <f t="shared" si="31"/>
        <v>0</v>
      </c>
      <c r="O18" s="34">
        <f t="shared" si="31"/>
        <v>0</v>
      </c>
      <c r="P18" s="34">
        <f t="shared" si="31"/>
        <v>0</v>
      </c>
      <c r="Q18" s="33">
        <f t="shared" si="42"/>
        <v>5285000</v>
      </c>
      <c r="R18" s="33">
        <f t="shared" si="43"/>
        <v>0</v>
      </c>
      <c r="S18" s="39">
        <f t="shared" si="44"/>
        <v>5285000</v>
      </c>
      <c r="T18" s="33"/>
      <c r="U18" s="93"/>
      <c r="V18" s="31"/>
      <c r="W18" s="23"/>
      <c r="X18" s="5"/>
      <c r="Y18" s="5"/>
      <c r="Z18" s="5"/>
      <c r="AA18" s="4"/>
      <c r="AB18" s="4"/>
      <c r="AC18" s="4"/>
      <c r="AD18" s="4"/>
      <c r="AE18" s="4"/>
    </row>
    <row r="19" spans="1:31" s="30" customFormat="1" ht="24" customHeight="1">
      <c r="A19" s="32">
        <v>5</v>
      </c>
      <c r="B19" s="130" t="s">
        <v>85</v>
      </c>
      <c r="C19" s="78" t="str">
        <f t="shared" si="33"/>
        <v>Nguyễn Thị Sự</v>
      </c>
      <c r="D19" s="105" t="str">
        <f t="shared" si="34"/>
        <v>Công Đoạn 2</v>
      </c>
      <c r="E19" s="79">
        <f t="shared" si="35"/>
        <v>4200000</v>
      </c>
      <c r="F19" s="81">
        <f>VLOOKUP(B19,'CC -2'!$B$8:$AQ$23,34,0)</f>
        <v>19</v>
      </c>
      <c r="G19" s="134">
        <f t="shared" si="36"/>
        <v>4200000</v>
      </c>
      <c r="H19" s="81">
        <f>(VLOOKUP(B19,'CC -2'!$B$8:$AQ$23,35,0)+VLOOKUP(B19,'CC -2'!$B$8:$AQ$23,36,0))</f>
        <v>0</v>
      </c>
      <c r="I19" s="134">
        <f t="shared" si="37"/>
        <v>0</v>
      </c>
      <c r="J19" s="135">
        <f t="shared" si="38"/>
        <v>19</v>
      </c>
      <c r="K19" s="33">
        <f t="shared" si="39"/>
        <v>4200000</v>
      </c>
      <c r="L19" s="79">
        <f t="shared" si="40"/>
        <v>285000</v>
      </c>
      <c r="M19" s="34">
        <f t="shared" si="41"/>
        <v>4485000</v>
      </c>
      <c r="N19" s="34">
        <f t="shared" si="31"/>
        <v>0</v>
      </c>
      <c r="O19" s="34">
        <f t="shared" si="31"/>
        <v>0</v>
      </c>
      <c r="P19" s="34">
        <f t="shared" si="31"/>
        <v>0</v>
      </c>
      <c r="Q19" s="33">
        <f t="shared" si="42"/>
        <v>4485000</v>
      </c>
      <c r="R19" s="33">
        <f t="shared" si="43"/>
        <v>0</v>
      </c>
      <c r="S19" s="39">
        <f t="shared" si="44"/>
        <v>4485000</v>
      </c>
      <c r="T19" s="33"/>
      <c r="U19" s="93"/>
      <c r="V19" s="31"/>
      <c r="W19" s="23"/>
      <c r="X19" s="5"/>
      <c r="Y19" s="5"/>
      <c r="Z19" s="5"/>
      <c r="AA19" s="4"/>
      <c r="AB19" s="4"/>
      <c r="AC19" s="4"/>
      <c r="AD19" s="4"/>
      <c r="AE19" s="4"/>
    </row>
    <row r="20" spans="1:31" s="30" customFormat="1" ht="22.5" customHeight="1">
      <c r="A20" s="35"/>
      <c r="B20" s="173"/>
      <c r="C20" s="36"/>
      <c r="D20" s="3"/>
      <c r="E20" s="37"/>
      <c r="F20" s="37"/>
      <c r="G20" s="37"/>
      <c r="H20" s="37"/>
      <c r="I20" s="37"/>
      <c r="J20" s="38"/>
      <c r="K20" s="37"/>
      <c r="L20" s="37"/>
      <c r="M20" s="172"/>
      <c r="N20" s="37"/>
      <c r="O20" s="37"/>
      <c r="P20" s="37"/>
      <c r="Q20" s="37"/>
      <c r="R20" s="37"/>
      <c r="S20" s="37"/>
      <c r="T20" s="33"/>
      <c r="U20" s="93"/>
      <c r="V20" s="31"/>
      <c r="W20" s="31"/>
      <c r="X20" s="31"/>
      <c r="Y20" s="31"/>
      <c r="Z20" s="31"/>
    </row>
    <row r="21" spans="1:31" s="26" customFormat="1" ht="21" customHeight="1">
      <c r="A21" s="225" t="s">
        <v>23</v>
      </c>
      <c r="B21" s="226"/>
      <c r="C21" s="226"/>
      <c r="D21" s="227"/>
      <c r="E21" s="129">
        <f>SUM(E14:E20)</f>
        <v>23400000</v>
      </c>
      <c r="F21" s="129"/>
      <c r="G21" s="129">
        <f>SUM(G14:G20)</f>
        <v>23400000</v>
      </c>
      <c r="H21" s="129"/>
      <c r="I21" s="129">
        <f>SUM(I14:I20)</f>
        <v>0</v>
      </c>
      <c r="J21" s="129"/>
      <c r="K21" s="129">
        <f t="shared" ref="K21:S21" si="45">SUM(K14:K20)</f>
        <v>23400000</v>
      </c>
      <c r="L21" s="129">
        <f t="shared" si="45"/>
        <v>1425000</v>
      </c>
      <c r="M21" s="129">
        <f t="shared" si="45"/>
        <v>24825000</v>
      </c>
      <c r="N21" s="129">
        <f t="shared" si="45"/>
        <v>0</v>
      </c>
      <c r="O21" s="129">
        <f t="shared" si="45"/>
        <v>0</v>
      </c>
      <c r="P21" s="129">
        <f t="shared" si="45"/>
        <v>0</v>
      </c>
      <c r="Q21" s="129">
        <f t="shared" si="45"/>
        <v>24825000</v>
      </c>
      <c r="R21" s="129">
        <f t="shared" si="45"/>
        <v>0</v>
      </c>
      <c r="S21" s="129">
        <f t="shared" si="45"/>
        <v>24825000</v>
      </c>
      <c r="T21" s="21"/>
      <c r="U21" s="93"/>
      <c r="V21" s="27"/>
      <c r="W21" s="27"/>
      <c r="X21" s="27"/>
      <c r="Y21" s="27"/>
      <c r="Z21" s="27"/>
    </row>
    <row r="22" spans="1:31" ht="11.25" customHeight="1">
      <c r="A22" s="8"/>
      <c r="B22" s="8"/>
      <c r="C22" s="9"/>
      <c r="D22" s="106"/>
      <c r="E22" s="83"/>
      <c r="F22" s="9"/>
      <c r="G22" s="9"/>
      <c r="H22" s="9"/>
      <c r="I22" s="9"/>
      <c r="K22" s="9"/>
      <c r="L22" s="9"/>
      <c r="M22" s="91"/>
      <c r="N22" s="9"/>
      <c r="O22" s="9"/>
      <c r="P22" s="9"/>
      <c r="Q22" s="9"/>
      <c r="R22" s="9"/>
      <c r="S22" s="9"/>
      <c r="T22" s="9"/>
      <c r="U22" s="93"/>
    </row>
    <row r="23" spans="1:31" s="30" customFormat="1" ht="11.25" customHeight="1">
      <c r="A23" s="67"/>
      <c r="B23" s="67"/>
      <c r="C23" s="67"/>
      <c r="D23" s="122"/>
      <c r="E23" s="123"/>
      <c r="F23" s="67"/>
      <c r="G23" s="67"/>
      <c r="H23" s="67"/>
      <c r="I23" s="67"/>
      <c r="J23" s="124"/>
      <c r="K23" s="123"/>
      <c r="L23" s="67"/>
      <c r="M23" s="67"/>
      <c r="N23" s="67"/>
      <c r="O23" s="67"/>
      <c r="P23" s="67"/>
      <c r="Q23" s="67"/>
      <c r="R23" s="67"/>
      <c r="S23" s="97" t="str">
        <f>"Bình Chánh, ngày  "&amp;$V$2&amp;"   tháng   "&amp;TEXT(E4,"mm")&amp;"   năm "&amp;TEXT(E4,"yyyy")</f>
        <v>Bình Chánh, ngày  31   tháng   02   năm 2016</v>
      </c>
      <c r="T23" s="67"/>
      <c r="U23" s="125"/>
      <c r="V23" s="31"/>
      <c r="W23" s="31"/>
      <c r="X23" s="31"/>
      <c r="Y23" s="31"/>
      <c r="Z23" s="31"/>
    </row>
    <row r="24" spans="1:31" s="30" customFormat="1" ht="12.75">
      <c r="A24" s="24"/>
      <c r="B24" s="24"/>
      <c r="C24" s="24" t="s">
        <v>53</v>
      </c>
      <c r="D24" s="126"/>
      <c r="E24" s="68"/>
      <c r="F24" s="125"/>
      <c r="G24" s="68"/>
      <c r="H24" s="68"/>
      <c r="I24" s="68"/>
      <c r="J24" s="127"/>
      <c r="K24" s="31"/>
      <c r="L24" s="24"/>
      <c r="M24" s="136"/>
      <c r="N24" s="20"/>
      <c r="O24" s="20"/>
      <c r="P24" s="20"/>
      <c r="Q24" s="20"/>
      <c r="S24" s="125" t="s">
        <v>21</v>
      </c>
      <c r="T24" s="125"/>
      <c r="U24" s="125"/>
      <c r="V24" s="31"/>
      <c r="W24" s="31"/>
      <c r="X24" s="31"/>
      <c r="Y24" s="31"/>
      <c r="Z24" s="31"/>
    </row>
    <row r="25" spans="1:31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N25" s="11"/>
      <c r="O25" s="11"/>
      <c r="P25" s="11"/>
      <c r="Q25" s="11"/>
      <c r="S25" s="11"/>
      <c r="T25" s="12"/>
      <c r="U25" s="93"/>
    </row>
    <row r="26" spans="1:31" ht="12">
      <c r="C26" s="15"/>
      <c r="L26" s="15"/>
      <c r="T26" s="15"/>
      <c r="U26" s="93"/>
    </row>
    <row r="27" spans="1:31" ht="12">
      <c r="U27" s="93"/>
    </row>
    <row r="28" spans="1:31" ht="12">
      <c r="U28" s="93"/>
    </row>
    <row r="29" spans="1:31" ht="12">
      <c r="U29" s="93"/>
    </row>
    <row r="30" spans="1:31" ht="12">
      <c r="U30" s="93"/>
    </row>
    <row r="31" spans="1:31" ht="12">
      <c r="U31" s="93"/>
    </row>
    <row r="32" spans="1:31" ht="12">
      <c r="U32" s="93"/>
    </row>
  </sheetData>
  <protectedRanges>
    <protectedRange password="CC78" sqref="V20:IK21 C5:D7 B24:C24 V5:W9 A20:A25 B20:B23 B25 V14:W14 Q5:T7 E5:I6 N5:P6 L5 L24 J6:K7 L7 A27:T60 U33:U60 N20:S20 V27:IK60 J20:L20 A61:IK65328 AF14:IK14 V13:IK13 D13:T13 D21:T21 A10:B13 Q10:S12 AF5:IK12 W10:W12" name="Range1"/>
    <protectedRange password="CC78" sqref="F7:H7" name="Range1_4"/>
    <protectedRange password="CC78" sqref="V24:IK25 S24:T25 N24:Q25 E24:I25" name="Range1_1_1"/>
    <protectedRange password="CC78" sqref="U1 W1:IK3 V4:IK4 B4:T4 R2:S3 B1:Q3 U20:U32 X14:AE14 X5:AE12 U4:U14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9 Q15:S19 A15:B19 W15:W19" name="Range1_5"/>
    <protectedRange password="CC78" sqref="X15:AE19 U15:U19" name="Range1_2_3"/>
    <protectedRange password="CC78" sqref="V15:V19" name="Range1_1_3"/>
    <protectedRange password="CC78" sqref="K15:K19 K10:K12" name="Range1_6"/>
    <protectedRange password="CC78" sqref="A2:A3" name="Range1_2_1_3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5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03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42430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42430</v>
      </c>
      <c r="G5" s="107">
        <f t="shared" ref="G5:AJ5" si="0">F5+1</f>
        <v>42431</v>
      </c>
      <c r="H5" s="107">
        <f t="shared" si="0"/>
        <v>42432</v>
      </c>
      <c r="I5" s="107">
        <f t="shared" si="0"/>
        <v>42433</v>
      </c>
      <c r="J5" s="107">
        <f t="shared" si="0"/>
        <v>42434</v>
      </c>
      <c r="K5" s="107">
        <f t="shared" si="0"/>
        <v>42435</v>
      </c>
      <c r="L5" s="107">
        <f t="shared" si="0"/>
        <v>42436</v>
      </c>
      <c r="M5" s="107">
        <f t="shared" si="0"/>
        <v>42437</v>
      </c>
      <c r="N5" s="107">
        <f t="shared" si="0"/>
        <v>42438</v>
      </c>
      <c r="O5" s="107">
        <f t="shared" si="0"/>
        <v>42439</v>
      </c>
      <c r="P5" s="107">
        <f t="shared" si="0"/>
        <v>42440</v>
      </c>
      <c r="Q5" s="107">
        <f t="shared" si="0"/>
        <v>42441</v>
      </c>
      <c r="R5" s="107">
        <f t="shared" si="0"/>
        <v>42442</v>
      </c>
      <c r="S5" s="107">
        <f t="shared" si="0"/>
        <v>42443</v>
      </c>
      <c r="T5" s="107">
        <f t="shared" si="0"/>
        <v>42444</v>
      </c>
      <c r="U5" s="107">
        <f t="shared" si="0"/>
        <v>42445</v>
      </c>
      <c r="V5" s="107">
        <f t="shared" si="0"/>
        <v>42446</v>
      </c>
      <c r="W5" s="107">
        <f t="shared" si="0"/>
        <v>42447</v>
      </c>
      <c r="X5" s="107">
        <f t="shared" si="0"/>
        <v>42448</v>
      </c>
      <c r="Y5" s="107">
        <f t="shared" si="0"/>
        <v>42449</v>
      </c>
      <c r="Z5" s="107">
        <f t="shared" si="0"/>
        <v>42450</v>
      </c>
      <c r="AA5" s="107">
        <f t="shared" si="0"/>
        <v>42451</v>
      </c>
      <c r="AB5" s="107">
        <f t="shared" si="0"/>
        <v>42452</v>
      </c>
      <c r="AC5" s="107">
        <f t="shared" si="0"/>
        <v>42453</v>
      </c>
      <c r="AD5" s="107">
        <f t="shared" si="0"/>
        <v>42454</v>
      </c>
      <c r="AE5" s="107">
        <f t="shared" si="0"/>
        <v>42455</v>
      </c>
      <c r="AF5" s="107">
        <f t="shared" si="0"/>
        <v>42456</v>
      </c>
      <c r="AG5" s="107">
        <f t="shared" si="0"/>
        <v>42457</v>
      </c>
      <c r="AH5" s="107">
        <f>AG5+1</f>
        <v>42458</v>
      </c>
      <c r="AI5" s="107">
        <f t="shared" si="0"/>
        <v>42459</v>
      </c>
      <c r="AJ5" s="107">
        <f t="shared" si="0"/>
        <v>42460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T.Ba</v>
      </c>
      <c r="G6" s="162" t="str">
        <f t="shared" ref="G6:AJ6" si="1">CHOOSE(WEEKDAY(G5),"C.Nhật","T.Hai","T.Ba","T.Tư","T.Năm","T.Sáu","T.Bảy")</f>
        <v>T.Tư</v>
      </c>
      <c r="H6" s="162" t="str">
        <f t="shared" si="1"/>
        <v>T.Năm</v>
      </c>
      <c r="I6" s="162" t="str">
        <f t="shared" si="1"/>
        <v>T.Sáu</v>
      </c>
      <c r="J6" s="162" t="str">
        <f t="shared" si="1"/>
        <v>T.Bảy</v>
      </c>
      <c r="K6" s="162" t="str">
        <f t="shared" si="1"/>
        <v>C.Nhật</v>
      </c>
      <c r="L6" s="162" t="str">
        <f t="shared" si="1"/>
        <v>T.Hai</v>
      </c>
      <c r="M6" s="162" t="str">
        <f t="shared" si="1"/>
        <v>T.Ba</v>
      </c>
      <c r="N6" s="162" t="str">
        <f t="shared" si="1"/>
        <v>T.Tư</v>
      </c>
      <c r="O6" s="162" t="str">
        <f t="shared" si="1"/>
        <v>T.Năm</v>
      </c>
      <c r="P6" s="162" t="str">
        <f t="shared" si="1"/>
        <v>T.Sáu</v>
      </c>
      <c r="Q6" s="162" t="str">
        <f t="shared" si="1"/>
        <v>T.Bảy</v>
      </c>
      <c r="R6" s="162" t="str">
        <f t="shared" si="1"/>
        <v>C.Nhật</v>
      </c>
      <c r="S6" s="162" t="str">
        <f t="shared" si="1"/>
        <v>T.Hai</v>
      </c>
      <c r="T6" s="162" t="str">
        <f t="shared" si="1"/>
        <v>T.Ba</v>
      </c>
      <c r="U6" s="162" t="str">
        <f t="shared" si="1"/>
        <v>T.Tư</v>
      </c>
      <c r="V6" s="162" t="str">
        <f t="shared" si="1"/>
        <v>T.Năm</v>
      </c>
      <c r="W6" s="162" t="str">
        <f t="shared" si="1"/>
        <v>T.Sáu</v>
      </c>
      <c r="X6" s="162" t="str">
        <f t="shared" si="1"/>
        <v>T.Bảy</v>
      </c>
      <c r="Y6" s="162" t="str">
        <f t="shared" si="1"/>
        <v>C.Nhật</v>
      </c>
      <c r="Z6" s="162" t="str">
        <f t="shared" si="1"/>
        <v>T.Hai</v>
      </c>
      <c r="AA6" s="162" t="str">
        <f t="shared" si="1"/>
        <v>T.Ba</v>
      </c>
      <c r="AB6" s="162" t="str">
        <f t="shared" si="1"/>
        <v>T.Tư</v>
      </c>
      <c r="AC6" s="162" t="str">
        <f t="shared" si="1"/>
        <v>T.Năm</v>
      </c>
      <c r="AD6" s="162" t="str">
        <f t="shared" si="1"/>
        <v>T.Sáu</v>
      </c>
      <c r="AE6" s="162" t="str">
        <f t="shared" si="1"/>
        <v>T.Bảy</v>
      </c>
      <c r="AF6" s="162" t="str">
        <f t="shared" si="1"/>
        <v>C.Nhật</v>
      </c>
      <c r="AG6" s="162" t="str">
        <f t="shared" si="1"/>
        <v>T.Hai</v>
      </c>
      <c r="AH6" s="162" t="str">
        <f t="shared" si="1"/>
        <v>T.Ba</v>
      </c>
      <c r="AI6" s="162" t="str">
        <f t="shared" si="1"/>
        <v>T.Tư</v>
      </c>
      <c r="AJ6" s="162" t="str">
        <f t="shared" si="1"/>
        <v>T.Năm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20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80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>
        <v>8</v>
      </c>
      <c r="H9" s="132">
        <v>8</v>
      </c>
      <c r="I9" s="132">
        <v>8</v>
      </c>
      <c r="J9" s="132">
        <v>8</v>
      </c>
      <c r="K9" s="132"/>
      <c r="L9" s="132">
        <v>8</v>
      </c>
      <c r="M9" s="132">
        <v>8</v>
      </c>
      <c r="N9" s="132">
        <v>8</v>
      </c>
      <c r="O9" s="132">
        <v>8</v>
      </c>
      <c r="P9" s="132">
        <v>8</v>
      </c>
      <c r="Q9" s="132">
        <v>8</v>
      </c>
      <c r="R9" s="132"/>
      <c r="S9" s="132">
        <v>8</v>
      </c>
      <c r="T9" s="132">
        <v>8</v>
      </c>
      <c r="U9" s="132">
        <v>8</v>
      </c>
      <c r="V9" s="132">
        <v>8</v>
      </c>
      <c r="W9" s="132">
        <v>8</v>
      </c>
      <c r="X9" s="132">
        <v>8</v>
      </c>
      <c r="Y9" s="132"/>
      <c r="Z9" s="132">
        <v>8</v>
      </c>
      <c r="AA9" s="132">
        <v>8</v>
      </c>
      <c r="AB9" s="132">
        <v>8</v>
      </c>
      <c r="AC9" s="132">
        <v>8</v>
      </c>
      <c r="AD9" s="132">
        <v>8</v>
      </c>
      <c r="AE9" s="132">
        <v>8</v>
      </c>
      <c r="AF9" s="132"/>
      <c r="AG9" s="132">
        <v>8</v>
      </c>
      <c r="AH9" s="132">
        <v>8</v>
      </c>
      <c r="AI9" s="132">
        <v>8</v>
      </c>
      <c r="AJ9" s="132">
        <v>8</v>
      </c>
      <c r="AK9" s="251">
        <f>((SUM(F9:AJ9))/8)-(SUMIF($F$6:$AJ$6,"C.Nhật",F9:AJ9)/8)</f>
        <v>27</v>
      </c>
      <c r="AL9" s="251">
        <f>SUM(F10:AJ10)/8*1.5</f>
        <v>0</v>
      </c>
      <c r="AM9" s="253">
        <f>SUMIF($F$6:$AJ$6,"C.Nhật",$F9:$AJ10)/8*2</f>
        <v>0</v>
      </c>
      <c r="AN9" s="241">
        <f>SUM(AK9:AM10)</f>
        <v>27</v>
      </c>
      <c r="AO9" s="255">
        <v>0</v>
      </c>
      <c r="AP9" s="241"/>
      <c r="AQ9" s="241"/>
      <c r="AR9" s="241"/>
      <c r="AS9" s="243"/>
      <c r="AT9" s="20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20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5">
        <v>2</v>
      </c>
      <c r="B11" s="245" t="s">
        <v>75</v>
      </c>
      <c r="C11" s="247" t="str">
        <f>VLOOKUP(B11,DS,2,0)</f>
        <v>Đinh Hoàng Lợi</v>
      </c>
      <c r="D11" s="249" t="str">
        <f>VLOOKUP(B11,DS,3,0)</f>
        <v>Tài xế</v>
      </c>
      <c r="E11" s="57" t="s">
        <v>30</v>
      </c>
      <c r="F11" s="132">
        <v>8</v>
      </c>
      <c r="G11" s="132">
        <v>8</v>
      </c>
      <c r="H11" s="132">
        <v>8</v>
      </c>
      <c r="I11" s="132">
        <v>8</v>
      </c>
      <c r="J11" s="132">
        <v>8</v>
      </c>
      <c r="K11" s="132"/>
      <c r="L11" s="132">
        <v>8</v>
      </c>
      <c r="M11" s="132">
        <v>8</v>
      </c>
      <c r="N11" s="132">
        <v>8</v>
      </c>
      <c r="O11" s="132">
        <v>8</v>
      </c>
      <c r="P11" s="132">
        <v>8</v>
      </c>
      <c r="Q11" s="132">
        <v>8</v>
      </c>
      <c r="R11" s="132"/>
      <c r="S11" s="132">
        <v>8</v>
      </c>
      <c r="T11" s="132">
        <v>8</v>
      </c>
      <c r="U11" s="132">
        <v>8</v>
      </c>
      <c r="V11" s="132">
        <v>8</v>
      </c>
      <c r="W11" s="132">
        <v>8</v>
      </c>
      <c r="X11" s="132">
        <v>8</v>
      </c>
      <c r="Y11" s="132"/>
      <c r="Z11" s="132">
        <v>8</v>
      </c>
      <c r="AA11" s="132">
        <v>8</v>
      </c>
      <c r="AB11" s="132">
        <v>8</v>
      </c>
      <c r="AC11" s="132">
        <v>8</v>
      </c>
      <c r="AD11" s="132">
        <v>8</v>
      </c>
      <c r="AE11" s="132">
        <v>8</v>
      </c>
      <c r="AF11" s="132"/>
      <c r="AG11" s="132">
        <v>8</v>
      </c>
      <c r="AH11" s="132">
        <v>8</v>
      </c>
      <c r="AI11" s="132">
        <v>8</v>
      </c>
      <c r="AJ11" s="132">
        <v>8</v>
      </c>
      <c r="AK11" s="251">
        <f t="shared" ref="AK11" si="2">((SUM(F11:AJ11))/8)-(SUMIF($F$6:$AJ$6,"C.Nhật",F11:AJ11)/8)</f>
        <v>27</v>
      </c>
      <c r="AL11" s="251">
        <f t="shared" ref="AL11" si="3">SUM(F12:AJ12)/8*1.5</f>
        <v>0</v>
      </c>
      <c r="AM11" s="253">
        <f t="shared" ref="AM11" si="4">SUMIF($F$6:$AJ$6,"C.Nhật",$F11:$AJ12)/8*2</f>
        <v>0</v>
      </c>
      <c r="AN11" s="241">
        <f t="shared" ref="AN11" si="5">SUM(AK11:AM12)</f>
        <v>27</v>
      </c>
      <c r="AO11" s="255">
        <v>0</v>
      </c>
      <c r="AP11" s="241"/>
      <c r="AQ11" s="241"/>
      <c r="AR11" s="241"/>
      <c r="AS11" s="243"/>
      <c r="AT11" s="21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6"/>
      <c r="B12" s="246"/>
      <c r="C12" s="248"/>
      <c r="D12" s="250"/>
      <c r="E12" s="58" t="s">
        <v>29</v>
      </c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252"/>
      <c r="AL12" s="252"/>
      <c r="AM12" s="254"/>
      <c r="AN12" s="242"/>
      <c r="AO12" s="256"/>
      <c r="AP12" s="242"/>
      <c r="AQ12" s="242"/>
      <c r="AR12" s="242"/>
      <c r="AS12" s="244"/>
      <c r="AT12" s="21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8" customFormat="1" ht="21" customHeight="1">
      <c r="A13" s="166" t="s">
        <v>69</v>
      </c>
      <c r="B13" s="169" t="s">
        <v>73</v>
      </c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1"/>
      <c r="AT13" s="167"/>
    </row>
    <row r="14" spans="1:91" s="56" customFormat="1" ht="18" customHeight="1">
      <c r="A14" s="245">
        <v>1</v>
      </c>
      <c r="B14" s="245" t="s">
        <v>76</v>
      </c>
      <c r="C14" s="247" t="str">
        <f>VLOOKUP(B14,DS,2,0)</f>
        <v>Bùi Trường Giang</v>
      </c>
      <c r="D14" s="249" t="str">
        <f>VLOOKUP(B14,DS,3,0)</f>
        <v>Thợ in</v>
      </c>
      <c r="E14" s="57" t="s">
        <v>30</v>
      </c>
      <c r="F14" s="132">
        <v>8</v>
      </c>
      <c r="G14" s="132">
        <v>8</v>
      </c>
      <c r="H14" s="132">
        <v>8</v>
      </c>
      <c r="I14" s="132">
        <v>8</v>
      </c>
      <c r="J14" s="132">
        <v>8</v>
      </c>
      <c r="K14" s="132"/>
      <c r="L14" s="132">
        <v>8</v>
      </c>
      <c r="M14" s="132">
        <v>8</v>
      </c>
      <c r="N14" s="132">
        <v>8</v>
      </c>
      <c r="O14" s="132">
        <v>8</v>
      </c>
      <c r="P14" s="132">
        <v>8</v>
      </c>
      <c r="Q14" s="132">
        <v>8</v>
      </c>
      <c r="R14" s="132"/>
      <c r="S14" s="132">
        <v>8</v>
      </c>
      <c r="T14" s="132">
        <v>8</v>
      </c>
      <c r="U14" s="132">
        <v>8</v>
      </c>
      <c r="V14" s="132">
        <v>8</v>
      </c>
      <c r="W14" s="132">
        <v>8</v>
      </c>
      <c r="X14" s="132">
        <v>8</v>
      </c>
      <c r="Y14" s="132"/>
      <c r="Z14" s="132">
        <v>8</v>
      </c>
      <c r="AA14" s="132">
        <v>8</v>
      </c>
      <c r="AB14" s="132">
        <v>8</v>
      </c>
      <c r="AC14" s="132">
        <v>8</v>
      </c>
      <c r="AD14" s="132">
        <v>8</v>
      </c>
      <c r="AE14" s="132">
        <v>8</v>
      </c>
      <c r="AF14" s="132"/>
      <c r="AG14" s="132">
        <v>8</v>
      </c>
      <c r="AH14" s="132">
        <v>8</v>
      </c>
      <c r="AI14" s="132">
        <v>8</v>
      </c>
      <c r="AJ14" s="132">
        <v>8</v>
      </c>
      <c r="AK14" s="251">
        <f t="shared" ref="AK14" si="6">((SUM(F14:AJ14))/8)-(SUMIF($F$6:$AJ$6,"C.Nhật",F14:AJ14)/8)</f>
        <v>27</v>
      </c>
      <c r="AL14" s="251">
        <f t="shared" ref="AL14" si="7">SUM(F15:AJ15)/8*1.5</f>
        <v>0</v>
      </c>
      <c r="AM14" s="253">
        <f>SUMIF($F$6:$AJ$6,"C.Nhật",$F14:$AJ15)/8*2</f>
        <v>0</v>
      </c>
      <c r="AN14" s="241">
        <f>SUM(AK14:AM15)</f>
        <v>27</v>
      </c>
      <c r="AO14" s="255">
        <v>0</v>
      </c>
      <c r="AP14" s="241"/>
      <c r="AQ14" s="241"/>
      <c r="AR14" s="241"/>
      <c r="AS14" s="243"/>
      <c r="AT14" s="20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0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2</v>
      </c>
      <c r="B16" s="245" t="s">
        <v>77</v>
      </c>
      <c r="C16" s="247" t="str">
        <f>VLOOKUP(B16,DS,2,0)</f>
        <v>Lý Thanh Hải</v>
      </c>
      <c r="D16" s="249" t="str">
        <f>VLOOKUP(B16,DS,3,0)</f>
        <v>Công Đoạn 1</v>
      </c>
      <c r="E16" s="57" t="s">
        <v>30</v>
      </c>
      <c r="F16" s="132">
        <v>8</v>
      </c>
      <c r="G16" s="132">
        <v>8</v>
      </c>
      <c r="H16" s="132">
        <v>8</v>
      </c>
      <c r="I16" s="132">
        <v>8</v>
      </c>
      <c r="J16" s="132">
        <v>8</v>
      </c>
      <c r="K16" s="132"/>
      <c r="L16" s="132">
        <v>8</v>
      </c>
      <c r="M16" s="132">
        <v>8</v>
      </c>
      <c r="N16" s="132">
        <v>8</v>
      </c>
      <c r="O16" s="132">
        <v>8</v>
      </c>
      <c r="P16" s="132">
        <v>8</v>
      </c>
      <c r="Q16" s="132">
        <v>8</v>
      </c>
      <c r="R16" s="132"/>
      <c r="S16" s="132">
        <v>8</v>
      </c>
      <c r="T16" s="132">
        <v>8</v>
      </c>
      <c r="U16" s="132">
        <v>8</v>
      </c>
      <c r="V16" s="132">
        <v>8</v>
      </c>
      <c r="W16" s="132">
        <v>8</v>
      </c>
      <c r="X16" s="132">
        <v>8</v>
      </c>
      <c r="Y16" s="132"/>
      <c r="Z16" s="132">
        <v>8</v>
      </c>
      <c r="AA16" s="132">
        <v>8</v>
      </c>
      <c r="AB16" s="132">
        <v>8</v>
      </c>
      <c r="AC16" s="132">
        <v>8</v>
      </c>
      <c r="AD16" s="132">
        <v>8</v>
      </c>
      <c r="AE16" s="132">
        <v>8</v>
      </c>
      <c r="AF16" s="132"/>
      <c r="AG16" s="132">
        <v>8</v>
      </c>
      <c r="AH16" s="132">
        <v>8</v>
      </c>
      <c r="AI16" s="132">
        <v>8</v>
      </c>
      <c r="AJ16" s="132">
        <v>8</v>
      </c>
      <c r="AK16" s="251">
        <f t="shared" ref="AK16" si="8">((SUM(F16:AJ16))/8)-(SUMIF($F$6:$AJ$6,"C.Nhật",F16:AJ16)/8)</f>
        <v>27</v>
      </c>
      <c r="AL16" s="251">
        <f t="shared" ref="AL16" si="9">SUM(F17:AJ17)/8*1.5</f>
        <v>0</v>
      </c>
      <c r="AM16" s="253">
        <f>SUMIF($F$6:$AJ$6,"C.Nhật",$F16:$AJ17)/8*2</f>
        <v>0</v>
      </c>
      <c r="AN16" s="241">
        <f t="shared" ref="AN16" si="10">SUM(AK16:AM17)</f>
        <v>27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6" customFormat="1" ht="18" customHeight="1">
      <c r="A18" s="245">
        <v>3</v>
      </c>
      <c r="B18" s="245" t="s">
        <v>78</v>
      </c>
      <c r="C18" s="247" t="str">
        <f>VLOOKUP(B18,DS,2,0)</f>
        <v>Cao Minh Chí</v>
      </c>
      <c r="D18" s="249" t="str">
        <f>VLOOKUP(B18,DS,3,0)</f>
        <v>Công Đoạn 1</v>
      </c>
      <c r="E18" s="57" t="s">
        <v>30</v>
      </c>
      <c r="F18" s="132">
        <v>8</v>
      </c>
      <c r="G18" s="132">
        <v>8</v>
      </c>
      <c r="H18" s="132">
        <v>8</v>
      </c>
      <c r="I18" s="132">
        <v>8</v>
      </c>
      <c r="J18" s="132">
        <v>8</v>
      </c>
      <c r="K18" s="132"/>
      <c r="L18" s="132">
        <v>8</v>
      </c>
      <c r="M18" s="132">
        <v>8</v>
      </c>
      <c r="N18" s="132">
        <v>8</v>
      </c>
      <c r="O18" s="132">
        <v>8</v>
      </c>
      <c r="P18" s="132">
        <v>8</v>
      </c>
      <c r="Q18" s="132">
        <v>8</v>
      </c>
      <c r="R18" s="132"/>
      <c r="S18" s="132">
        <v>8</v>
      </c>
      <c r="T18" s="132">
        <v>8</v>
      </c>
      <c r="U18" s="132">
        <v>8</v>
      </c>
      <c r="V18" s="132">
        <v>8</v>
      </c>
      <c r="W18" s="132">
        <v>8</v>
      </c>
      <c r="X18" s="132">
        <v>8</v>
      </c>
      <c r="Y18" s="132"/>
      <c r="Z18" s="132">
        <v>8</v>
      </c>
      <c r="AA18" s="132">
        <v>8</v>
      </c>
      <c r="AB18" s="132">
        <v>8</v>
      </c>
      <c r="AC18" s="132">
        <v>8</v>
      </c>
      <c r="AD18" s="132">
        <v>8</v>
      </c>
      <c r="AE18" s="132">
        <v>8</v>
      </c>
      <c r="AF18" s="132"/>
      <c r="AG18" s="132">
        <v>8</v>
      </c>
      <c r="AH18" s="132">
        <v>8</v>
      </c>
      <c r="AI18" s="132">
        <v>8</v>
      </c>
      <c r="AJ18" s="132">
        <v>8</v>
      </c>
      <c r="AK18" s="251">
        <f t="shared" ref="AK18" si="11">((SUM(F18:AJ18))/8)-(SUMIF($F$6:$AJ$6,"C.Nhật",F18:AJ18)/8)</f>
        <v>27</v>
      </c>
      <c r="AL18" s="251">
        <f t="shared" ref="AL18" si="12">SUM(F19:AJ19)/8*1.5</f>
        <v>0</v>
      </c>
      <c r="AM18" s="253">
        <f>SUMIF($F$6:$AJ$6,"C.Nhật",$F18:$AJ19)/8*2</f>
        <v>0</v>
      </c>
      <c r="AN18" s="241">
        <f t="shared" ref="AN18" si="13">SUM(AK18:AM19)</f>
        <v>27</v>
      </c>
      <c r="AO18" s="255">
        <v>0</v>
      </c>
      <c r="AP18" s="241"/>
      <c r="AQ18" s="241"/>
      <c r="AR18" s="241"/>
      <c r="AS18" s="243"/>
      <c r="AT18" s="21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6" customFormat="1" ht="18" customHeight="1">
      <c r="A19" s="246"/>
      <c r="B19" s="246"/>
      <c r="C19" s="248"/>
      <c r="D19" s="250"/>
      <c r="E19" s="58" t="s">
        <v>29</v>
      </c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252"/>
      <c r="AL19" s="252"/>
      <c r="AM19" s="254"/>
      <c r="AN19" s="242"/>
      <c r="AO19" s="256"/>
      <c r="AP19" s="242"/>
      <c r="AQ19" s="242"/>
      <c r="AR19" s="242"/>
      <c r="AS19" s="244"/>
      <c r="AT19" s="21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6" customFormat="1" ht="18" customHeight="1">
      <c r="A20" s="245">
        <v>4</v>
      </c>
      <c r="B20" s="245" t="s">
        <v>84</v>
      </c>
      <c r="C20" s="247" t="str">
        <f>VLOOKUP(B20,DS,2,0)</f>
        <v>Lê Văn Hữu</v>
      </c>
      <c r="D20" s="249" t="str">
        <f>VLOOKUP(B20,DS,3,0)</f>
        <v>Công Đoạn 2</v>
      </c>
      <c r="E20" s="57" t="s">
        <v>30</v>
      </c>
      <c r="F20" s="132">
        <v>8</v>
      </c>
      <c r="G20" s="132">
        <v>8</v>
      </c>
      <c r="H20" s="132">
        <v>8</v>
      </c>
      <c r="I20" s="132">
        <v>8</v>
      </c>
      <c r="J20" s="132">
        <v>8</v>
      </c>
      <c r="K20" s="132"/>
      <c r="L20" s="132">
        <v>8</v>
      </c>
      <c r="M20" s="132">
        <v>8</v>
      </c>
      <c r="N20" s="132">
        <v>8</v>
      </c>
      <c r="O20" s="132">
        <v>8</v>
      </c>
      <c r="P20" s="132">
        <v>8</v>
      </c>
      <c r="Q20" s="132">
        <v>8</v>
      </c>
      <c r="R20" s="132"/>
      <c r="S20" s="132">
        <v>8</v>
      </c>
      <c r="T20" s="132">
        <v>8</v>
      </c>
      <c r="U20" s="132">
        <v>8</v>
      </c>
      <c r="V20" s="132">
        <v>8</v>
      </c>
      <c r="W20" s="132">
        <v>8</v>
      </c>
      <c r="X20" s="132">
        <v>8</v>
      </c>
      <c r="Y20" s="132"/>
      <c r="Z20" s="132">
        <v>8</v>
      </c>
      <c r="AA20" s="132">
        <v>8</v>
      </c>
      <c r="AB20" s="132">
        <v>8</v>
      </c>
      <c r="AC20" s="132">
        <v>8</v>
      </c>
      <c r="AD20" s="132">
        <v>8</v>
      </c>
      <c r="AE20" s="132">
        <v>8</v>
      </c>
      <c r="AF20" s="132"/>
      <c r="AG20" s="132">
        <v>8</v>
      </c>
      <c r="AH20" s="132">
        <v>8</v>
      </c>
      <c r="AI20" s="132">
        <v>8</v>
      </c>
      <c r="AJ20" s="132">
        <v>8</v>
      </c>
      <c r="AK20" s="251">
        <f t="shared" ref="AK20" si="14">((SUM(F20:AJ20))/8)-(SUMIF($F$6:$AJ$6,"C.Nhật",F20:AJ20)/8)</f>
        <v>27</v>
      </c>
      <c r="AL20" s="251">
        <f t="shared" ref="AL20" si="15">SUM(F21:AJ21)/8*1.5</f>
        <v>0</v>
      </c>
      <c r="AM20" s="253">
        <f>SUMIF($F$6:$AJ$6,"C.Nhật",$F20:$AJ21)/8*2</f>
        <v>0</v>
      </c>
      <c r="AN20" s="241">
        <f t="shared" ref="AN20" si="16">SUM(AK20:AM21)</f>
        <v>27</v>
      </c>
      <c r="AO20" s="255">
        <v>0</v>
      </c>
      <c r="AP20" s="241"/>
      <c r="AQ20" s="241"/>
      <c r="AR20" s="241"/>
      <c r="AS20" s="243"/>
      <c r="AT20" s="21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6" customFormat="1" ht="18" customHeight="1">
      <c r="A21" s="246"/>
      <c r="B21" s="246"/>
      <c r="C21" s="248"/>
      <c r="D21" s="250"/>
      <c r="E21" s="58" t="s">
        <v>29</v>
      </c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252"/>
      <c r="AL21" s="252"/>
      <c r="AM21" s="254"/>
      <c r="AN21" s="242"/>
      <c r="AO21" s="256"/>
      <c r="AP21" s="242"/>
      <c r="AQ21" s="242"/>
      <c r="AR21" s="242"/>
      <c r="AS21" s="244"/>
      <c r="AT21" s="21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6" customFormat="1" ht="18" customHeight="1">
      <c r="A22" s="245">
        <v>5</v>
      </c>
      <c r="B22" s="245" t="s">
        <v>85</v>
      </c>
      <c r="C22" s="247" t="str">
        <f>VLOOKUP(B22,DS,2,0)</f>
        <v>Nguyễn Thị Sự</v>
      </c>
      <c r="D22" s="249" t="str">
        <f>VLOOKUP(B22,DS,3,0)</f>
        <v>Công Đoạn 2</v>
      </c>
      <c r="E22" s="57" t="s">
        <v>30</v>
      </c>
      <c r="F22" s="132">
        <v>8</v>
      </c>
      <c r="G22" s="132">
        <v>8</v>
      </c>
      <c r="H22" s="132">
        <v>8</v>
      </c>
      <c r="I22" s="132">
        <v>8</v>
      </c>
      <c r="J22" s="132">
        <v>8</v>
      </c>
      <c r="K22" s="132"/>
      <c r="L22" s="132">
        <v>8</v>
      </c>
      <c r="M22" s="132">
        <v>8</v>
      </c>
      <c r="N22" s="132">
        <v>8</v>
      </c>
      <c r="O22" s="132">
        <v>8</v>
      </c>
      <c r="P22" s="132">
        <v>8</v>
      </c>
      <c r="Q22" s="132">
        <v>8</v>
      </c>
      <c r="R22" s="132"/>
      <c r="S22" s="132">
        <v>8</v>
      </c>
      <c r="T22" s="132">
        <v>8</v>
      </c>
      <c r="U22" s="132">
        <v>8</v>
      </c>
      <c r="V22" s="132">
        <v>8</v>
      </c>
      <c r="W22" s="132">
        <v>8</v>
      </c>
      <c r="X22" s="132">
        <v>8</v>
      </c>
      <c r="Y22" s="132"/>
      <c r="Z22" s="132">
        <v>8</v>
      </c>
      <c r="AA22" s="132">
        <v>8</v>
      </c>
      <c r="AB22" s="132">
        <v>8</v>
      </c>
      <c r="AC22" s="132">
        <v>8</v>
      </c>
      <c r="AD22" s="132">
        <v>8</v>
      </c>
      <c r="AE22" s="132">
        <v>8</v>
      </c>
      <c r="AF22" s="132"/>
      <c r="AG22" s="132">
        <v>8</v>
      </c>
      <c r="AH22" s="132">
        <v>8</v>
      </c>
      <c r="AI22" s="132">
        <v>8</v>
      </c>
      <c r="AJ22" s="132">
        <v>8</v>
      </c>
      <c r="AK22" s="251">
        <f t="shared" ref="AK22" si="17">((SUM(F22:AJ22))/8)-(SUMIF($F$6:$AJ$6,"C.Nhật",F22:AJ22)/8)</f>
        <v>27</v>
      </c>
      <c r="AL22" s="251">
        <f t="shared" ref="AL22" si="18">SUM(F23:AJ23)/8*1.5</f>
        <v>0</v>
      </c>
      <c r="AM22" s="253">
        <f>SUMIF($F$6:$AJ$6,"C.Nhật",$F22:$AJ23)/8*2</f>
        <v>0</v>
      </c>
      <c r="AN22" s="241">
        <f t="shared" ref="AN22" si="19">SUM(AK22:AM23)</f>
        <v>27</v>
      </c>
      <c r="AO22" s="255">
        <v>0</v>
      </c>
      <c r="AP22" s="241"/>
      <c r="AQ22" s="241"/>
      <c r="AR22" s="241"/>
      <c r="AS22" s="243"/>
      <c r="AT22" s="20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6" customFormat="1" ht="18" customHeight="1">
      <c r="A23" s="246"/>
      <c r="B23" s="246"/>
      <c r="C23" s="248"/>
      <c r="D23" s="250"/>
      <c r="E23" s="58" t="s">
        <v>29</v>
      </c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252"/>
      <c r="AL23" s="252"/>
      <c r="AM23" s="254"/>
      <c r="AN23" s="242"/>
      <c r="AO23" s="256"/>
      <c r="AP23" s="242"/>
      <c r="AQ23" s="242"/>
      <c r="AR23" s="242"/>
      <c r="AS23" s="244"/>
      <c r="AT23" s="20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9" customFormat="1" ht="12.75">
      <c r="A24" s="14"/>
      <c r="B24" s="60"/>
      <c r="C24" s="4"/>
      <c r="D24" s="102"/>
      <c r="E24" s="4"/>
      <c r="F24" s="64"/>
      <c r="G24" s="64"/>
      <c r="H24" s="61"/>
      <c r="I24" s="61"/>
      <c r="J24" s="109"/>
      <c r="K24" s="64"/>
      <c r="L24" s="61"/>
      <c r="M24" s="64"/>
      <c r="N24" s="64"/>
      <c r="O24" s="64"/>
      <c r="P24" s="64"/>
      <c r="Q24" s="61"/>
      <c r="R24" s="64"/>
      <c r="S24" s="64"/>
      <c r="T24" s="109"/>
      <c r="U24" s="64"/>
      <c r="V24" s="64"/>
      <c r="W24" s="64"/>
      <c r="X24" s="60"/>
      <c r="Y24" s="64"/>
      <c r="Z24" s="64"/>
      <c r="AA24" s="64"/>
      <c r="AB24" s="64"/>
      <c r="AC24" s="64"/>
      <c r="AD24" s="61"/>
      <c r="AE24" s="64"/>
      <c r="AF24" s="64"/>
      <c r="AG24" s="64"/>
      <c r="AH24" s="64"/>
      <c r="AI24" s="64"/>
      <c r="AJ24" s="64"/>
      <c r="AK24" s="4"/>
      <c r="AL24" s="4"/>
      <c r="AM24" s="87"/>
      <c r="AN24" s="63"/>
      <c r="AO24" s="63"/>
      <c r="AP24" s="63"/>
      <c r="AQ24" s="63"/>
      <c r="AR24" s="63"/>
      <c r="AS24" s="4"/>
      <c r="AT24" s="93"/>
    </row>
    <row r="25" spans="1:90" s="59" customFormat="1" ht="12.75">
      <c r="A25" s="14"/>
      <c r="B25" s="60"/>
      <c r="C25" s="14" t="s">
        <v>14</v>
      </c>
      <c r="D25" s="102"/>
      <c r="E25" s="4"/>
      <c r="F25" s="64"/>
      <c r="G25" s="64"/>
      <c r="H25" s="61"/>
      <c r="I25" s="61"/>
      <c r="J25" s="109"/>
      <c r="K25" s="64"/>
      <c r="L25" s="61"/>
      <c r="M25" s="64"/>
      <c r="N25" s="64"/>
      <c r="O25" s="64"/>
      <c r="P25" s="64"/>
      <c r="Q25" s="61"/>
      <c r="R25" s="64"/>
      <c r="S25" s="64"/>
      <c r="T25" s="109"/>
      <c r="U25" s="64"/>
      <c r="V25" s="64"/>
      <c r="W25" s="64"/>
      <c r="X25" s="60"/>
      <c r="Y25" s="64"/>
      <c r="Z25" s="64"/>
      <c r="AA25" s="64"/>
      <c r="AB25" s="64"/>
      <c r="AC25" s="64"/>
      <c r="AD25" s="61"/>
      <c r="AE25" s="64"/>
      <c r="AF25" s="64"/>
      <c r="AG25" s="64"/>
      <c r="AH25" s="64"/>
      <c r="AI25" s="64"/>
      <c r="AJ25" s="64"/>
      <c r="AK25" s="4"/>
      <c r="AL25" s="4"/>
      <c r="AM25" s="87"/>
      <c r="AN25" s="63"/>
      <c r="AO25" s="63"/>
      <c r="AP25" s="63"/>
      <c r="AQ25" s="63"/>
      <c r="AR25" s="63"/>
      <c r="AS25" s="4"/>
      <c r="AT25" s="93"/>
    </row>
    <row r="26" spans="1:90" s="59" customFormat="1" ht="12.75">
      <c r="A26" s="12"/>
      <c r="B26" s="12"/>
      <c r="C26" s="4"/>
      <c r="D26" s="102"/>
      <c r="E26" s="4"/>
      <c r="F26" s="64"/>
      <c r="G26" s="64"/>
      <c r="H26" s="110"/>
      <c r="I26" s="110"/>
      <c r="J26" s="110"/>
      <c r="K26" s="64"/>
      <c r="L26" s="110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110"/>
      <c r="AE26" s="64"/>
      <c r="AF26" s="64"/>
      <c r="AG26" s="64"/>
      <c r="AH26" s="64"/>
      <c r="AI26" s="64"/>
      <c r="AJ26" s="64"/>
      <c r="AK26" s="4"/>
      <c r="AL26" s="4"/>
      <c r="AM26" s="87"/>
      <c r="AN26" s="65"/>
      <c r="AO26" s="65"/>
      <c r="AP26" s="65"/>
      <c r="AQ26" s="65"/>
      <c r="AR26" s="65"/>
      <c r="AS26" s="4"/>
      <c r="AT26" s="93"/>
    </row>
    <row r="27" spans="1:90" s="62" customFormat="1" ht="15" customHeight="1">
      <c r="A27" s="12"/>
      <c r="B27" s="12"/>
      <c r="C27" s="4"/>
      <c r="D27" s="102"/>
      <c r="E27" s="4"/>
      <c r="F27" s="64"/>
      <c r="G27" s="64"/>
      <c r="H27" s="110"/>
      <c r="I27" s="110"/>
      <c r="J27" s="110"/>
      <c r="K27" s="64"/>
      <c r="L27" s="110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110"/>
      <c r="AE27" s="64"/>
      <c r="AF27" s="64"/>
      <c r="AG27" s="64"/>
      <c r="AH27" s="64"/>
      <c r="AI27" s="64"/>
      <c r="AJ27" s="64"/>
      <c r="AK27" s="4"/>
      <c r="AL27" s="4"/>
      <c r="AM27" s="87"/>
      <c r="AN27" s="65"/>
      <c r="AO27" s="65"/>
      <c r="AP27" s="65"/>
      <c r="AQ27" s="65"/>
      <c r="AR27" s="65"/>
      <c r="AS27" s="4"/>
      <c r="AT27" s="4"/>
    </row>
    <row r="28" spans="1:90" s="62" customFormat="1" ht="11.25">
      <c r="A28" s="12"/>
      <c r="B28" s="12"/>
      <c r="C28" s="4"/>
      <c r="D28" s="102"/>
      <c r="E28" s="4"/>
      <c r="F28" s="64"/>
      <c r="G28" s="64"/>
      <c r="H28" s="110"/>
      <c r="I28" s="110"/>
      <c r="J28" s="110"/>
      <c r="K28" s="64"/>
      <c r="L28" s="110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110"/>
      <c r="AE28" s="64"/>
      <c r="AF28" s="64"/>
      <c r="AG28" s="64"/>
      <c r="AH28" s="64"/>
      <c r="AI28" s="64"/>
      <c r="AJ28" s="64"/>
      <c r="AK28" s="4"/>
      <c r="AL28" s="4"/>
      <c r="AM28" s="87"/>
      <c r="AN28" s="65"/>
      <c r="AO28" s="65"/>
      <c r="AP28" s="65"/>
      <c r="AQ28" s="65"/>
      <c r="AR28" s="65"/>
      <c r="AS28" s="4"/>
      <c r="AT28" s="4"/>
    </row>
    <row r="29" spans="1:90" s="62" customFormat="1" ht="11.25">
      <c r="A29" s="12"/>
      <c r="B29" s="12"/>
      <c r="C29" s="4"/>
      <c r="D29" s="102"/>
      <c r="E29" s="4"/>
      <c r="F29" s="64"/>
      <c r="G29" s="64"/>
      <c r="H29" s="110"/>
      <c r="I29" s="110"/>
      <c r="J29" s="110"/>
      <c r="K29" s="64"/>
      <c r="L29" s="110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110"/>
      <c r="AE29" s="64"/>
      <c r="AF29" s="64"/>
      <c r="AG29" s="64"/>
      <c r="AH29" s="64"/>
      <c r="AI29" s="64"/>
      <c r="AJ29" s="64"/>
      <c r="AK29" s="4"/>
      <c r="AL29" s="4"/>
      <c r="AM29" s="87"/>
      <c r="AN29" s="65"/>
      <c r="AO29" s="65"/>
      <c r="AP29" s="65"/>
      <c r="AQ29" s="65"/>
      <c r="AR29" s="65"/>
      <c r="AS29" s="4"/>
      <c r="AT29" s="4"/>
    </row>
    <row r="30" spans="1:90" s="62" customFormat="1" ht="11.25">
      <c r="A30" s="10"/>
      <c r="B30" s="10"/>
      <c r="C30" s="14"/>
      <c r="D30" s="103"/>
      <c r="E30" s="66"/>
      <c r="F30" s="109"/>
      <c r="G30" s="111"/>
      <c r="H30" s="61"/>
      <c r="I30" s="61"/>
      <c r="J30" s="61"/>
      <c r="K30" s="111"/>
      <c r="L30" s="61"/>
      <c r="M30" s="111"/>
      <c r="N30" s="111"/>
      <c r="O30" s="111"/>
      <c r="P30" s="111"/>
      <c r="Q30" s="61"/>
      <c r="R30" s="109"/>
      <c r="S30" s="111"/>
      <c r="T30" s="111"/>
      <c r="U30" s="61"/>
      <c r="V30" s="111"/>
      <c r="W30" s="111"/>
      <c r="X30" s="61"/>
      <c r="Y30" s="111"/>
      <c r="Z30" s="111"/>
      <c r="AA30" s="111"/>
      <c r="AB30" s="111"/>
      <c r="AC30" s="111"/>
      <c r="AD30" s="61"/>
      <c r="AE30" s="111"/>
      <c r="AF30" s="111"/>
      <c r="AG30" s="111"/>
      <c r="AH30" s="111"/>
      <c r="AI30" s="111"/>
      <c r="AJ30" s="111"/>
      <c r="AK30" s="66"/>
      <c r="AM30" s="88"/>
      <c r="AN30" s="10"/>
      <c r="AO30" s="10"/>
      <c r="AP30" s="10"/>
      <c r="AQ30" s="10"/>
      <c r="AR30" s="10"/>
      <c r="AS30" s="14"/>
      <c r="AT30" s="4"/>
    </row>
    <row r="31" spans="1:90" s="62" customFormat="1" ht="12.75">
      <c r="A31" s="2"/>
      <c r="B31" s="2" t="s">
        <v>0</v>
      </c>
      <c r="C31" s="2"/>
      <c r="D31" s="205"/>
      <c r="E31" s="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3"/>
      <c r="AI31" s="113"/>
      <c r="AJ31" s="113"/>
      <c r="AK31" s="2"/>
      <c r="AL31" s="2"/>
      <c r="AM31" s="89"/>
      <c r="AN31" s="2"/>
      <c r="AO31" s="2"/>
      <c r="AP31" s="2"/>
      <c r="AQ31" s="2"/>
      <c r="AR31" s="2"/>
      <c r="AS31" s="2"/>
      <c r="AT31" s="4"/>
    </row>
    <row r="32" spans="1:90" s="62" customFormat="1" ht="12.75">
      <c r="A32" s="2"/>
      <c r="B32" s="2"/>
      <c r="C32" s="2" t="s">
        <v>40</v>
      </c>
      <c r="D32" s="205"/>
      <c r="E32" s="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113"/>
      <c r="AJ32" s="113"/>
      <c r="AK32" s="2"/>
      <c r="AL32" s="2"/>
      <c r="AM32" s="89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41</v>
      </c>
    </row>
    <row r="34" spans="1:91" ht="15" customHeight="1">
      <c r="C34" s="2" t="s">
        <v>42</v>
      </c>
    </row>
    <row r="35" spans="1:91" s="205" customFormat="1" ht="15" customHeight="1">
      <c r="A35" s="2"/>
      <c r="B35" s="2"/>
      <c r="C35" s="2" t="s">
        <v>43</v>
      </c>
      <c r="E35" s="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3"/>
      <c r="AI35" s="113"/>
      <c r="AJ35" s="113"/>
      <c r="AK35" s="2"/>
      <c r="AL35" s="2"/>
      <c r="AM35" s="89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5" customFormat="1" ht="15" customHeight="1">
      <c r="A36" s="2"/>
      <c r="B36" s="2"/>
      <c r="C36" s="2" t="s">
        <v>44</v>
      </c>
      <c r="E36" s="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3"/>
      <c r="AI36" s="113"/>
      <c r="AJ36" s="113"/>
      <c r="AK36" s="2"/>
      <c r="AL36" s="2"/>
      <c r="AM36" s="89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5" customFormat="1" ht="15" customHeight="1">
      <c r="A37" s="2"/>
      <c r="B37" s="2"/>
      <c r="C37" s="2" t="s">
        <v>45</v>
      </c>
      <c r="E37" s="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3"/>
      <c r="AI37" s="113"/>
      <c r="AJ37" s="113"/>
      <c r="AK37" s="2"/>
      <c r="AL37" s="2"/>
      <c r="AM37" s="89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5" customFormat="1" ht="15" customHeight="1">
      <c r="A38" s="2"/>
      <c r="B38" s="2"/>
      <c r="C38" s="2" t="s">
        <v>46</v>
      </c>
      <c r="E38" s="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3"/>
      <c r="AI38" s="113"/>
      <c r="AJ38" s="113"/>
      <c r="AK38" s="2"/>
      <c r="AL38" s="2"/>
      <c r="AM38" s="89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5" customFormat="1" ht="15" customHeight="1">
      <c r="A39" s="2"/>
      <c r="B39" s="2"/>
      <c r="C39" s="2" t="s">
        <v>47</v>
      </c>
      <c r="E39" s="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3"/>
      <c r="AI39" s="113"/>
      <c r="AJ39" s="113"/>
      <c r="AK39" s="2"/>
      <c r="AL39" s="2"/>
      <c r="AM39" s="89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5" customFormat="1" ht="15" customHeight="1">
      <c r="A40" s="2"/>
      <c r="B40" s="2"/>
      <c r="C40" s="2" t="s">
        <v>48</v>
      </c>
      <c r="E40" s="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3"/>
      <c r="AI40" s="113"/>
      <c r="AJ40" s="113"/>
      <c r="AK40" s="2"/>
      <c r="AL40" s="2"/>
      <c r="AM40" s="89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S22:AS23"/>
    <mergeCell ref="C14:C15"/>
    <mergeCell ref="D14:D15"/>
    <mergeCell ref="AK14:AK15"/>
    <mergeCell ref="AL14:AL15"/>
    <mergeCell ref="AR14:AR15"/>
    <mergeCell ref="AQ18:AQ19"/>
    <mergeCell ref="AR18:AR19"/>
    <mergeCell ref="AP22:AP23"/>
    <mergeCell ref="AQ22:AQ23"/>
    <mergeCell ref="AR22:AR23"/>
    <mergeCell ref="AS18:AS19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1:A12"/>
    <mergeCell ref="B11:B12"/>
    <mergeCell ref="C11:C12"/>
    <mergeCell ref="D11:D12"/>
    <mergeCell ref="AK11:AK12"/>
    <mergeCell ref="A9:A10"/>
    <mergeCell ref="B9:B10"/>
    <mergeCell ref="AS14:AS1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4:AM15"/>
    <mergeCell ref="AN14:AN15"/>
    <mergeCell ref="AO14:AO15"/>
    <mergeCell ref="AP14:AP15"/>
    <mergeCell ref="AQ14:AQ15"/>
    <mergeCell ref="A14:A15"/>
    <mergeCell ref="B14:B15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:AP12"/>
    <mergeCell ref="AQ11:AQ12"/>
    <mergeCell ref="AR11:AR12"/>
    <mergeCell ref="AS11:AS12"/>
    <mergeCell ref="AM11:AM12"/>
    <mergeCell ref="AN11:AN12"/>
    <mergeCell ref="C9:C10"/>
    <mergeCell ref="D9:D10"/>
    <mergeCell ref="AK9:AK10"/>
    <mergeCell ref="AL11:AL12"/>
    <mergeCell ref="AO11:AO12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Q16:AQ17"/>
    <mergeCell ref="AR16:AR17"/>
    <mergeCell ref="AS16:AS17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</mergeCells>
  <conditionalFormatting sqref="F5:AJ6 F9:AJ12">
    <cfRule type="expression" dxfId="75" priority="33" stopIfTrue="1">
      <formula>IF(WEEKDAY(F$5)=1,TRUE,FALSE)</formula>
    </cfRule>
  </conditionalFormatting>
  <conditionalFormatting sqref="F9:AJ12">
    <cfRule type="expression" dxfId="74" priority="32" stopIfTrue="1">
      <formula>IF(WEEKDAY(F$5)=1,TRUE,FALSE)</formula>
    </cfRule>
  </conditionalFormatting>
  <conditionalFormatting sqref="F20:AJ23">
    <cfRule type="expression" dxfId="73" priority="4" stopIfTrue="1">
      <formula>IF(WEEKDAY(F$5)=1,TRUE,FALSE)</formula>
    </cfRule>
  </conditionalFormatting>
  <conditionalFormatting sqref="F20:AJ23">
    <cfRule type="expression" dxfId="72" priority="3" stopIfTrue="1">
      <formula>IF(WEEKDAY(F$5)=1,TRUE,FALSE)</formula>
    </cfRule>
  </conditionalFormatting>
  <conditionalFormatting sqref="F14:AJ19">
    <cfRule type="expression" dxfId="71" priority="6" stopIfTrue="1">
      <formula>IF(WEEKDAY(F$5)=1,TRUE,FALSE)</formula>
    </cfRule>
  </conditionalFormatting>
  <conditionalFormatting sqref="F14:AJ19">
    <cfRule type="expression" dxfId="70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2"/>
  <sheetViews>
    <sheetView zoomScaleNormal="70" workbookViewId="0">
      <pane xSplit="3" ySplit="8" topLeftCell="G16" activePane="bottomRight" state="frozen"/>
      <selection activeCell="X10" sqref="X10"/>
      <selection pane="topRight" activeCell="X10" sqref="X10"/>
      <selection pane="bottomLeft" activeCell="X10" sqref="X10"/>
      <selection pane="bottomRight" activeCell="A21" activeCellId="1" sqref="A13:D13 A21:D2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209"/>
      <c r="C1" s="209"/>
      <c r="D1" s="269" t="str">
        <f>"BẢNG THANH TOÁN LƯƠNG THÁNG"&amp;" "&amp;TEXT($E$4,"mm")&amp;" / "&amp;TEXT($E$4,"yyyy")</f>
        <v>BẢNG THANH TOÁN LƯƠNG THÁNG 03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209"/>
      <c r="C2" s="209"/>
      <c r="D2" s="209"/>
      <c r="E2" s="70"/>
      <c r="F2" s="209"/>
      <c r="G2" s="209"/>
      <c r="H2" s="209"/>
      <c r="I2" s="209"/>
      <c r="J2" s="71"/>
      <c r="K2" s="209"/>
      <c r="L2" s="209"/>
      <c r="M2" s="209"/>
      <c r="N2" s="209"/>
      <c r="O2" s="209"/>
      <c r="P2" s="209"/>
      <c r="Q2" s="209"/>
      <c r="R2" s="209"/>
      <c r="S2" s="209"/>
      <c r="T2" s="48"/>
      <c r="U2" s="69">
        <f>MAX(F10:F21)</f>
        <v>27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209"/>
      <c r="C3" s="209"/>
      <c r="D3" s="209"/>
      <c r="E3" s="70"/>
      <c r="F3" s="209"/>
      <c r="G3" s="209"/>
      <c r="H3" s="209"/>
      <c r="I3" s="209"/>
      <c r="J3" s="71"/>
      <c r="K3" s="209"/>
      <c r="L3" s="209"/>
      <c r="M3" s="209"/>
      <c r="N3" s="209"/>
      <c r="O3" s="209"/>
      <c r="P3" s="209"/>
      <c r="Q3" s="209"/>
      <c r="R3" s="209"/>
      <c r="S3" s="209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-3'!$E$4</f>
        <v>42430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208" t="s">
        <v>34</v>
      </c>
      <c r="G7" s="206" t="s">
        <v>18</v>
      </c>
      <c r="H7" s="208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-3'!$B$8:$AS$23,36,0)</f>
        <v>27</v>
      </c>
      <c r="G10" s="134">
        <f t="shared" ref="G10" si="3">ROUND(E10/$U$2*F10,0)</f>
        <v>5000000</v>
      </c>
      <c r="H10" s="81">
        <f>(VLOOKUP(B10,'CC -3'!$B$8:$AS$23,37,0)+VLOOKUP(B10,'CC -3'!$B$8:$AS$23,38,0))</f>
        <v>0</v>
      </c>
      <c r="I10" s="134">
        <f t="shared" ref="I10" si="4">ROUND(E10/$U$2*H10,0)</f>
        <v>0</v>
      </c>
      <c r="J10" s="82">
        <f t="shared" ref="J10" si="5">F10+H10</f>
        <v>27</v>
      </c>
      <c r="K10" s="33">
        <f>G10+I10</f>
        <v>5000000</v>
      </c>
      <c r="L10" s="79">
        <f t="shared" ref="L10" si="6">+F10*15000</f>
        <v>405000</v>
      </c>
      <c r="M10" s="34">
        <f t="shared" ref="M10" si="7">K10+L10</f>
        <v>5405000</v>
      </c>
      <c r="N10" s="34">
        <f t="shared" ref="N10:P11" si="8">IF(VLOOKUP($B10,DS,13,0)="x",$E10*N$4,0)</f>
        <v>0</v>
      </c>
      <c r="O10" s="34">
        <f t="shared" si="8"/>
        <v>0</v>
      </c>
      <c r="P10" s="34">
        <f t="shared" si="8"/>
        <v>0</v>
      </c>
      <c r="Q10" s="33">
        <f t="shared" ref="Q10" si="9">M10-SUM(N10:P10)</f>
        <v>5405000</v>
      </c>
      <c r="R10" s="33">
        <f>VLOOKUP(B10,DS,23,0)</f>
        <v>0</v>
      </c>
      <c r="S10" s="39">
        <f t="shared" ref="S10" si="10">Q10-R10</f>
        <v>5405000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32">
        <v>2</v>
      </c>
      <c r="B11" s="130" t="s">
        <v>75</v>
      </c>
      <c r="C11" s="78" t="str">
        <f t="shared" ref="C11" si="11">VLOOKUP(B11,DS,2,0)</f>
        <v>Đinh Hoàng Lợi</v>
      </c>
      <c r="D11" s="105" t="str">
        <f t="shared" ref="D11" si="12">VLOOKUP(B11,DS,3,0)</f>
        <v>Tài xế</v>
      </c>
      <c r="E11" s="79">
        <f t="shared" ref="E11" si="13">VLOOKUP(B11,DS,4,0)</f>
        <v>5000000</v>
      </c>
      <c r="F11" s="81">
        <f>VLOOKUP(B11,'CC -3'!$B$8:$AS$23,36,0)</f>
        <v>27</v>
      </c>
      <c r="G11" s="134">
        <f t="shared" ref="G11" si="14">ROUND(E11/$U$2*F11,0)</f>
        <v>5000000</v>
      </c>
      <c r="H11" s="81">
        <f>(VLOOKUP(B11,'CC -3'!$B$8:$AS$23,37,0)+VLOOKUP(B11,'CC -3'!$B$8:$AS$23,38,0))</f>
        <v>0</v>
      </c>
      <c r="I11" s="134">
        <f t="shared" ref="I11" si="15">ROUND(E11/$U$2*H11,0)</f>
        <v>0</v>
      </c>
      <c r="J11" s="82">
        <f t="shared" ref="J11" si="16">F11+H11</f>
        <v>27</v>
      </c>
      <c r="K11" s="33">
        <f t="shared" ref="K11" si="17">G11+I11</f>
        <v>5000000</v>
      </c>
      <c r="L11" s="79">
        <f t="shared" ref="L11" si="18">+F11*15000</f>
        <v>405000</v>
      </c>
      <c r="M11" s="34">
        <f t="shared" ref="M11" si="19">K11+L11</f>
        <v>5405000</v>
      </c>
      <c r="N11" s="34">
        <f t="shared" si="8"/>
        <v>0</v>
      </c>
      <c r="O11" s="34">
        <f t="shared" si="8"/>
        <v>0</v>
      </c>
      <c r="P11" s="34">
        <f t="shared" si="8"/>
        <v>0</v>
      </c>
      <c r="Q11" s="33">
        <f t="shared" ref="Q11" si="20">M11-SUM(N11:P11)</f>
        <v>5405000</v>
      </c>
      <c r="R11" s="33">
        <f>VLOOKUP(B11,DS,23,0)</f>
        <v>0</v>
      </c>
      <c r="S11" s="39">
        <f t="shared" ref="S11" si="21">Q11-R11</f>
        <v>5405000</v>
      </c>
      <c r="T11" s="33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30" customFormat="1" ht="24" customHeight="1">
      <c r="A12" s="32"/>
      <c r="B12" s="130"/>
      <c r="C12" s="78"/>
      <c r="D12" s="105"/>
      <c r="E12" s="79"/>
      <c r="F12" s="81"/>
      <c r="G12" s="134"/>
      <c r="H12" s="81"/>
      <c r="I12" s="134"/>
      <c r="J12" s="82"/>
      <c r="K12" s="33"/>
      <c r="L12" s="79"/>
      <c r="M12" s="34"/>
      <c r="N12" s="34"/>
      <c r="O12" s="34"/>
      <c r="P12" s="34"/>
      <c r="Q12" s="33"/>
      <c r="R12" s="33"/>
      <c r="S12" s="39"/>
      <c r="T12" s="197"/>
      <c r="U12" s="93"/>
      <c r="V12" s="31"/>
      <c r="W12" s="23"/>
      <c r="X12" s="5"/>
      <c r="Y12" s="5"/>
      <c r="Z12" s="5"/>
      <c r="AA12" s="4"/>
      <c r="AB12" s="4"/>
      <c r="AC12" s="4"/>
      <c r="AD12" s="4"/>
      <c r="AE12" s="4"/>
    </row>
    <row r="13" spans="1:31" s="26" customFormat="1" ht="21" customHeight="1">
      <c r="A13" s="225" t="s">
        <v>23</v>
      </c>
      <c r="B13" s="226"/>
      <c r="C13" s="226"/>
      <c r="D13" s="227"/>
      <c r="E13" s="129">
        <f>SUM(E9:E11)</f>
        <v>10000000</v>
      </c>
      <c r="F13" s="129"/>
      <c r="G13" s="129">
        <f>SUM(G9:G11)</f>
        <v>10000000</v>
      </c>
      <c r="H13" s="129"/>
      <c r="I13" s="129">
        <f>SUM(I9:I11)</f>
        <v>0</v>
      </c>
      <c r="J13" s="129"/>
      <c r="K13" s="129">
        <f t="shared" ref="K13:S13" si="22">SUM(K9:K11)</f>
        <v>10000000</v>
      </c>
      <c r="L13" s="129">
        <f t="shared" si="22"/>
        <v>810000</v>
      </c>
      <c r="M13" s="129">
        <f t="shared" si="22"/>
        <v>10810000</v>
      </c>
      <c r="N13" s="129">
        <f t="shared" si="22"/>
        <v>0</v>
      </c>
      <c r="O13" s="129">
        <f t="shared" si="22"/>
        <v>0</v>
      </c>
      <c r="P13" s="129">
        <f t="shared" si="22"/>
        <v>0</v>
      </c>
      <c r="Q13" s="129">
        <f t="shared" si="22"/>
        <v>10810000</v>
      </c>
      <c r="R13" s="129">
        <f t="shared" si="22"/>
        <v>0</v>
      </c>
      <c r="S13" s="129">
        <f t="shared" si="22"/>
        <v>10810000</v>
      </c>
      <c r="T13" s="21"/>
      <c r="U13" s="93"/>
      <c r="V13" s="27"/>
      <c r="W13" s="27"/>
      <c r="X13" s="27"/>
      <c r="Y13" s="27"/>
      <c r="Z13" s="27"/>
    </row>
    <row r="14" spans="1:31" s="74" customFormat="1" ht="24" customHeight="1">
      <c r="A14" s="176" t="s">
        <v>69</v>
      </c>
      <c r="B14" s="175" t="s">
        <v>70</v>
      </c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93"/>
      <c r="V14" s="75"/>
      <c r="W14" s="75"/>
      <c r="X14" s="76"/>
      <c r="Y14" s="76"/>
      <c r="Z14" s="76"/>
      <c r="AA14" s="77"/>
      <c r="AB14" s="77"/>
      <c r="AC14" s="77"/>
      <c r="AD14" s="77"/>
      <c r="AE14" s="77"/>
    </row>
    <row r="15" spans="1:31" s="30" customFormat="1" ht="24" customHeight="1">
      <c r="A15" s="32">
        <v>1</v>
      </c>
      <c r="B15" s="130" t="s">
        <v>76</v>
      </c>
      <c r="C15" s="78" t="str">
        <f t="shared" ref="C15" si="23">VLOOKUP(B15,DS,2,0)</f>
        <v>Bùi Trường Giang</v>
      </c>
      <c r="D15" s="105" t="str">
        <f t="shared" ref="D15" si="24">VLOOKUP(B15,DS,3,0)</f>
        <v>Thợ in</v>
      </c>
      <c r="E15" s="79">
        <f t="shared" ref="E15" si="25">VLOOKUP(B15,DS,4,0)</f>
        <v>5000000</v>
      </c>
      <c r="F15" s="81">
        <f>VLOOKUP(B15,'CC -3'!$B$8:$AS$23,36,0)</f>
        <v>27</v>
      </c>
      <c r="G15" s="134">
        <f t="shared" ref="G15" si="26">ROUND(E15/$U$2*F15,0)</f>
        <v>5000000</v>
      </c>
      <c r="H15" s="81">
        <f>(VLOOKUP(B15,'CC -3'!$B$8:$AS$23,37,0)+VLOOKUP(B15,'CC -3'!$B$8:$AS$23,38,0))</f>
        <v>0</v>
      </c>
      <c r="I15" s="134">
        <f t="shared" ref="I15" si="27">ROUND(E15/$U$2*H15,0)</f>
        <v>0</v>
      </c>
      <c r="J15" s="135">
        <f t="shared" ref="J15:K15" si="28">F15+H15</f>
        <v>27</v>
      </c>
      <c r="K15" s="33">
        <f t="shared" si="28"/>
        <v>5000000</v>
      </c>
      <c r="L15" s="79">
        <f t="shared" ref="L15" si="29">+F15*15000</f>
        <v>405000</v>
      </c>
      <c r="M15" s="34">
        <f t="shared" ref="M15" si="30">K15+L15</f>
        <v>5405000</v>
      </c>
      <c r="N15" s="34">
        <f t="shared" ref="N15:P19" si="31">IF(VLOOKUP($B15,DS,13,0)="x",$E15*N$4,0)</f>
        <v>0</v>
      </c>
      <c r="O15" s="34">
        <f t="shared" si="31"/>
        <v>0</v>
      </c>
      <c r="P15" s="34">
        <f t="shared" si="31"/>
        <v>0</v>
      </c>
      <c r="Q15" s="33">
        <f>M15-SUM(N15:P15)</f>
        <v>5405000</v>
      </c>
      <c r="R15" s="33">
        <f t="shared" ref="R15" si="32">VLOOKUP(B15,DS,23,0)</f>
        <v>0</v>
      </c>
      <c r="S15" s="39">
        <f>Q15-R15</f>
        <v>5405000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2</v>
      </c>
      <c r="B16" s="130" t="s">
        <v>77</v>
      </c>
      <c r="C16" s="78" t="str">
        <f t="shared" ref="C16:C19" si="33">VLOOKUP(B16,DS,2,0)</f>
        <v>Lý Thanh Hải</v>
      </c>
      <c r="D16" s="105" t="str">
        <f t="shared" ref="D16:D19" si="34">VLOOKUP(B16,DS,3,0)</f>
        <v>Công Đoạn 1</v>
      </c>
      <c r="E16" s="79">
        <f t="shared" ref="E16:E19" si="35">VLOOKUP(B16,DS,4,0)</f>
        <v>5000000</v>
      </c>
      <c r="F16" s="81">
        <f>VLOOKUP(B16,'CC -3'!$B$8:$AS$23,36,0)</f>
        <v>27</v>
      </c>
      <c r="G16" s="134">
        <f t="shared" ref="G16:G19" si="36">ROUND(E16/$U$2*F16,0)</f>
        <v>5000000</v>
      </c>
      <c r="H16" s="81">
        <f>(VLOOKUP(B16,'CC -3'!$B$8:$AS$23,37,0)+VLOOKUP(B16,'CC -3'!$B$8:$AS$23,38,0))</f>
        <v>0</v>
      </c>
      <c r="I16" s="134">
        <f t="shared" ref="I16:I19" si="37">ROUND(E16/$U$2*H16,0)</f>
        <v>0</v>
      </c>
      <c r="J16" s="135">
        <f t="shared" ref="J16:J19" si="38">F16+H16</f>
        <v>27</v>
      </c>
      <c r="K16" s="33">
        <f t="shared" ref="K16:K19" si="39">G16+I16</f>
        <v>5000000</v>
      </c>
      <c r="L16" s="79">
        <f t="shared" ref="L16:L19" si="40">+F16*15000</f>
        <v>405000</v>
      </c>
      <c r="M16" s="34">
        <f t="shared" ref="M16:M19" si="41">K16+L16</f>
        <v>5405000</v>
      </c>
      <c r="N16" s="34">
        <f t="shared" si="31"/>
        <v>0</v>
      </c>
      <c r="O16" s="34">
        <f t="shared" si="31"/>
        <v>0</v>
      </c>
      <c r="P16" s="34">
        <f t="shared" si="31"/>
        <v>0</v>
      </c>
      <c r="Q16" s="33">
        <f t="shared" ref="Q16:Q19" si="42">M16-SUM(N16:P16)</f>
        <v>5405000</v>
      </c>
      <c r="R16" s="33">
        <f t="shared" ref="R16:R19" si="43">VLOOKUP(B16,DS,23,0)</f>
        <v>0</v>
      </c>
      <c r="S16" s="39">
        <f t="shared" ref="S16:S19" si="44">Q16-R16</f>
        <v>5405000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31" s="30" customFormat="1" ht="24" customHeight="1">
      <c r="A17" s="32">
        <v>3</v>
      </c>
      <c r="B17" s="130" t="s">
        <v>78</v>
      </c>
      <c r="C17" s="78" t="str">
        <f t="shared" si="33"/>
        <v>Cao Minh Chí</v>
      </c>
      <c r="D17" s="105" t="str">
        <f t="shared" si="34"/>
        <v>Công Đoạn 1</v>
      </c>
      <c r="E17" s="79">
        <f t="shared" si="35"/>
        <v>4200000</v>
      </c>
      <c r="F17" s="81">
        <f>VLOOKUP(B17,'CC -3'!$B$8:$AS$23,36,0)</f>
        <v>27</v>
      </c>
      <c r="G17" s="134">
        <f t="shared" si="36"/>
        <v>4200000</v>
      </c>
      <c r="H17" s="81">
        <f>(VLOOKUP(B17,'CC -3'!$B$8:$AS$23,37,0)+VLOOKUP(B17,'CC -3'!$B$8:$AS$23,38,0))</f>
        <v>0</v>
      </c>
      <c r="I17" s="134">
        <f t="shared" si="37"/>
        <v>0</v>
      </c>
      <c r="J17" s="135">
        <f t="shared" si="38"/>
        <v>27</v>
      </c>
      <c r="K17" s="33">
        <f t="shared" si="39"/>
        <v>4200000</v>
      </c>
      <c r="L17" s="79">
        <f t="shared" si="40"/>
        <v>405000</v>
      </c>
      <c r="M17" s="34">
        <f t="shared" si="41"/>
        <v>4605000</v>
      </c>
      <c r="N17" s="34">
        <f t="shared" si="31"/>
        <v>0</v>
      </c>
      <c r="O17" s="34">
        <f t="shared" si="31"/>
        <v>0</v>
      </c>
      <c r="P17" s="34">
        <f t="shared" si="31"/>
        <v>0</v>
      </c>
      <c r="Q17" s="33">
        <f t="shared" si="42"/>
        <v>4605000</v>
      </c>
      <c r="R17" s="33">
        <f t="shared" si="43"/>
        <v>0</v>
      </c>
      <c r="S17" s="39">
        <f t="shared" si="44"/>
        <v>4605000</v>
      </c>
      <c r="T17" s="33"/>
      <c r="U17" s="93"/>
      <c r="V17" s="31"/>
      <c r="W17" s="23"/>
      <c r="X17" s="5"/>
      <c r="Y17" s="5"/>
      <c r="Z17" s="5"/>
      <c r="AA17" s="4"/>
      <c r="AB17" s="4"/>
      <c r="AC17" s="4"/>
      <c r="AD17" s="4"/>
      <c r="AE17" s="4"/>
    </row>
    <row r="18" spans="1:31" s="30" customFormat="1" ht="24" customHeight="1">
      <c r="A18" s="32">
        <v>4</v>
      </c>
      <c r="B18" s="130" t="s">
        <v>84</v>
      </c>
      <c r="C18" s="78" t="str">
        <f t="shared" si="33"/>
        <v>Lê Văn Hữu</v>
      </c>
      <c r="D18" s="105" t="str">
        <f t="shared" si="34"/>
        <v>Công Đoạn 2</v>
      </c>
      <c r="E18" s="79">
        <f t="shared" si="35"/>
        <v>5000000</v>
      </c>
      <c r="F18" s="81">
        <f>VLOOKUP(B18,'CC -3'!$B$8:$AS$23,36,0)</f>
        <v>27</v>
      </c>
      <c r="G18" s="134">
        <f t="shared" si="36"/>
        <v>5000000</v>
      </c>
      <c r="H18" s="81">
        <f>(VLOOKUP(B18,'CC -3'!$B$8:$AS$23,37,0)+VLOOKUP(B18,'CC -3'!$B$8:$AS$23,38,0))</f>
        <v>0</v>
      </c>
      <c r="I18" s="134">
        <f t="shared" si="37"/>
        <v>0</v>
      </c>
      <c r="J18" s="135">
        <f t="shared" si="38"/>
        <v>27</v>
      </c>
      <c r="K18" s="33">
        <f t="shared" si="39"/>
        <v>5000000</v>
      </c>
      <c r="L18" s="79">
        <f t="shared" si="40"/>
        <v>405000</v>
      </c>
      <c r="M18" s="34">
        <f t="shared" si="41"/>
        <v>5405000</v>
      </c>
      <c r="N18" s="34">
        <f t="shared" si="31"/>
        <v>0</v>
      </c>
      <c r="O18" s="34">
        <f t="shared" si="31"/>
        <v>0</v>
      </c>
      <c r="P18" s="34">
        <f t="shared" si="31"/>
        <v>0</v>
      </c>
      <c r="Q18" s="33">
        <f t="shared" si="42"/>
        <v>5405000</v>
      </c>
      <c r="R18" s="33">
        <f t="shared" si="43"/>
        <v>0</v>
      </c>
      <c r="S18" s="39">
        <f t="shared" si="44"/>
        <v>5405000</v>
      </c>
      <c r="T18" s="33"/>
      <c r="U18" s="93"/>
      <c r="V18" s="31"/>
      <c r="W18" s="23"/>
      <c r="X18" s="5"/>
      <c r="Y18" s="5"/>
      <c r="Z18" s="5"/>
      <c r="AA18" s="4"/>
      <c r="AB18" s="4"/>
      <c r="AC18" s="4"/>
      <c r="AD18" s="4"/>
      <c r="AE18" s="4"/>
    </row>
    <row r="19" spans="1:31" s="30" customFormat="1" ht="24" customHeight="1">
      <c r="A19" s="32">
        <v>5</v>
      </c>
      <c r="B19" s="130" t="s">
        <v>85</v>
      </c>
      <c r="C19" s="78" t="str">
        <f t="shared" si="33"/>
        <v>Nguyễn Thị Sự</v>
      </c>
      <c r="D19" s="105" t="str">
        <f t="shared" si="34"/>
        <v>Công Đoạn 2</v>
      </c>
      <c r="E19" s="79">
        <f t="shared" si="35"/>
        <v>4200000</v>
      </c>
      <c r="F19" s="81">
        <f>VLOOKUP(B19,'CC -3'!$B$8:$AS$23,36,0)</f>
        <v>27</v>
      </c>
      <c r="G19" s="134">
        <f t="shared" si="36"/>
        <v>4200000</v>
      </c>
      <c r="H19" s="81">
        <f>(VLOOKUP(B19,'CC -3'!$B$8:$AS$23,37,0)+VLOOKUP(B19,'CC -3'!$B$8:$AS$23,38,0))</f>
        <v>0</v>
      </c>
      <c r="I19" s="134">
        <f t="shared" si="37"/>
        <v>0</v>
      </c>
      <c r="J19" s="135">
        <f t="shared" si="38"/>
        <v>27</v>
      </c>
      <c r="K19" s="33">
        <f t="shared" si="39"/>
        <v>4200000</v>
      </c>
      <c r="L19" s="79">
        <f t="shared" si="40"/>
        <v>405000</v>
      </c>
      <c r="M19" s="34">
        <f t="shared" si="41"/>
        <v>4605000</v>
      </c>
      <c r="N19" s="34">
        <f t="shared" si="31"/>
        <v>0</v>
      </c>
      <c r="O19" s="34">
        <f t="shared" si="31"/>
        <v>0</v>
      </c>
      <c r="P19" s="34">
        <f t="shared" si="31"/>
        <v>0</v>
      </c>
      <c r="Q19" s="33">
        <f t="shared" si="42"/>
        <v>4605000</v>
      </c>
      <c r="R19" s="33">
        <f t="shared" si="43"/>
        <v>0</v>
      </c>
      <c r="S19" s="39">
        <f t="shared" si="44"/>
        <v>4605000</v>
      </c>
      <c r="T19" s="33"/>
      <c r="U19" s="93"/>
      <c r="V19" s="31"/>
      <c r="W19" s="23"/>
      <c r="X19" s="5"/>
      <c r="Y19" s="5"/>
      <c r="Z19" s="5"/>
      <c r="AA19" s="4"/>
      <c r="AB19" s="4"/>
      <c r="AC19" s="4"/>
      <c r="AD19" s="4"/>
      <c r="AE19" s="4"/>
    </row>
    <row r="20" spans="1:31" s="30" customFormat="1" ht="22.5" customHeight="1">
      <c r="A20" s="35"/>
      <c r="B20" s="173"/>
      <c r="C20" s="36"/>
      <c r="D20" s="3"/>
      <c r="E20" s="37"/>
      <c r="F20" s="37"/>
      <c r="G20" s="37"/>
      <c r="H20" s="37"/>
      <c r="I20" s="37"/>
      <c r="J20" s="38"/>
      <c r="K20" s="37"/>
      <c r="L20" s="37"/>
      <c r="M20" s="172"/>
      <c r="N20" s="37"/>
      <c r="O20" s="37"/>
      <c r="P20" s="37"/>
      <c r="Q20" s="37"/>
      <c r="R20" s="37"/>
      <c r="S20" s="37"/>
      <c r="T20" s="33"/>
      <c r="U20" s="93"/>
      <c r="V20" s="31"/>
      <c r="W20" s="31"/>
      <c r="X20" s="31"/>
      <c r="Y20" s="31"/>
      <c r="Z20" s="31"/>
    </row>
    <row r="21" spans="1:31" s="26" customFormat="1" ht="21" customHeight="1">
      <c r="A21" s="225" t="s">
        <v>23</v>
      </c>
      <c r="B21" s="226"/>
      <c r="C21" s="226"/>
      <c r="D21" s="227"/>
      <c r="E21" s="129">
        <f>SUM(E14:E20)</f>
        <v>23400000</v>
      </c>
      <c r="F21" s="129"/>
      <c r="G21" s="129">
        <f>SUM(G14:G20)</f>
        <v>23400000</v>
      </c>
      <c r="H21" s="129"/>
      <c r="I21" s="129">
        <f>SUM(I14:I20)</f>
        <v>0</v>
      </c>
      <c r="J21" s="129"/>
      <c r="K21" s="129">
        <f t="shared" ref="K21:S21" si="45">SUM(K14:K20)</f>
        <v>23400000</v>
      </c>
      <c r="L21" s="129">
        <f t="shared" si="45"/>
        <v>2025000</v>
      </c>
      <c r="M21" s="129">
        <f t="shared" si="45"/>
        <v>25425000</v>
      </c>
      <c r="N21" s="129">
        <f t="shared" si="45"/>
        <v>0</v>
      </c>
      <c r="O21" s="129">
        <f t="shared" si="45"/>
        <v>0</v>
      </c>
      <c r="P21" s="129">
        <f t="shared" si="45"/>
        <v>0</v>
      </c>
      <c r="Q21" s="129">
        <f t="shared" si="45"/>
        <v>25425000</v>
      </c>
      <c r="R21" s="129">
        <f t="shared" si="45"/>
        <v>0</v>
      </c>
      <c r="S21" s="129">
        <f t="shared" si="45"/>
        <v>25425000</v>
      </c>
      <c r="T21" s="21"/>
      <c r="U21" s="93"/>
      <c r="V21" s="27"/>
      <c r="W21" s="27"/>
      <c r="X21" s="27"/>
      <c r="Y21" s="27"/>
      <c r="Z21" s="27"/>
    </row>
    <row r="22" spans="1:31" ht="11.25" customHeight="1">
      <c r="A22" s="8"/>
      <c r="B22" s="8"/>
      <c r="C22" s="9"/>
      <c r="D22" s="106"/>
      <c r="E22" s="83"/>
      <c r="F22" s="9"/>
      <c r="G22" s="9"/>
      <c r="H22" s="9"/>
      <c r="I22" s="9"/>
      <c r="K22" s="9"/>
      <c r="L22" s="9"/>
      <c r="M22" s="91"/>
      <c r="N22" s="9"/>
      <c r="O22" s="9"/>
      <c r="P22" s="9"/>
      <c r="Q22" s="9"/>
      <c r="R22" s="9"/>
      <c r="S22" s="9"/>
      <c r="T22" s="9"/>
      <c r="U22" s="93"/>
    </row>
    <row r="23" spans="1:31" s="30" customFormat="1" ht="11.25" customHeight="1">
      <c r="A23" s="67"/>
      <c r="B23" s="67"/>
      <c r="C23" s="67"/>
      <c r="D23" s="122"/>
      <c r="E23" s="123"/>
      <c r="F23" s="67"/>
      <c r="G23" s="67"/>
      <c r="H23" s="67"/>
      <c r="I23" s="67"/>
      <c r="J23" s="124"/>
      <c r="K23" s="123"/>
      <c r="L23" s="67"/>
      <c r="M23" s="67"/>
      <c r="N23" s="67"/>
      <c r="O23" s="67"/>
      <c r="P23" s="67"/>
      <c r="Q23" s="67"/>
      <c r="R23" s="67"/>
      <c r="S23" s="97" t="str">
        <f>"Bình Chánh, ngày  "&amp;$V$2&amp;"   tháng   "&amp;TEXT(E4,"mm")&amp;"   năm "&amp;TEXT(E4,"yyyy")</f>
        <v>Bình Chánh, ngày  31   tháng   03   năm 2016</v>
      </c>
      <c r="T23" s="67"/>
      <c r="U23" s="125"/>
      <c r="V23" s="31"/>
      <c r="W23" s="31"/>
      <c r="X23" s="31"/>
      <c r="Y23" s="31"/>
      <c r="Z23" s="31"/>
    </row>
    <row r="24" spans="1:31" s="30" customFormat="1" ht="12.75">
      <c r="A24" s="24"/>
      <c r="B24" s="24"/>
      <c r="C24" s="24" t="s">
        <v>53</v>
      </c>
      <c r="D24" s="126"/>
      <c r="E24" s="68"/>
      <c r="F24" s="125"/>
      <c r="G24" s="68"/>
      <c r="H24" s="68"/>
      <c r="I24" s="68"/>
      <c r="J24" s="127"/>
      <c r="K24" s="31"/>
      <c r="L24" s="24"/>
      <c r="M24" s="136"/>
      <c r="N24" s="20"/>
      <c r="O24" s="20"/>
      <c r="P24" s="20"/>
      <c r="Q24" s="20"/>
      <c r="S24" s="125" t="s">
        <v>21</v>
      </c>
      <c r="T24" s="125"/>
      <c r="U24" s="125"/>
      <c r="V24" s="31"/>
      <c r="W24" s="31"/>
      <c r="X24" s="31"/>
      <c r="Y24" s="31"/>
      <c r="Z24" s="31"/>
    </row>
    <row r="25" spans="1:31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N25" s="11"/>
      <c r="O25" s="11"/>
      <c r="P25" s="11"/>
      <c r="Q25" s="11"/>
      <c r="S25" s="11"/>
      <c r="T25" s="12"/>
      <c r="U25" s="93"/>
    </row>
    <row r="26" spans="1:31" ht="12">
      <c r="C26" s="15"/>
      <c r="L26" s="15"/>
      <c r="T26" s="15"/>
      <c r="U26" s="93"/>
    </row>
    <row r="27" spans="1:31" ht="12">
      <c r="U27" s="93"/>
    </row>
    <row r="28" spans="1:31" ht="12">
      <c r="U28" s="93"/>
    </row>
    <row r="29" spans="1:31" ht="12">
      <c r="U29" s="93"/>
    </row>
    <row r="30" spans="1:31" ht="12">
      <c r="U30" s="93"/>
    </row>
    <row r="31" spans="1:31" ht="12">
      <c r="U31" s="93"/>
    </row>
    <row r="32" spans="1:31" ht="12">
      <c r="U32" s="93"/>
    </row>
  </sheetData>
  <protectedRanges>
    <protectedRange password="CC78" sqref="V20:IK21 C5:D7 B24:C24 V5:W9 A20:A25 B20:B23 B25 V14:W14 Q5:T7 E5:I6 N5:P6 L5 L24 J6:K7 L7 A27:T60 U33:U60 N20:S20 V27:IK60 J20:L20 A61:IK65328 AF14:IK14 V13:IK13 D13:T13 D21:T21 Q10:S12 A10:B13 AF5:IK12 W10:W12" name="Range1"/>
    <protectedRange password="CC78" sqref="F7:H7" name="Range1_4"/>
    <protectedRange password="CC78" sqref="V24:IK25 S24:T25 N24:Q25 E24:I25" name="Range1_1_1"/>
    <protectedRange password="CC78" sqref="U1 W1:IK3 V4:IK4 B4:T4 R2:S3 B1:Q3 U20:U32 X14:AE14 X5:AE12 U4:U14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9 W15:W19 A15:B19 AF15:IK19" name="Range1_5"/>
    <protectedRange password="CC78" sqref="U15:U19 X15:AE19" name="Range1_2_3"/>
    <protectedRange password="CC78" sqref="V15:V19" name="Range1_1_3"/>
    <protectedRange password="CC78" sqref="K15:K19 K10:K12" name="Range1_6"/>
    <protectedRange password="CC78" sqref="A2:A3" name="Range1_2_1_3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3" sqref="G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5" customWidth="1"/>
    <col min="5" max="5" width="7.140625" style="2" customWidth="1"/>
    <col min="6" max="33" width="3.42578125" style="112" customWidth="1"/>
    <col min="34" max="35" width="3.42578125" style="113" customWidth="1"/>
    <col min="36" max="37" width="4.42578125" style="2" customWidth="1"/>
    <col min="38" max="38" width="5.5703125" style="89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04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44"/>
      <c r="AK1" s="44"/>
      <c r="AL1" s="257" t="s">
        <v>81</v>
      </c>
      <c r="AM1" s="258"/>
      <c r="AN1" s="258"/>
      <c r="AO1" s="258"/>
      <c r="AP1" s="258"/>
      <c r="AQ1" s="258"/>
      <c r="AR1" s="259"/>
      <c r="AS1" s="46"/>
    </row>
    <row r="2" spans="1:90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44"/>
      <c r="AK2" s="44"/>
      <c r="AL2" s="85"/>
      <c r="AM2" s="48"/>
      <c r="AN2" s="48"/>
      <c r="AO2" s="48"/>
      <c r="AP2" s="48"/>
      <c r="AQ2" s="48"/>
      <c r="AR2" s="84"/>
      <c r="AS2" s="84"/>
    </row>
    <row r="3" spans="1:90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44"/>
      <c r="AK3" s="44"/>
      <c r="AL3" s="85"/>
      <c r="AM3" s="46"/>
      <c r="AN3" s="46"/>
      <c r="AO3" s="46"/>
      <c r="AP3" s="46"/>
      <c r="AQ3" s="46"/>
      <c r="AR3" s="51"/>
      <c r="AS3" s="51"/>
    </row>
    <row r="4" spans="1:90" ht="14.25" customHeight="1">
      <c r="A4" s="52"/>
      <c r="B4" s="52"/>
      <c r="C4" s="144"/>
      <c r="D4" s="143"/>
      <c r="E4" s="53">
        <v>42461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2"/>
      <c r="AK4" s="52"/>
      <c r="AL4" s="86"/>
      <c r="AM4" s="52"/>
      <c r="AN4" s="52"/>
      <c r="AO4" s="52"/>
      <c r="AP4" s="52"/>
      <c r="AQ4" s="52"/>
      <c r="AR4" s="52"/>
      <c r="AS4" s="90"/>
    </row>
    <row r="5" spans="1:90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42461</v>
      </c>
      <c r="G5" s="107">
        <f t="shared" ref="G5:AI5" si="0">F5+1</f>
        <v>42462</v>
      </c>
      <c r="H5" s="107">
        <f t="shared" si="0"/>
        <v>42463</v>
      </c>
      <c r="I5" s="107">
        <f t="shared" si="0"/>
        <v>42464</v>
      </c>
      <c r="J5" s="107">
        <f t="shared" si="0"/>
        <v>42465</v>
      </c>
      <c r="K5" s="107">
        <f t="shared" si="0"/>
        <v>42466</v>
      </c>
      <c r="L5" s="107">
        <f t="shared" si="0"/>
        <v>42467</v>
      </c>
      <c r="M5" s="107">
        <f t="shared" si="0"/>
        <v>42468</v>
      </c>
      <c r="N5" s="107">
        <f t="shared" si="0"/>
        <v>42469</v>
      </c>
      <c r="O5" s="107">
        <f t="shared" si="0"/>
        <v>42470</v>
      </c>
      <c r="P5" s="107">
        <f t="shared" si="0"/>
        <v>42471</v>
      </c>
      <c r="Q5" s="107">
        <f t="shared" si="0"/>
        <v>42472</v>
      </c>
      <c r="R5" s="107">
        <f t="shared" si="0"/>
        <v>42473</v>
      </c>
      <c r="S5" s="107">
        <f t="shared" si="0"/>
        <v>42474</v>
      </c>
      <c r="T5" s="107">
        <f t="shared" si="0"/>
        <v>42475</v>
      </c>
      <c r="U5" s="107">
        <f t="shared" si="0"/>
        <v>42476</v>
      </c>
      <c r="V5" s="107">
        <f t="shared" si="0"/>
        <v>42477</v>
      </c>
      <c r="W5" s="107">
        <f t="shared" si="0"/>
        <v>42478</v>
      </c>
      <c r="X5" s="107">
        <f t="shared" si="0"/>
        <v>42479</v>
      </c>
      <c r="Y5" s="107">
        <f t="shared" si="0"/>
        <v>42480</v>
      </c>
      <c r="Z5" s="107">
        <f t="shared" si="0"/>
        <v>42481</v>
      </c>
      <c r="AA5" s="107">
        <f t="shared" si="0"/>
        <v>42482</v>
      </c>
      <c r="AB5" s="107">
        <f t="shared" si="0"/>
        <v>42483</v>
      </c>
      <c r="AC5" s="107">
        <f t="shared" si="0"/>
        <v>42484</v>
      </c>
      <c r="AD5" s="107">
        <f t="shared" si="0"/>
        <v>42485</v>
      </c>
      <c r="AE5" s="107">
        <f t="shared" si="0"/>
        <v>42486</v>
      </c>
      <c r="AF5" s="107">
        <f t="shared" si="0"/>
        <v>42487</v>
      </c>
      <c r="AG5" s="107">
        <f t="shared" si="0"/>
        <v>42488</v>
      </c>
      <c r="AH5" s="107">
        <f>AG5+1</f>
        <v>42489</v>
      </c>
      <c r="AI5" s="107">
        <f t="shared" si="0"/>
        <v>42490</v>
      </c>
      <c r="AJ5" s="263" t="s">
        <v>15</v>
      </c>
      <c r="AK5" s="264"/>
      <c r="AL5" s="265"/>
      <c r="AM5" s="266" t="s">
        <v>39</v>
      </c>
      <c r="AN5" s="266" t="s">
        <v>35</v>
      </c>
      <c r="AO5" s="266" t="s">
        <v>36</v>
      </c>
      <c r="AP5" s="266" t="s">
        <v>37</v>
      </c>
      <c r="AQ5" s="266" t="s">
        <v>38</v>
      </c>
      <c r="AR5" s="262" t="s">
        <v>0</v>
      </c>
      <c r="AS5" s="268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T.Sáu</v>
      </c>
      <c r="G6" s="162" t="str">
        <f t="shared" ref="G6:AI6" si="1">CHOOSE(WEEKDAY(G5),"C.Nhật","T.Hai","T.Ba","T.Tư","T.Năm","T.Sáu","T.Bảy")</f>
        <v>T.Bảy</v>
      </c>
      <c r="H6" s="162" t="str">
        <f t="shared" si="1"/>
        <v>C.Nhật</v>
      </c>
      <c r="I6" s="162" t="str">
        <f t="shared" si="1"/>
        <v>T.Hai</v>
      </c>
      <c r="J6" s="162" t="str">
        <f t="shared" si="1"/>
        <v>T.Ba</v>
      </c>
      <c r="K6" s="162" t="str">
        <f t="shared" si="1"/>
        <v>T.Tư</v>
      </c>
      <c r="L6" s="162" t="str">
        <f t="shared" si="1"/>
        <v>T.Năm</v>
      </c>
      <c r="M6" s="162" t="str">
        <f t="shared" si="1"/>
        <v>T.Sáu</v>
      </c>
      <c r="N6" s="162" t="str">
        <f t="shared" si="1"/>
        <v>T.Bảy</v>
      </c>
      <c r="O6" s="162" t="str">
        <f t="shared" si="1"/>
        <v>C.Nhật</v>
      </c>
      <c r="P6" s="162" t="str">
        <f t="shared" si="1"/>
        <v>T.Hai</v>
      </c>
      <c r="Q6" s="162" t="str">
        <f t="shared" si="1"/>
        <v>T.Ba</v>
      </c>
      <c r="R6" s="162" t="str">
        <f t="shared" si="1"/>
        <v>T.Tư</v>
      </c>
      <c r="S6" s="162" t="str">
        <f t="shared" si="1"/>
        <v>T.Năm</v>
      </c>
      <c r="T6" s="162" t="str">
        <f t="shared" si="1"/>
        <v>T.Sáu</v>
      </c>
      <c r="U6" s="162" t="str">
        <f t="shared" si="1"/>
        <v>T.Bảy</v>
      </c>
      <c r="V6" s="162" t="str">
        <f t="shared" si="1"/>
        <v>C.Nhật</v>
      </c>
      <c r="W6" s="162" t="str">
        <f t="shared" si="1"/>
        <v>T.Hai</v>
      </c>
      <c r="X6" s="162" t="str">
        <f t="shared" si="1"/>
        <v>T.Ba</v>
      </c>
      <c r="Y6" s="162" t="str">
        <f t="shared" si="1"/>
        <v>T.Tư</v>
      </c>
      <c r="Z6" s="162" t="str">
        <f t="shared" si="1"/>
        <v>T.Năm</v>
      </c>
      <c r="AA6" s="162" t="str">
        <f t="shared" si="1"/>
        <v>T.Sáu</v>
      </c>
      <c r="AB6" s="162" t="str">
        <f t="shared" si="1"/>
        <v>T.Bảy</v>
      </c>
      <c r="AC6" s="162" t="str">
        <f t="shared" si="1"/>
        <v>C.Nhật</v>
      </c>
      <c r="AD6" s="162" t="str">
        <f t="shared" si="1"/>
        <v>T.Hai</v>
      </c>
      <c r="AE6" s="162" t="str">
        <f t="shared" si="1"/>
        <v>T.Ba</v>
      </c>
      <c r="AF6" s="162" t="str">
        <f t="shared" si="1"/>
        <v>T.Tư</v>
      </c>
      <c r="AG6" s="162" t="str">
        <f t="shared" si="1"/>
        <v>T.Năm</v>
      </c>
      <c r="AH6" s="162" t="str">
        <f t="shared" si="1"/>
        <v>T.Sáu</v>
      </c>
      <c r="AI6" s="162" t="str">
        <f t="shared" si="1"/>
        <v>T.Bảy</v>
      </c>
      <c r="AJ6" s="163" t="s">
        <v>16</v>
      </c>
      <c r="AK6" s="163" t="s">
        <v>29</v>
      </c>
      <c r="AL6" s="164" t="s">
        <v>17</v>
      </c>
      <c r="AM6" s="267"/>
      <c r="AN6" s="267"/>
      <c r="AO6" s="267"/>
      <c r="AP6" s="267"/>
      <c r="AQ6" s="267"/>
      <c r="AR6" s="261"/>
      <c r="AS6" s="268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36</v>
      </c>
      <c r="AK7" s="165">
        <v>37</v>
      </c>
      <c r="AL7" s="165">
        <v>38</v>
      </c>
      <c r="AM7" s="165">
        <v>39</v>
      </c>
      <c r="AN7" s="165">
        <v>40</v>
      </c>
      <c r="AO7" s="165">
        <v>41</v>
      </c>
      <c r="AP7" s="165">
        <v>42</v>
      </c>
      <c r="AQ7" s="165">
        <v>43</v>
      </c>
      <c r="AR7" s="165">
        <v>44</v>
      </c>
      <c r="AS7" s="207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8" customFormat="1" ht="21" customHeight="1">
      <c r="A8" s="166" t="s">
        <v>68</v>
      </c>
      <c r="B8" s="169" t="s">
        <v>80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1"/>
      <c r="AS8" s="167"/>
    </row>
    <row r="9" spans="1:90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>
        <v>8</v>
      </c>
      <c r="H9" s="132"/>
      <c r="I9" s="132">
        <v>8</v>
      </c>
      <c r="J9" s="132">
        <v>8</v>
      </c>
      <c r="K9" s="132">
        <v>8</v>
      </c>
      <c r="L9" s="132">
        <v>8</v>
      </c>
      <c r="M9" s="132">
        <v>8</v>
      </c>
      <c r="N9" s="132">
        <v>8</v>
      </c>
      <c r="O9" s="132"/>
      <c r="P9" s="132">
        <v>8</v>
      </c>
      <c r="Q9" s="132">
        <v>8</v>
      </c>
      <c r="R9" s="132">
        <v>8</v>
      </c>
      <c r="S9" s="132">
        <v>8</v>
      </c>
      <c r="T9" s="132">
        <v>8</v>
      </c>
      <c r="U9" s="132">
        <v>8</v>
      </c>
      <c r="V9" s="132"/>
      <c r="W9" s="132">
        <v>8</v>
      </c>
      <c r="X9" s="132">
        <v>8</v>
      </c>
      <c r="Y9" s="132">
        <v>8</v>
      </c>
      <c r="Z9" s="132">
        <v>8</v>
      </c>
      <c r="AA9" s="132">
        <v>8</v>
      </c>
      <c r="AB9" s="132">
        <v>8</v>
      </c>
      <c r="AC9" s="132"/>
      <c r="AD9" s="132">
        <v>8</v>
      </c>
      <c r="AE9" s="132">
        <v>8</v>
      </c>
      <c r="AF9" s="132">
        <v>8</v>
      </c>
      <c r="AG9" s="132">
        <v>8</v>
      </c>
      <c r="AH9" s="132">
        <v>8</v>
      </c>
      <c r="AI9" s="132"/>
      <c r="AJ9" s="251">
        <f>((SUM(F9:AI9))/8)-(SUMIF($F$6:$AI$6,"C.Nhật",F9:AI9)/8)</f>
        <v>25</v>
      </c>
      <c r="AK9" s="251">
        <f>SUM(F10:AI10)/8*1.5</f>
        <v>0</v>
      </c>
      <c r="AL9" s="253">
        <f>SUMIF($F$6:$AI$6,"C.Nhật",$F9:$AI10)/8*2</f>
        <v>0</v>
      </c>
      <c r="AM9" s="241">
        <f>SUM(AJ9:AL10)</f>
        <v>25</v>
      </c>
      <c r="AN9" s="255">
        <v>0</v>
      </c>
      <c r="AO9" s="241"/>
      <c r="AP9" s="241"/>
      <c r="AQ9" s="241"/>
      <c r="AR9" s="243"/>
      <c r="AS9" s="20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252"/>
      <c r="AK10" s="252"/>
      <c r="AL10" s="254"/>
      <c r="AM10" s="242"/>
      <c r="AN10" s="256"/>
      <c r="AO10" s="242"/>
      <c r="AP10" s="242"/>
      <c r="AQ10" s="242"/>
      <c r="AR10" s="244"/>
      <c r="AS10" s="20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1"/>
      <c r="AS11" s="167"/>
    </row>
    <row r="12" spans="1:90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>
        <v>8</v>
      </c>
      <c r="G12" s="132">
        <v>8</v>
      </c>
      <c r="H12" s="132"/>
      <c r="I12" s="132">
        <v>8</v>
      </c>
      <c r="J12" s="132">
        <v>8</v>
      </c>
      <c r="K12" s="132">
        <v>8</v>
      </c>
      <c r="L12" s="132">
        <v>8</v>
      </c>
      <c r="M12" s="132">
        <v>8</v>
      </c>
      <c r="N12" s="132">
        <v>8</v>
      </c>
      <c r="O12" s="132"/>
      <c r="P12" s="132">
        <v>8</v>
      </c>
      <c r="Q12" s="132">
        <v>8</v>
      </c>
      <c r="R12" s="132">
        <v>8</v>
      </c>
      <c r="S12" s="132">
        <v>8</v>
      </c>
      <c r="T12" s="132">
        <v>8</v>
      </c>
      <c r="U12" s="132">
        <v>8</v>
      </c>
      <c r="V12" s="132"/>
      <c r="W12" s="132">
        <v>8</v>
      </c>
      <c r="X12" s="132">
        <v>8</v>
      </c>
      <c r="Y12" s="132">
        <v>8</v>
      </c>
      <c r="Z12" s="132">
        <v>8</v>
      </c>
      <c r="AA12" s="132">
        <v>8</v>
      </c>
      <c r="AB12" s="132">
        <v>8</v>
      </c>
      <c r="AC12" s="132"/>
      <c r="AD12" s="132">
        <v>8</v>
      </c>
      <c r="AE12" s="132">
        <v>8</v>
      </c>
      <c r="AF12" s="132">
        <v>8</v>
      </c>
      <c r="AG12" s="132">
        <v>8</v>
      </c>
      <c r="AH12" s="132">
        <v>8</v>
      </c>
      <c r="AI12" s="132"/>
      <c r="AJ12" s="251">
        <f>((SUM(F12:AI12))/8)-(SUMIF($F$6:$AI$6,"C.Nhật",F12:AI12)/8)</f>
        <v>25</v>
      </c>
      <c r="AK12" s="251">
        <f>SUM(F13:AI13)/8*1.5</f>
        <v>0</v>
      </c>
      <c r="AL12" s="253">
        <f>SUMIF($F$6:$AI$6,"C.Nhật",$F12:$AI13)/8*2</f>
        <v>0</v>
      </c>
      <c r="AM12" s="241">
        <f>SUM(AJ12:AL13)</f>
        <v>25</v>
      </c>
      <c r="AN12" s="255">
        <v>0</v>
      </c>
      <c r="AO12" s="241"/>
      <c r="AP12" s="241"/>
      <c r="AQ12" s="241"/>
      <c r="AR12" s="243"/>
      <c r="AS12" s="207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252"/>
      <c r="AK13" s="252"/>
      <c r="AL13" s="254"/>
      <c r="AM13" s="242"/>
      <c r="AN13" s="256"/>
      <c r="AO13" s="242"/>
      <c r="AP13" s="242"/>
      <c r="AQ13" s="242"/>
      <c r="AR13" s="244"/>
      <c r="AS13" s="207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90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>
        <v>8</v>
      </c>
      <c r="G14" s="132">
        <v>8</v>
      </c>
      <c r="H14" s="132"/>
      <c r="I14" s="132">
        <v>8</v>
      </c>
      <c r="J14" s="132">
        <v>8</v>
      </c>
      <c r="K14" s="132">
        <v>8</v>
      </c>
      <c r="L14" s="132">
        <v>8</v>
      </c>
      <c r="M14" s="132">
        <v>8</v>
      </c>
      <c r="N14" s="132">
        <v>8</v>
      </c>
      <c r="O14" s="132"/>
      <c r="P14" s="132">
        <v>8</v>
      </c>
      <c r="Q14" s="132">
        <v>8</v>
      </c>
      <c r="R14" s="132">
        <v>8</v>
      </c>
      <c r="S14" s="132">
        <v>8</v>
      </c>
      <c r="T14" s="132">
        <v>8</v>
      </c>
      <c r="U14" s="132">
        <v>8</v>
      </c>
      <c r="V14" s="132"/>
      <c r="W14" s="132">
        <v>8</v>
      </c>
      <c r="X14" s="132">
        <v>8</v>
      </c>
      <c r="Y14" s="132">
        <v>8</v>
      </c>
      <c r="Z14" s="132">
        <v>8</v>
      </c>
      <c r="AA14" s="132">
        <v>8</v>
      </c>
      <c r="AB14" s="132">
        <v>8</v>
      </c>
      <c r="AC14" s="132"/>
      <c r="AD14" s="132">
        <v>8</v>
      </c>
      <c r="AE14" s="132">
        <v>8</v>
      </c>
      <c r="AF14" s="132">
        <v>8</v>
      </c>
      <c r="AG14" s="132">
        <v>8</v>
      </c>
      <c r="AH14" s="132">
        <v>8</v>
      </c>
      <c r="AI14" s="132"/>
      <c r="AJ14" s="251">
        <f>((SUM(F14:AI14))/8)-(SUMIF($F$6:$AI$6,"C.Nhật",F14:AI14)/8)</f>
        <v>25</v>
      </c>
      <c r="AK14" s="251">
        <f>SUM(F15:AI15)/8*1.5</f>
        <v>0</v>
      </c>
      <c r="AL14" s="253">
        <f>SUMIF($F$6:$AI$6,"C.Nhật",$F14:$AI15)/8*2</f>
        <v>0</v>
      </c>
      <c r="AM14" s="241">
        <f t="shared" ref="AM14" si="2">SUM(AJ14:AL15)</f>
        <v>25</v>
      </c>
      <c r="AN14" s="255">
        <v>0</v>
      </c>
      <c r="AO14" s="241"/>
      <c r="AP14" s="241"/>
      <c r="AQ14" s="241"/>
      <c r="AR14" s="243"/>
      <c r="AS14" s="214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252"/>
      <c r="AK15" s="252"/>
      <c r="AL15" s="254"/>
      <c r="AM15" s="242"/>
      <c r="AN15" s="256"/>
      <c r="AO15" s="242"/>
      <c r="AP15" s="242"/>
      <c r="AQ15" s="242"/>
      <c r="AR15" s="244"/>
      <c r="AS15" s="214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>
        <v>8</v>
      </c>
      <c r="G16" s="132">
        <v>8</v>
      </c>
      <c r="H16" s="132"/>
      <c r="I16" s="132">
        <v>8</v>
      </c>
      <c r="J16" s="132">
        <v>8</v>
      </c>
      <c r="K16" s="132">
        <v>8</v>
      </c>
      <c r="L16" s="132">
        <v>8</v>
      </c>
      <c r="M16" s="132">
        <v>8</v>
      </c>
      <c r="N16" s="132">
        <v>8</v>
      </c>
      <c r="O16" s="132"/>
      <c r="P16" s="132">
        <v>8</v>
      </c>
      <c r="Q16" s="132">
        <v>8</v>
      </c>
      <c r="R16" s="132">
        <v>8</v>
      </c>
      <c r="S16" s="132">
        <v>8</v>
      </c>
      <c r="T16" s="132">
        <v>8</v>
      </c>
      <c r="U16" s="132">
        <v>8</v>
      </c>
      <c r="V16" s="132"/>
      <c r="W16" s="132">
        <v>8</v>
      </c>
      <c r="X16" s="132">
        <v>8</v>
      </c>
      <c r="Y16" s="132">
        <v>8</v>
      </c>
      <c r="Z16" s="132">
        <v>8</v>
      </c>
      <c r="AA16" s="132">
        <v>8</v>
      </c>
      <c r="AB16" s="132">
        <v>8</v>
      </c>
      <c r="AC16" s="132"/>
      <c r="AD16" s="132">
        <v>8</v>
      </c>
      <c r="AE16" s="132">
        <v>8</v>
      </c>
      <c r="AF16" s="132">
        <v>8</v>
      </c>
      <c r="AG16" s="132">
        <v>8</v>
      </c>
      <c r="AH16" s="132">
        <v>8</v>
      </c>
      <c r="AI16" s="132"/>
      <c r="AJ16" s="251">
        <f>((SUM(F16:AI16))/8)-(SUMIF($F$6:$AI$6,"C.Nhật",F16:AI16)/8)</f>
        <v>25</v>
      </c>
      <c r="AK16" s="251">
        <f>SUM(F17:AI17)/8*1.5</f>
        <v>0</v>
      </c>
      <c r="AL16" s="253">
        <f>SUMIF($F$6:$AI$6,"C.Nhật",$F16:$AI17)/8*2</f>
        <v>0</v>
      </c>
      <c r="AM16" s="241">
        <f t="shared" ref="AM16" si="3">SUM(AJ16:AL17)</f>
        <v>25</v>
      </c>
      <c r="AN16" s="255">
        <v>0</v>
      </c>
      <c r="AO16" s="241"/>
      <c r="AP16" s="241"/>
      <c r="AQ16" s="241"/>
      <c r="AR16" s="243"/>
      <c r="AS16" s="214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252"/>
      <c r="AK17" s="252"/>
      <c r="AL17" s="254"/>
      <c r="AM17" s="242"/>
      <c r="AN17" s="256"/>
      <c r="AO17" s="242"/>
      <c r="AP17" s="242"/>
      <c r="AQ17" s="242"/>
      <c r="AR17" s="244"/>
      <c r="AS17" s="214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4"/>
      <c r="AK18" s="4"/>
      <c r="AL18" s="87"/>
      <c r="AM18" s="63"/>
      <c r="AN18" s="63"/>
      <c r="AO18" s="63"/>
      <c r="AP18" s="63"/>
      <c r="AQ18" s="63"/>
      <c r="AR18" s="4"/>
      <c r="AS18" s="93"/>
    </row>
    <row r="19" spans="1:91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4"/>
      <c r="AK19" s="4"/>
      <c r="AL19" s="87"/>
      <c r="AM19" s="63"/>
      <c r="AN19" s="63"/>
      <c r="AO19" s="63"/>
      <c r="AP19" s="63"/>
      <c r="AQ19" s="63"/>
      <c r="AR19" s="4"/>
      <c r="AS19" s="93"/>
    </row>
    <row r="20" spans="1:91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4"/>
      <c r="AK20" s="4"/>
      <c r="AL20" s="87"/>
      <c r="AM20" s="65"/>
      <c r="AN20" s="65"/>
      <c r="AO20" s="65"/>
      <c r="AP20" s="65"/>
      <c r="AQ20" s="65"/>
      <c r="AR20" s="4"/>
      <c r="AS20" s="93"/>
    </row>
    <row r="21" spans="1:91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4"/>
      <c r="AK21" s="4"/>
      <c r="AL21" s="87"/>
      <c r="AM21" s="65"/>
      <c r="AN21" s="65"/>
      <c r="AO21" s="65"/>
      <c r="AP21" s="65"/>
      <c r="AQ21" s="65"/>
      <c r="AR21" s="4"/>
      <c r="AS21" s="4"/>
    </row>
    <row r="22" spans="1:91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4"/>
      <c r="AK22" s="4"/>
      <c r="AL22" s="87"/>
      <c r="AM22" s="65"/>
      <c r="AN22" s="65"/>
      <c r="AO22" s="65"/>
      <c r="AP22" s="65"/>
      <c r="AQ22" s="65"/>
      <c r="AR22" s="4"/>
      <c r="AS22" s="4"/>
    </row>
    <row r="23" spans="1:91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4"/>
      <c r="AK23" s="4"/>
      <c r="AL23" s="87"/>
      <c r="AM23" s="65"/>
      <c r="AN23" s="65"/>
      <c r="AO23" s="65"/>
      <c r="AP23" s="65"/>
      <c r="AQ23" s="65"/>
      <c r="AR23" s="4"/>
      <c r="AS23" s="4"/>
    </row>
    <row r="24" spans="1:91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66"/>
      <c r="AL24" s="88"/>
      <c r="AM24" s="10"/>
      <c r="AN24" s="10"/>
      <c r="AO24" s="10"/>
      <c r="AP24" s="10"/>
      <c r="AQ24" s="10"/>
      <c r="AR24" s="14"/>
      <c r="AS24" s="4"/>
    </row>
    <row r="25" spans="1:91" s="62" customFormat="1" ht="12.75">
      <c r="A25" s="2"/>
      <c r="B25" s="2" t="s">
        <v>0</v>
      </c>
      <c r="C25" s="2"/>
      <c r="D25" s="205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2"/>
      <c r="AK25" s="2"/>
      <c r="AL25" s="89"/>
      <c r="AM25" s="2"/>
      <c r="AN25" s="2"/>
      <c r="AO25" s="2"/>
      <c r="AP25" s="2"/>
      <c r="AQ25" s="2"/>
      <c r="AR25" s="2"/>
      <c r="AS25" s="4"/>
    </row>
    <row r="26" spans="1:91" s="62" customFormat="1" ht="12.75">
      <c r="A26" s="2"/>
      <c r="B26" s="2"/>
      <c r="C26" s="2" t="s">
        <v>40</v>
      </c>
      <c r="D26" s="205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2"/>
      <c r="AK26" s="2"/>
      <c r="AL26" s="89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205" customFormat="1" ht="15" customHeight="1">
      <c r="A29" s="2"/>
      <c r="B29" s="2"/>
      <c r="C29" s="2" t="s">
        <v>43</v>
      </c>
      <c r="E29" s="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  <c r="AI29" s="113"/>
      <c r="AJ29" s="2"/>
      <c r="AK29" s="2"/>
      <c r="AL29" s="89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5" customFormat="1" ht="15" customHeight="1">
      <c r="A30" s="2"/>
      <c r="B30" s="2"/>
      <c r="C30" s="2" t="s">
        <v>44</v>
      </c>
      <c r="E30" s="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3"/>
      <c r="AI30" s="113"/>
      <c r="AJ30" s="2"/>
      <c r="AK30" s="2"/>
      <c r="AL30" s="89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5" customFormat="1" ht="15" customHeight="1">
      <c r="A31" s="2"/>
      <c r="B31" s="2"/>
      <c r="C31" s="2" t="s">
        <v>45</v>
      </c>
      <c r="E31" s="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3"/>
      <c r="AI31" s="113"/>
      <c r="AJ31" s="2"/>
      <c r="AK31" s="2"/>
      <c r="AL31" s="89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5" customFormat="1" ht="15" customHeight="1">
      <c r="A32" s="2"/>
      <c r="B32" s="2"/>
      <c r="C32" s="2" t="s">
        <v>46</v>
      </c>
      <c r="E32" s="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113"/>
      <c r="AJ32" s="2"/>
      <c r="AK32" s="2"/>
      <c r="AL32" s="89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5" customFormat="1" ht="15" customHeight="1">
      <c r="A33" s="2"/>
      <c r="B33" s="2"/>
      <c r="C33" s="2" t="s">
        <v>47</v>
      </c>
      <c r="E33" s="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3"/>
      <c r="AI33" s="113"/>
      <c r="AJ33" s="2"/>
      <c r="AK33" s="2"/>
      <c r="AL33" s="89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5" customFormat="1" ht="15" customHeight="1">
      <c r="A34" s="2"/>
      <c r="B34" s="2"/>
      <c r="C34" s="2" t="s">
        <v>48</v>
      </c>
      <c r="E34" s="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  <c r="AI34" s="113"/>
      <c r="AJ34" s="2"/>
      <c r="AK34" s="2"/>
      <c r="AL34" s="89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B12:B13"/>
    <mergeCell ref="C12:C13"/>
    <mergeCell ref="D12:D13"/>
    <mergeCell ref="AJ12:AJ13"/>
    <mergeCell ref="AK12:AK13"/>
    <mergeCell ref="AM12:AM13"/>
    <mergeCell ref="AN12:AN13"/>
    <mergeCell ref="AO12:AO13"/>
    <mergeCell ref="AP12:AP13"/>
    <mergeCell ref="AQ12:AQ13"/>
    <mergeCell ref="A12:A13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9:D10"/>
    <mergeCell ref="AJ9:AJ10"/>
    <mergeCell ref="AR12:AR13"/>
    <mergeCell ref="AL12:AL13"/>
    <mergeCell ref="D14:D15"/>
    <mergeCell ref="AJ14:AJ15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C9:C10"/>
    <mergeCell ref="AN16:AN17"/>
    <mergeCell ref="AO16:AO17"/>
    <mergeCell ref="AP16:AP17"/>
    <mergeCell ref="AQ16:AQ17"/>
    <mergeCell ref="AR16:AR17"/>
    <mergeCell ref="D16:D17"/>
    <mergeCell ref="AJ16:AJ17"/>
    <mergeCell ref="AK16:AK17"/>
    <mergeCell ref="AL16:AL17"/>
    <mergeCell ref="AM16:AM17"/>
    <mergeCell ref="A14:A15"/>
    <mergeCell ref="B14:B15"/>
    <mergeCell ref="C14:C15"/>
    <mergeCell ref="A16:A17"/>
    <mergeCell ref="B16:B17"/>
    <mergeCell ref="C16:C17"/>
    <mergeCell ref="AP14:AP15"/>
    <mergeCell ref="AQ14:AQ15"/>
    <mergeCell ref="AR14:AR15"/>
    <mergeCell ref="AK14:AK15"/>
    <mergeCell ref="AL14:AL15"/>
    <mergeCell ref="AM14:AM15"/>
    <mergeCell ref="AN14:AN15"/>
    <mergeCell ref="AO14:AO15"/>
  </mergeCells>
  <conditionalFormatting sqref="F5:AI6 F9:AI10">
    <cfRule type="expression" dxfId="69" priority="20" stopIfTrue="1">
      <formula>IF(WEEKDAY(F$5)=1,TRUE,FALSE)</formula>
    </cfRule>
  </conditionalFormatting>
  <conditionalFormatting sqref="F16:AI17">
    <cfRule type="expression" dxfId="68" priority="2" stopIfTrue="1">
      <formula>IF(WEEKDAY(F$5)=1,TRUE,FALSE)</formula>
    </cfRule>
  </conditionalFormatting>
  <conditionalFormatting sqref="F12:AI15">
    <cfRule type="expression" dxfId="67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X10" sqref="X10"/>
      <selection pane="topRight" activeCell="X10" sqref="X10"/>
      <selection pane="bottomLeft" activeCell="X10" sqref="X10"/>
      <selection pane="bottomRight" activeCell="S20" sqref="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209"/>
      <c r="C1" s="209"/>
      <c r="D1" s="269" t="str">
        <f>"BẢNG THANH TOÁN LƯƠNG THÁNG"&amp;" "&amp;TEXT($E$4,"mm")&amp;" / "&amp;TEXT($E$4,"yyyy")</f>
        <v>BẢNG THANH TOÁN LƯƠNG THÁNG 04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209"/>
      <c r="C2" s="209"/>
      <c r="D2" s="209"/>
      <c r="E2" s="70"/>
      <c r="F2" s="209"/>
      <c r="G2" s="209"/>
      <c r="H2" s="209"/>
      <c r="I2" s="209"/>
      <c r="J2" s="71"/>
      <c r="K2" s="209"/>
      <c r="L2" s="209"/>
      <c r="M2" s="209"/>
      <c r="N2" s="209"/>
      <c r="O2" s="209"/>
      <c r="P2" s="209"/>
      <c r="Q2" s="209"/>
      <c r="R2" s="209"/>
      <c r="S2" s="209"/>
      <c r="T2" s="48"/>
      <c r="U2" s="69">
        <f>MAX(F10:F18)</f>
        <v>25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209"/>
      <c r="C3" s="209"/>
      <c r="D3" s="209"/>
      <c r="E3" s="70"/>
      <c r="F3" s="209"/>
      <c r="G3" s="209"/>
      <c r="H3" s="209"/>
      <c r="I3" s="209"/>
      <c r="J3" s="71"/>
      <c r="K3" s="209"/>
      <c r="L3" s="209"/>
      <c r="M3" s="209"/>
      <c r="N3" s="209"/>
      <c r="O3" s="209"/>
      <c r="P3" s="209"/>
      <c r="Q3" s="209"/>
      <c r="R3" s="209"/>
      <c r="S3" s="209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-4'!$E$4</f>
        <v>42461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208" t="s">
        <v>34</v>
      </c>
      <c r="G7" s="206" t="s">
        <v>18</v>
      </c>
      <c r="H7" s="208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-4'!$B$8:$AR$17,35,0)</f>
        <v>25</v>
      </c>
      <c r="G10" s="134">
        <f t="shared" ref="G10" si="3">ROUND(E10/$U$2*F10,0)</f>
        <v>5000000</v>
      </c>
      <c r="H10" s="81">
        <f>(VLOOKUP(B10,'CC -4'!$B$8:$AR$17,36,0)+VLOOKUP(B10,'CC -4'!$B$8:$AR$17,37,0))</f>
        <v>0</v>
      </c>
      <c r="I10" s="134">
        <f t="shared" ref="I10" si="4">ROUND(E10/$U$2*H10,0)</f>
        <v>0</v>
      </c>
      <c r="J10" s="82">
        <f t="shared" ref="J10" si="5">F10+H10</f>
        <v>25</v>
      </c>
      <c r="K10" s="33">
        <f>G10+I10</f>
        <v>5000000</v>
      </c>
      <c r="L10" s="79">
        <f t="shared" ref="L10" si="6">+F10*15000</f>
        <v>375000</v>
      </c>
      <c r="M10" s="34">
        <f t="shared" ref="M10" si="7">K10+L10</f>
        <v>5375000</v>
      </c>
      <c r="N10" s="34">
        <f>IF(VLOOKUP($B10,DS,15,0)="x",$E10*N$4,0)</f>
        <v>0</v>
      </c>
      <c r="O10" s="34">
        <f>IF(VLOOKUP($B10,DS,15,0)="x",$E10*O$4,0)</f>
        <v>0</v>
      </c>
      <c r="P10" s="34">
        <f>IF(VLOOKUP($B10,DS,15,0)="x",$E10*P$4,0)</f>
        <v>0</v>
      </c>
      <c r="Q10" s="33">
        <f t="shared" ref="Q10" si="8">M10-SUM(N10:P10)</f>
        <v>5375000</v>
      </c>
      <c r="R10" s="33">
        <f>VLOOKUP(B10,DS,23,0)</f>
        <v>0</v>
      </c>
      <c r="S10" s="39">
        <f t="shared" ref="S10" si="9">Q10-R10</f>
        <v>5375000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SUM(E9:E10)</f>
        <v>5000000</v>
      </c>
      <c r="F12" s="129"/>
      <c r="G12" s="129">
        <f>SUM(G9:G10)</f>
        <v>5000000</v>
      </c>
      <c r="H12" s="129"/>
      <c r="I12" s="129">
        <f>SUM(I9:I10)</f>
        <v>0</v>
      </c>
      <c r="J12" s="129"/>
      <c r="K12" s="129">
        <f t="shared" ref="K12:S12" si="10">SUM(K9:K10)</f>
        <v>5000000</v>
      </c>
      <c r="L12" s="129">
        <f t="shared" si="10"/>
        <v>375000</v>
      </c>
      <c r="M12" s="129">
        <f t="shared" si="10"/>
        <v>5375000</v>
      </c>
      <c r="N12" s="129">
        <f t="shared" si="10"/>
        <v>0</v>
      </c>
      <c r="O12" s="129">
        <f t="shared" si="10"/>
        <v>0</v>
      </c>
      <c r="P12" s="129">
        <f t="shared" si="10"/>
        <v>0</v>
      </c>
      <c r="Q12" s="129">
        <f t="shared" si="10"/>
        <v>5375000</v>
      </c>
      <c r="R12" s="129">
        <f t="shared" si="10"/>
        <v>0</v>
      </c>
      <c r="S12" s="129">
        <f t="shared" si="10"/>
        <v>5375000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" si="11">VLOOKUP(B14,DS,2,0)</f>
        <v>Bùi Trường Giang</v>
      </c>
      <c r="D14" s="105" t="str">
        <f t="shared" ref="D14" si="12">VLOOKUP(B14,DS,3,0)</f>
        <v>Thợ in</v>
      </c>
      <c r="E14" s="79">
        <f t="shared" ref="E14" si="13">VLOOKUP(B14,DS,4,0)</f>
        <v>5000000</v>
      </c>
      <c r="F14" s="81">
        <f>VLOOKUP(B14,'CC -4'!$B$8:$AR$17,35,0)</f>
        <v>25</v>
      </c>
      <c r="G14" s="134">
        <f t="shared" ref="G14" si="14">ROUND(E14/$U$2*F14,0)</f>
        <v>5000000</v>
      </c>
      <c r="H14" s="81">
        <f>(VLOOKUP(B14,'CC -4'!$B$8:$AR$17,36,0)+VLOOKUP(B14,'CC -4'!$B$8:$AR$17,37,0))</f>
        <v>0</v>
      </c>
      <c r="I14" s="134">
        <f t="shared" ref="I14" si="15">ROUND(E14/$U$2*H14,0)</f>
        <v>0</v>
      </c>
      <c r="J14" s="135">
        <f t="shared" ref="J14:K14" si="16">F14+H14</f>
        <v>25</v>
      </c>
      <c r="K14" s="33">
        <f t="shared" si="16"/>
        <v>5000000</v>
      </c>
      <c r="L14" s="79">
        <f t="shared" ref="L14" si="17">+F14*15000</f>
        <v>375000</v>
      </c>
      <c r="M14" s="34">
        <f t="shared" ref="M14" si="18">K14+L14</f>
        <v>5375000</v>
      </c>
      <c r="N14" s="34">
        <f t="shared" ref="N14:P16" si="19">IF(VLOOKUP($B14,DS,15,0)="x",$E14*N$4,0)</f>
        <v>0</v>
      </c>
      <c r="O14" s="34">
        <f t="shared" si="19"/>
        <v>0</v>
      </c>
      <c r="P14" s="34">
        <f t="shared" si="19"/>
        <v>0</v>
      </c>
      <c r="Q14" s="33">
        <f>M14-SUM(N14:P14)</f>
        <v>5375000</v>
      </c>
      <c r="R14" s="33">
        <f t="shared" ref="R14" si="20">VLOOKUP(B14,DS,23,0)</f>
        <v>0</v>
      </c>
      <c r="S14" s="39">
        <f>Q14-R14</f>
        <v>5375000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:C16" si="21">VLOOKUP(B15,DS,2,0)</f>
        <v>Lý Thanh Hải</v>
      </c>
      <c r="D15" s="105" t="str">
        <f t="shared" ref="D15:D16" si="22">VLOOKUP(B15,DS,3,0)</f>
        <v>Công Đoạn 1</v>
      </c>
      <c r="E15" s="79">
        <f t="shared" ref="E15:E16" si="23">VLOOKUP(B15,DS,4,0)</f>
        <v>5000000</v>
      </c>
      <c r="F15" s="81">
        <f>VLOOKUP(B15,'CC -4'!$B$8:$AR$17,35,0)</f>
        <v>25</v>
      </c>
      <c r="G15" s="134">
        <f t="shared" ref="G15:G16" si="24">ROUND(E15/$U$2*F15,0)</f>
        <v>5000000</v>
      </c>
      <c r="H15" s="81">
        <f>(VLOOKUP(B15,'CC -4'!$B$8:$AR$17,36,0)+VLOOKUP(B15,'CC -4'!$B$8:$AR$17,37,0))</f>
        <v>0</v>
      </c>
      <c r="I15" s="134">
        <f t="shared" ref="I15:I16" si="25">ROUND(E15/$U$2*H15,0)</f>
        <v>0</v>
      </c>
      <c r="J15" s="135">
        <f t="shared" ref="J15:J16" si="26">F15+H15</f>
        <v>25</v>
      </c>
      <c r="K15" s="33">
        <f t="shared" ref="K15:K16" si="27">G15+I15</f>
        <v>5000000</v>
      </c>
      <c r="L15" s="79">
        <f t="shared" ref="L15:L16" si="28">+F15*15000</f>
        <v>375000</v>
      </c>
      <c r="M15" s="34">
        <f t="shared" ref="M15:M16" si="29">K15+L15</f>
        <v>5375000</v>
      </c>
      <c r="N15" s="34">
        <f t="shared" si="19"/>
        <v>0</v>
      </c>
      <c r="O15" s="34">
        <f t="shared" si="19"/>
        <v>0</v>
      </c>
      <c r="P15" s="34">
        <f t="shared" si="19"/>
        <v>0</v>
      </c>
      <c r="Q15" s="33">
        <f t="shared" ref="Q15:Q16" si="30">M15-SUM(N15:P15)</f>
        <v>5375000</v>
      </c>
      <c r="R15" s="33">
        <f t="shared" ref="R15:R16" si="31">VLOOKUP(B15,DS,23,0)</f>
        <v>0</v>
      </c>
      <c r="S15" s="39">
        <f t="shared" ref="S15:S16" si="32">Q15-R15</f>
        <v>5375000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21"/>
        <v>Lê Văn Hữu</v>
      </c>
      <c r="D16" s="105" t="str">
        <f t="shared" si="22"/>
        <v>Công Đoạn 2</v>
      </c>
      <c r="E16" s="79">
        <f t="shared" si="23"/>
        <v>5000000</v>
      </c>
      <c r="F16" s="81">
        <f>VLOOKUP(B16,'CC -4'!$B$8:$AR$17,35,0)</f>
        <v>25</v>
      </c>
      <c r="G16" s="134">
        <f t="shared" si="24"/>
        <v>5000000</v>
      </c>
      <c r="H16" s="81">
        <f>(VLOOKUP(B16,'CC -4'!$B$8:$AR$17,36,0)+VLOOKUP(B16,'CC -4'!$B$8:$AR$17,37,0))</f>
        <v>0</v>
      </c>
      <c r="I16" s="134">
        <f t="shared" si="25"/>
        <v>0</v>
      </c>
      <c r="J16" s="135">
        <f t="shared" si="26"/>
        <v>25</v>
      </c>
      <c r="K16" s="33">
        <f t="shared" si="27"/>
        <v>5000000</v>
      </c>
      <c r="L16" s="79">
        <f t="shared" si="28"/>
        <v>375000</v>
      </c>
      <c r="M16" s="34">
        <f t="shared" si="29"/>
        <v>5375000</v>
      </c>
      <c r="N16" s="34">
        <f t="shared" si="19"/>
        <v>0</v>
      </c>
      <c r="O16" s="34">
        <f t="shared" si="19"/>
        <v>0</v>
      </c>
      <c r="P16" s="34">
        <f t="shared" si="19"/>
        <v>0</v>
      </c>
      <c r="Q16" s="33">
        <f t="shared" si="30"/>
        <v>5375000</v>
      </c>
      <c r="R16" s="33">
        <f t="shared" si="31"/>
        <v>0</v>
      </c>
      <c r="S16" s="39">
        <f t="shared" si="32"/>
        <v>5375000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3">SUM(K13:K17)</f>
        <v>15000000</v>
      </c>
      <c r="L18" s="129">
        <f t="shared" si="33"/>
        <v>1125000</v>
      </c>
      <c r="M18" s="129">
        <f t="shared" si="33"/>
        <v>16125000</v>
      </c>
      <c r="N18" s="129">
        <f t="shared" si="33"/>
        <v>0</v>
      </c>
      <c r="O18" s="129">
        <f t="shared" si="33"/>
        <v>0</v>
      </c>
      <c r="P18" s="129">
        <f t="shared" si="33"/>
        <v>0</v>
      </c>
      <c r="Q18" s="129">
        <f t="shared" si="33"/>
        <v>16125000</v>
      </c>
      <c r="R18" s="129">
        <f t="shared" si="33"/>
        <v>0</v>
      </c>
      <c r="S18" s="129">
        <f t="shared" si="33"/>
        <v>16125000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04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N5:P6 L5 L21 J6:K7 L7 A24:T57 U30:U57 N17:S17 V24:IK57 J17:L17 A58:IK65325 AF13:IK13 V12:IK12 D12:T12 D18:T18 W10:W11 AF5:IK11 A10:B12 Q10:S11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6 AF14:IK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4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05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42491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42491</v>
      </c>
      <c r="G5" s="107">
        <f t="shared" ref="G5:AJ5" si="0">F5+1</f>
        <v>42492</v>
      </c>
      <c r="H5" s="107">
        <f t="shared" si="0"/>
        <v>42493</v>
      </c>
      <c r="I5" s="107">
        <f t="shared" si="0"/>
        <v>42494</v>
      </c>
      <c r="J5" s="107">
        <f t="shared" si="0"/>
        <v>42495</v>
      </c>
      <c r="K5" s="107">
        <f t="shared" si="0"/>
        <v>42496</v>
      </c>
      <c r="L5" s="107">
        <f t="shared" si="0"/>
        <v>42497</v>
      </c>
      <c r="M5" s="107">
        <f t="shared" si="0"/>
        <v>42498</v>
      </c>
      <c r="N5" s="107">
        <f t="shared" si="0"/>
        <v>42499</v>
      </c>
      <c r="O5" s="107">
        <f t="shared" si="0"/>
        <v>42500</v>
      </c>
      <c r="P5" s="107">
        <f t="shared" si="0"/>
        <v>42501</v>
      </c>
      <c r="Q5" s="107">
        <f t="shared" si="0"/>
        <v>42502</v>
      </c>
      <c r="R5" s="107">
        <f t="shared" si="0"/>
        <v>42503</v>
      </c>
      <c r="S5" s="107">
        <f t="shared" si="0"/>
        <v>42504</v>
      </c>
      <c r="T5" s="107">
        <f t="shared" si="0"/>
        <v>42505</v>
      </c>
      <c r="U5" s="107">
        <f t="shared" si="0"/>
        <v>42506</v>
      </c>
      <c r="V5" s="107">
        <f t="shared" si="0"/>
        <v>42507</v>
      </c>
      <c r="W5" s="107">
        <f t="shared" si="0"/>
        <v>42508</v>
      </c>
      <c r="X5" s="107">
        <f t="shared" si="0"/>
        <v>42509</v>
      </c>
      <c r="Y5" s="107">
        <f t="shared" si="0"/>
        <v>42510</v>
      </c>
      <c r="Z5" s="107">
        <f t="shared" si="0"/>
        <v>42511</v>
      </c>
      <c r="AA5" s="107">
        <f t="shared" si="0"/>
        <v>42512</v>
      </c>
      <c r="AB5" s="107">
        <f t="shared" si="0"/>
        <v>42513</v>
      </c>
      <c r="AC5" s="107">
        <f t="shared" si="0"/>
        <v>42514</v>
      </c>
      <c r="AD5" s="107">
        <f t="shared" si="0"/>
        <v>42515</v>
      </c>
      <c r="AE5" s="107">
        <f t="shared" si="0"/>
        <v>42516</v>
      </c>
      <c r="AF5" s="107">
        <f t="shared" si="0"/>
        <v>42517</v>
      </c>
      <c r="AG5" s="107">
        <f t="shared" si="0"/>
        <v>42518</v>
      </c>
      <c r="AH5" s="107">
        <f>AG5+1</f>
        <v>42519</v>
      </c>
      <c r="AI5" s="107">
        <f t="shared" si="0"/>
        <v>42520</v>
      </c>
      <c r="AJ5" s="107">
        <f t="shared" si="0"/>
        <v>42521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C.Nhật</v>
      </c>
      <c r="G6" s="162" t="str">
        <f t="shared" ref="G6:AJ6" si="1">CHOOSE(WEEKDAY(G5),"C.Nhật","T.Hai","T.Ba","T.Tư","T.Năm","T.Sáu","T.Bảy")</f>
        <v>T.Hai</v>
      </c>
      <c r="H6" s="162" t="str">
        <f t="shared" si="1"/>
        <v>T.Ba</v>
      </c>
      <c r="I6" s="162" t="str">
        <f t="shared" si="1"/>
        <v>T.Tư</v>
      </c>
      <c r="J6" s="162" t="str">
        <f t="shared" si="1"/>
        <v>T.Năm</v>
      </c>
      <c r="K6" s="162" t="str">
        <f t="shared" si="1"/>
        <v>T.Sáu</v>
      </c>
      <c r="L6" s="162" t="str">
        <f t="shared" si="1"/>
        <v>T.Bảy</v>
      </c>
      <c r="M6" s="162" t="str">
        <f t="shared" si="1"/>
        <v>C.Nhật</v>
      </c>
      <c r="N6" s="162" t="str">
        <f t="shared" si="1"/>
        <v>T.Hai</v>
      </c>
      <c r="O6" s="162" t="str">
        <f t="shared" si="1"/>
        <v>T.Ba</v>
      </c>
      <c r="P6" s="162" t="str">
        <f t="shared" si="1"/>
        <v>T.Tư</v>
      </c>
      <c r="Q6" s="162" t="str">
        <f t="shared" si="1"/>
        <v>T.Năm</v>
      </c>
      <c r="R6" s="162" t="str">
        <f t="shared" si="1"/>
        <v>T.Sáu</v>
      </c>
      <c r="S6" s="162" t="str">
        <f t="shared" si="1"/>
        <v>T.Bảy</v>
      </c>
      <c r="T6" s="162" t="str">
        <f t="shared" si="1"/>
        <v>C.Nhật</v>
      </c>
      <c r="U6" s="162" t="str">
        <f t="shared" si="1"/>
        <v>T.Hai</v>
      </c>
      <c r="V6" s="162" t="str">
        <f t="shared" si="1"/>
        <v>T.Ba</v>
      </c>
      <c r="W6" s="162" t="str">
        <f t="shared" si="1"/>
        <v>T.Tư</v>
      </c>
      <c r="X6" s="162" t="str">
        <f t="shared" si="1"/>
        <v>T.Năm</v>
      </c>
      <c r="Y6" s="162" t="str">
        <f t="shared" si="1"/>
        <v>T.Sáu</v>
      </c>
      <c r="Z6" s="162" t="str">
        <f t="shared" si="1"/>
        <v>T.Bảy</v>
      </c>
      <c r="AA6" s="162" t="str">
        <f t="shared" si="1"/>
        <v>C.Nhật</v>
      </c>
      <c r="AB6" s="162" t="str">
        <f t="shared" si="1"/>
        <v>T.Hai</v>
      </c>
      <c r="AC6" s="162" t="str">
        <f t="shared" si="1"/>
        <v>T.Ba</v>
      </c>
      <c r="AD6" s="162" t="str">
        <f t="shared" si="1"/>
        <v>T.Tư</v>
      </c>
      <c r="AE6" s="162" t="str">
        <f t="shared" si="1"/>
        <v>T.Năm</v>
      </c>
      <c r="AF6" s="162" t="str">
        <f t="shared" si="1"/>
        <v>T.Sáu</v>
      </c>
      <c r="AG6" s="162" t="str">
        <f t="shared" si="1"/>
        <v>T.Bảy</v>
      </c>
      <c r="AH6" s="162" t="str">
        <f t="shared" si="1"/>
        <v>C.Nhật</v>
      </c>
      <c r="AI6" s="162" t="str">
        <f t="shared" si="1"/>
        <v>T.Hai</v>
      </c>
      <c r="AJ6" s="162" t="str">
        <f t="shared" si="1"/>
        <v>T.Ba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1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80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/>
      <c r="G9" s="132"/>
      <c r="H9" s="132">
        <v>8</v>
      </c>
      <c r="I9" s="132">
        <v>8</v>
      </c>
      <c r="J9" s="132">
        <v>8</v>
      </c>
      <c r="K9" s="132">
        <v>8</v>
      </c>
      <c r="L9" s="132">
        <v>8</v>
      </c>
      <c r="M9" s="132"/>
      <c r="N9" s="132">
        <v>8</v>
      </c>
      <c r="O9" s="132">
        <v>8</v>
      </c>
      <c r="P9" s="132">
        <v>8</v>
      </c>
      <c r="Q9" s="132">
        <v>8</v>
      </c>
      <c r="R9" s="132">
        <v>8</v>
      </c>
      <c r="S9" s="132">
        <v>8</v>
      </c>
      <c r="T9" s="132"/>
      <c r="U9" s="132">
        <v>8</v>
      </c>
      <c r="V9" s="132">
        <v>8</v>
      </c>
      <c r="W9" s="132">
        <v>8</v>
      </c>
      <c r="X9" s="132">
        <v>8</v>
      </c>
      <c r="Y9" s="132">
        <v>8</v>
      </c>
      <c r="Z9" s="132">
        <v>8</v>
      </c>
      <c r="AA9" s="132"/>
      <c r="AB9" s="132">
        <v>8</v>
      </c>
      <c r="AC9" s="132">
        <v>8</v>
      </c>
      <c r="AD9" s="132">
        <v>8</v>
      </c>
      <c r="AE9" s="132">
        <v>8</v>
      </c>
      <c r="AF9" s="132">
        <v>8</v>
      </c>
      <c r="AG9" s="132">
        <v>8</v>
      </c>
      <c r="AH9" s="132"/>
      <c r="AI9" s="132">
        <v>8</v>
      </c>
      <c r="AJ9" s="132">
        <v>8</v>
      </c>
      <c r="AK9" s="251">
        <f>((SUM(F9:AJ9))/8)-(SUMIF($F$6:$AJ$6,"C.Nhật",F9:AJ9)/8)</f>
        <v>25</v>
      </c>
      <c r="AL9" s="251">
        <f>SUM(F10:AJ10)/8*1.5</f>
        <v>0</v>
      </c>
      <c r="AM9" s="253">
        <f>SUMIF($F$6:$AJ$6,"C.Nhật",$F9:$AJ10)/8*2</f>
        <v>0</v>
      </c>
      <c r="AN9" s="241">
        <f>SUM(AK9:AM10)</f>
        <v>25</v>
      </c>
      <c r="AO9" s="255">
        <v>0</v>
      </c>
      <c r="AP9" s="241"/>
      <c r="AQ9" s="241"/>
      <c r="AR9" s="241"/>
      <c r="AS9" s="243"/>
      <c r="AT9" s="1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1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1"/>
      <c r="AT11" s="167"/>
    </row>
    <row r="12" spans="1:91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/>
      <c r="G12" s="132"/>
      <c r="H12" s="132">
        <v>8</v>
      </c>
      <c r="I12" s="132">
        <v>8</v>
      </c>
      <c r="J12" s="132">
        <v>8</v>
      </c>
      <c r="K12" s="132">
        <v>8</v>
      </c>
      <c r="L12" s="132">
        <v>8</v>
      </c>
      <c r="M12" s="132"/>
      <c r="N12" s="132">
        <v>8</v>
      </c>
      <c r="O12" s="132">
        <v>8</v>
      </c>
      <c r="P12" s="132">
        <v>8</v>
      </c>
      <c r="Q12" s="132">
        <v>8</v>
      </c>
      <c r="R12" s="132">
        <v>8</v>
      </c>
      <c r="S12" s="132">
        <v>8</v>
      </c>
      <c r="T12" s="132"/>
      <c r="U12" s="132">
        <v>8</v>
      </c>
      <c r="V12" s="132">
        <v>8</v>
      </c>
      <c r="W12" s="132">
        <v>8</v>
      </c>
      <c r="X12" s="132">
        <v>8</v>
      </c>
      <c r="Y12" s="132">
        <v>8</v>
      </c>
      <c r="Z12" s="132">
        <v>8</v>
      </c>
      <c r="AA12" s="132"/>
      <c r="AB12" s="132">
        <v>8</v>
      </c>
      <c r="AC12" s="132">
        <v>8</v>
      </c>
      <c r="AD12" s="132">
        <v>8</v>
      </c>
      <c r="AE12" s="132">
        <v>8</v>
      </c>
      <c r="AF12" s="132">
        <v>8</v>
      </c>
      <c r="AG12" s="132">
        <v>8</v>
      </c>
      <c r="AH12" s="132"/>
      <c r="AI12" s="132">
        <v>8</v>
      </c>
      <c r="AJ12" s="132">
        <v>8</v>
      </c>
      <c r="AK12" s="251">
        <f t="shared" ref="AK12" si="2">((SUM(F12:AJ12))/8)-(SUMIF($F$6:$AJ$6,"C.Nhật",F12:AJ12)/8)</f>
        <v>25</v>
      </c>
      <c r="AL12" s="251">
        <f t="shared" ref="AL12" si="3">SUM(F13:AJ13)/8*1.5</f>
        <v>0</v>
      </c>
      <c r="AM12" s="253">
        <f>SUMIF($F$6:$AJ$6,"C.Nhật",$F12:$AJ13)/8*2</f>
        <v>0</v>
      </c>
      <c r="AN12" s="241">
        <f>SUM(AK12:AM13)</f>
        <v>25</v>
      </c>
      <c r="AO12" s="255">
        <v>0</v>
      </c>
      <c r="AP12" s="241"/>
      <c r="AQ12" s="241"/>
      <c r="AR12" s="241"/>
      <c r="AS12" s="243"/>
      <c r="AT12" s="20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252"/>
      <c r="AL13" s="252"/>
      <c r="AM13" s="254"/>
      <c r="AN13" s="242"/>
      <c r="AO13" s="256"/>
      <c r="AP13" s="242"/>
      <c r="AQ13" s="242"/>
      <c r="AR13" s="242"/>
      <c r="AS13" s="244"/>
      <c r="AT13" s="20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/>
      <c r="G14" s="132"/>
      <c r="H14" s="132">
        <v>8</v>
      </c>
      <c r="I14" s="132">
        <v>8</v>
      </c>
      <c r="J14" s="132">
        <v>8</v>
      </c>
      <c r="K14" s="132">
        <v>8</v>
      </c>
      <c r="L14" s="132">
        <v>8</v>
      </c>
      <c r="M14" s="132"/>
      <c r="N14" s="132">
        <v>8</v>
      </c>
      <c r="O14" s="132">
        <v>8</v>
      </c>
      <c r="P14" s="132">
        <v>8</v>
      </c>
      <c r="Q14" s="132">
        <v>8</v>
      </c>
      <c r="R14" s="132">
        <v>8</v>
      </c>
      <c r="S14" s="132">
        <v>8</v>
      </c>
      <c r="T14" s="132"/>
      <c r="U14" s="132">
        <v>8</v>
      </c>
      <c r="V14" s="132">
        <v>8</v>
      </c>
      <c r="W14" s="132">
        <v>8</v>
      </c>
      <c r="X14" s="132">
        <v>8</v>
      </c>
      <c r="Y14" s="132">
        <v>8</v>
      </c>
      <c r="Z14" s="132">
        <v>8</v>
      </c>
      <c r="AA14" s="132"/>
      <c r="AB14" s="132">
        <v>8</v>
      </c>
      <c r="AC14" s="132">
        <v>8</v>
      </c>
      <c r="AD14" s="132">
        <v>8</v>
      </c>
      <c r="AE14" s="132">
        <v>8</v>
      </c>
      <c r="AF14" s="132">
        <v>8</v>
      </c>
      <c r="AG14" s="132">
        <v>8</v>
      </c>
      <c r="AH14" s="132"/>
      <c r="AI14" s="132">
        <v>8</v>
      </c>
      <c r="AJ14" s="132">
        <v>8</v>
      </c>
      <c r="AK14" s="251">
        <f t="shared" ref="AK14" si="4">((SUM(F14:AJ14))/8)-(SUMIF($F$6:$AJ$6,"C.Nhật",F14:AJ14)/8)</f>
        <v>25</v>
      </c>
      <c r="AL14" s="251">
        <f t="shared" ref="AL14" si="5">SUM(F15:AJ15)/8*1.5</f>
        <v>0</v>
      </c>
      <c r="AM14" s="253">
        <f>SUMIF($F$6:$AJ$6,"C.Nhật",$F14:$AJ15)/8*2</f>
        <v>0</v>
      </c>
      <c r="AN14" s="241">
        <f t="shared" ref="AN14" si="6">SUM(AK14:AM15)</f>
        <v>25</v>
      </c>
      <c r="AO14" s="255">
        <v>0</v>
      </c>
      <c r="AP14" s="241"/>
      <c r="AQ14" s="241"/>
      <c r="AR14" s="241"/>
      <c r="AS14" s="243"/>
      <c r="AT14" s="21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1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/>
      <c r="G16" s="132"/>
      <c r="H16" s="132">
        <v>8</v>
      </c>
      <c r="I16" s="132">
        <v>8</v>
      </c>
      <c r="J16" s="132">
        <v>8</v>
      </c>
      <c r="K16" s="132">
        <v>8</v>
      </c>
      <c r="L16" s="132">
        <v>8</v>
      </c>
      <c r="M16" s="132"/>
      <c r="N16" s="132">
        <v>8</v>
      </c>
      <c r="O16" s="132">
        <v>8</v>
      </c>
      <c r="P16" s="132">
        <v>8</v>
      </c>
      <c r="Q16" s="132">
        <v>8</v>
      </c>
      <c r="R16" s="132">
        <v>8</v>
      </c>
      <c r="S16" s="132">
        <v>8</v>
      </c>
      <c r="T16" s="132"/>
      <c r="U16" s="132">
        <v>8</v>
      </c>
      <c r="V16" s="132">
        <v>8</v>
      </c>
      <c r="W16" s="132">
        <v>8</v>
      </c>
      <c r="X16" s="132">
        <v>8</v>
      </c>
      <c r="Y16" s="132">
        <v>8</v>
      </c>
      <c r="Z16" s="132">
        <v>8</v>
      </c>
      <c r="AA16" s="132"/>
      <c r="AB16" s="132">
        <v>8</v>
      </c>
      <c r="AC16" s="132">
        <v>8</v>
      </c>
      <c r="AD16" s="132">
        <v>8</v>
      </c>
      <c r="AE16" s="132">
        <v>8</v>
      </c>
      <c r="AF16" s="132">
        <v>8</v>
      </c>
      <c r="AG16" s="132">
        <v>8</v>
      </c>
      <c r="AH16" s="132"/>
      <c r="AI16" s="132">
        <v>8</v>
      </c>
      <c r="AJ16" s="132">
        <v>8</v>
      </c>
      <c r="AK16" s="251">
        <f t="shared" ref="AK16" si="7">((SUM(F16:AJ16))/8)-(SUMIF($F$6:$AJ$6,"C.Nhật",F16:AJ16)/8)</f>
        <v>25</v>
      </c>
      <c r="AL16" s="251">
        <f t="shared" ref="AL16" si="8">SUM(F17:AJ17)/8*1.5</f>
        <v>0</v>
      </c>
      <c r="AM16" s="253">
        <f>SUMIF($F$6:$AJ$6,"C.Nhật",$F16:$AJ17)/8*2</f>
        <v>0</v>
      </c>
      <c r="AN16" s="241">
        <f t="shared" ref="AN16" si="9">SUM(AK16:AM17)</f>
        <v>25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3"/>
    </row>
    <row r="19" spans="1:90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3"/>
    </row>
    <row r="20" spans="1:90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3"/>
    </row>
    <row r="21" spans="1:90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111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04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113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40</v>
      </c>
      <c r="D26" s="104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113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L16:AL17"/>
    <mergeCell ref="AM16:AM17"/>
    <mergeCell ref="AN16:AN17"/>
    <mergeCell ref="AO16:AO17"/>
    <mergeCell ref="AP16:AP17"/>
    <mergeCell ref="AS16:AS17"/>
    <mergeCell ref="AR14:AR15"/>
    <mergeCell ref="AS14:AS15"/>
    <mergeCell ref="AM12:AM13"/>
    <mergeCell ref="AN12:AN13"/>
    <mergeCell ref="AO12:AO13"/>
    <mergeCell ref="AP12:AP13"/>
    <mergeCell ref="AQ16:AQ17"/>
    <mergeCell ref="AR16:AR17"/>
    <mergeCell ref="AN14:AN15"/>
    <mergeCell ref="AO14:AO15"/>
    <mergeCell ref="AP14:AP15"/>
    <mergeCell ref="AQ14:AQ15"/>
    <mergeCell ref="AQ12:AQ13"/>
    <mergeCell ref="AR12:AR13"/>
    <mergeCell ref="AM1:AS1"/>
    <mergeCell ref="AM9:AM10"/>
    <mergeCell ref="AO5:AO6"/>
    <mergeCell ref="AP5:AP6"/>
    <mergeCell ref="AN5:AN6"/>
    <mergeCell ref="AQ5:AQ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L14:AL15"/>
    <mergeCell ref="AM14:AM15"/>
    <mergeCell ref="AT5:AT6"/>
    <mergeCell ref="AO9:AO10"/>
    <mergeCell ref="AP9:AP10"/>
    <mergeCell ref="AQ9:AQ10"/>
    <mergeCell ref="AR9:AR10"/>
    <mergeCell ref="AS9:AS10"/>
    <mergeCell ref="AS5:AS6"/>
    <mergeCell ref="AR5:AR6"/>
    <mergeCell ref="AN9:AN10"/>
    <mergeCell ref="AL9:AL10"/>
    <mergeCell ref="AK5:AM5"/>
    <mergeCell ref="AK9:AK10"/>
    <mergeCell ref="AS12:AS13"/>
    <mergeCell ref="AL12:AL13"/>
    <mergeCell ref="C14:C15"/>
    <mergeCell ref="D14:D15"/>
    <mergeCell ref="AK14:AK15"/>
    <mergeCell ref="C12:C13"/>
    <mergeCell ref="A14:A15"/>
    <mergeCell ref="B14:B15"/>
    <mergeCell ref="A12:A13"/>
    <mergeCell ref="B12:B13"/>
    <mergeCell ref="D12:D13"/>
    <mergeCell ref="AK12:AK13"/>
    <mergeCell ref="A16:A17"/>
    <mergeCell ref="B16:B17"/>
    <mergeCell ref="C16:C17"/>
    <mergeCell ref="D16:D17"/>
    <mergeCell ref="AK16:AK17"/>
  </mergeCells>
  <phoneticPr fontId="47" type="noConversion"/>
  <conditionalFormatting sqref="F5:AJ6 F9:AJ10 F16:F17">
    <cfRule type="expression" dxfId="66" priority="53" stopIfTrue="1">
      <formula>IF(WEEKDAY(F$5)=1,TRUE,FALSE)</formula>
    </cfRule>
  </conditionalFormatting>
  <conditionalFormatting sqref="F9:AJ10">
    <cfRule type="expression" dxfId="65" priority="50" stopIfTrue="1">
      <formula>IF(WEEKDAY(F$5)=1,TRUE,FALSE)</formula>
    </cfRule>
  </conditionalFormatting>
  <conditionalFormatting sqref="F12:F13">
    <cfRule type="expression" dxfId="64" priority="16" stopIfTrue="1">
      <formula>IF(WEEKDAY(F$5)=1,TRUE,FALSE)</formula>
    </cfRule>
  </conditionalFormatting>
  <conditionalFormatting sqref="F12:F13">
    <cfRule type="expression" dxfId="63" priority="15" stopIfTrue="1">
      <formula>IF(WEEKDAY(F$5)=1,TRUE,FALSE)</formula>
    </cfRule>
  </conditionalFormatting>
  <conditionalFormatting sqref="F14:F15">
    <cfRule type="expression" dxfId="62" priority="10" stopIfTrue="1">
      <formula>IF(WEEKDAY(F$5)=1,TRUE,FALSE)</formula>
    </cfRule>
  </conditionalFormatting>
  <conditionalFormatting sqref="F14:F15">
    <cfRule type="expression" dxfId="61" priority="9" stopIfTrue="1">
      <formula>IF(WEEKDAY(F$5)=1,TRUE,FALSE)</formula>
    </cfRule>
  </conditionalFormatting>
  <conditionalFormatting sqref="G12:AJ15">
    <cfRule type="expression" dxfId="60" priority="8" stopIfTrue="1">
      <formula>IF(WEEKDAY(G$5)=1,TRUE,FALSE)</formula>
    </cfRule>
  </conditionalFormatting>
  <conditionalFormatting sqref="G12:AJ15">
    <cfRule type="expression" dxfId="59" priority="7" stopIfTrue="1">
      <formula>IF(WEEKDAY(G$5)=1,TRUE,FALSE)</formula>
    </cfRule>
  </conditionalFormatting>
  <conditionalFormatting sqref="G16:AJ17">
    <cfRule type="expression" dxfId="58" priority="6" stopIfTrue="1">
      <formula>IF(WEEKDAY(G$5)=1,TRUE,FALSE)</formula>
    </cfRule>
  </conditionalFormatting>
  <conditionalFormatting sqref="G16:AJ17">
    <cfRule type="expression" dxfId="57" priority="5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A2" sqref="A2:A3"/>
      <selection pane="topRight" activeCell="A2" sqref="A2:A3"/>
      <selection pane="bottomLeft" activeCell="A2" sqref="A2:A3"/>
      <selection pane="bottomRight" activeCell="S20" sqref="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40"/>
      <c r="C1" s="40"/>
      <c r="D1" s="269" t="str">
        <f>"BẢNG THANH TOÁN LƯƠNG THÁNG"&amp;" "&amp;TEXT($E$4,"mm")&amp;" / "&amp;TEXT($E$4,"yyyy")</f>
        <v>BẢNG THANH TOÁN LƯƠNG THÁNG 05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40"/>
      <c r="C2" s="40"/>
      <c r="D2" s="40"/>
      <c r="E2" s="70"/>
      <c r="F2" s="40"/>
      <c r="G2" s="40"/>
      <c r="H2" s="40"/>
      <c r="I2" s="40"/>
      <c r="J2" s="71"/>
      <c r="K2" s="40"/>
      <c r="L2" s="40"/>
      <c r="M2" s="161"/>
      <c r="N2" s="40"/>
      <c r="O2" s="40"/>
      <c r="P2" s="40"/>
      <c r="Q2" s="40"/>
      <c r="R2" s="40"/>
      <c r="S2" s="40"/>
      <c r="T2" s="48"/>
      <c r="U2" s="69">
        <f>MAX(F10:F18)</f>
        <v>25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40"/>
      <c r="C3" s="40"/>
      <c r="D3" s="40"/>
      <c r="E3" s="70"/>
      <c r="F3" s="40"/>
      <c r="G3" s="40"/>
      <c r="H3" s="40"/>
      <c r="I3" s="40"/>
      <c r="J3" s="71"/>
      <c r="K3" s="40"/>
      <c r="L3" s="40"/>
      <c r="M3" s="161"/>
      <c r="N3" s="40"/>
      <c r="O3" s="40"/>
      <c r="P3" s="40"/>
      <c r="Q3" s="40"/>
      <c r="R3" s="40"/>
      <c r="S3" s="40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-5'!$E$4</f>
        <v>42491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28" t="s">
        <v>34</v>
      </c>
      <c r="G7" s="29" t="s">
        <v>18</v>
      </c>
      <c r="H7" s="158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-5'!$B$8:$AS$17,36,0)</f>
        <v>25</v>
      </c>
      <c r="G10" s="134">
        <f t="shared" ref="G10" si="3">ROUND(E10/$U$2*F10,0)</f>
        <v>5000000</v>
      </c>
      <c r="H10" s="81">
        <f>(VLOOKUP(B10,'CC -5'!$B$8:$AS$17,37,0)+VLOOKUP(B10,'CC -5'!$B$8:$AS$17,38,0))</f>
        <v>0</v>
      </c>
      <c r="I10" s="134">
        <f t="shared" ref="I10" si="4">ROUND(E10/$U$2*H10,0)</f>
        <v>0</v>
      </c>
      <c r="J10" s="82">
        <f t="shared" ref="J10" si="5">F10+H10</f>
        <v>25</v>
      </c>
      <c r="K10" s="33">
        <f>G10+I10</f>
        <v>5000000</v>
      </c>
      <c r="L10" s="79">
        <f t="shared" ref="L10" si="6">+F10*15000</f>
        <v>375000</v>
      </c>
      <c r="M10" s="34">
        <f t="shared" ref="M10" si="7">K10+L10</f>
        <v>5375000</v>
      </c>
      <c r="N10" s="34">
        <f>IF(VLOOKUP($B10,DS,17,0)="x",$E10*N$4,0)</f>
        <v>0</v>
      </c>
      <c r="O10" s="34">
        <f>IF(VLOOKUP($B10,DS,17,0)="x",$E10*O$4,0)</f>
        <v>0</v>
      </c>
      <c r="P10" s="34">
        <f>IF(VLOOKUP($B10,DS,17,0)="x",$E10*P$4,0)</f>
        <v>0</v>
      </c>
      <c r="Q10" s="33">
        <f t="shared" ref="Q10" si="8">M10-SUM(N10:P10)</f>
        <v>5375000</v>
      </c>
      <c r="R10" s="33">
        <f>VLOOKUP(B10,DS,23,0)</f>
        <v>0</v>
      </c>
      <c r="S10" s="39">
        <f t="shared" ref="S10" si="9">Q10-R10</f>
        <v>5375000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SUM(E9:E10)</f>
        <v>5000000</v>
      </c>
      <c r="F12" s="129"/>
      <c r="G12" s="129">
        <f>SUM(G9:G10)</f>
        <v>5000000</v>
      </c>
      <c r="H12" s="129"/>
      <c r="I12" s="129">
        <f>SUM(I9:I10)</f>
        <v>0</v>
      </c>
      <c r="J12" s="129"/>
      <c r="K12" s="129">
        <f t="shared" ref="K12:S12" si="10">SUM(K9:K10)</f>
        <v>5000000</v>
      </c>
      <c r="L12" s="129">
        <f t="shared" si="10"/>
        <v>375000</v>
      </c>
      <c r="M12" s="129">
        <f t="shared" si="10"/>
        <v>5375000</v>
      </c>
      <c r="N12" s="129">
        <f t="shared" si="10"/>
        <v>0</v>
      </c>
      <c r="O12" s="129">
        <f t="shared" si="10"/>
        <v>0</v>
      </c>
      <c r="P12" s="129">
        <f t="shared" si="10"/>
        <v>0</v>
      </c>
      <c r="Q12" s="129">
        <f t="shared" si="10"/>
        <v>5375000</v>
      </c>
      <c r="R12" s="129">
        <f t="shared" si="10"/>
        <v>0</v>
      </c>
      <c r="S12" s="129">
        <f t="shared" si="10"/>
        <v>5375000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:C16" si="11">VLOOKUP(B14,DS,2,0)</f>
        <v>Bùi Trường Giang</v>
      </c>
      <c r="D14" s="105" t="str">
        <f t="shared" ref="D14:D16" si="12">VLOOKUP(B14,DS,3,0)</f>
        <v>Thợ in</v>
      </c>
      <c r="E14" s="79">
        <f t="shared" ref="E14:E16" si="13">VLOOKUP(B14,DS,4,0)</f>
        <v>5000000</v>
      </c>
      <c r="F14" s="81">
        <f>VLOOKUP(B14,'CC -5'!$B$8:$AS$17,36,0)</f>
        <v>25</v>
      </c>
      <c r="G14" s="134">
        <f t="shared" ref="G14:G16" si="14">ROUND(E14/$U$2*F14,0)</f>
        <v>5000000</v>
      </c>
      <c r="H14" s="81">
        <f>(VLOOKUP(B14,'CC -5'!$B$8:$AS$17,37,0)+VLOOKUP(B14,'CC -5'!$B$8:$AS$17,38,0))</f>
        <v>0</v>
      </c>
      <c r="I14" s="134">
        <f t="shared" ref="I14:I16" si="15">ROUND(E14/$U$2*H14,0)</f>
        <v>0</v>
      </c>
      <c r="J14" s="135">
        <f t="shared" ref="J14:J16" si="16">F14+H14</f>
        <v>25</v>
      </c>
      <c r="K14" s="33">
        <f t="shared" ref="K14:K16" si="17">G14+I14</f>
        <v>5000000</v>
      </c>
      <c r="L14" s="79">
        <f t="shared" ref="L14:L16" si="18">+F14*15000</f>
        <v>375000</v>
      </c>
      <c r="M14" s="34">
        <f t="shared" ref="M14:M16" si="19">K14+L14</f>
        <v>5375000</v>
      </c>
      <c r="N14" s="34">
        <f t="shared" ref="N14:P16" si="20">IF(VLOOKUP($B14,DS,17,0)="x",$E14*N$4,0)</f>
        <v>0</v>
      </c>
      <c r="O14" s="34">
        <f t="shared" si="20"/>
        <v>0</v>
      </c>
      <c r="P14" s="34">
        <f t="shared" si="20"/>
        <v>0</v>
      </c>
      <c r="Q14" s="33">
        <f>M14-SUM(N14:P14)</f>
        <v>5375000</v>
      </c>
      <c r="R14" s="33">
        <f t="shared" ref="R14:R16" si="21">VLOOKUP(B14,DS,23,0)</f>
        <v>0</v>
      </c>
      <c r="S14" s="39">
        <f>Q14-R14</f>
        <v>5375000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" si="22">VLOOKUP(B15,DS,2,0)</f>
        <v>Lý Thanh Hải</v>
      </c>
      <c r="D15" s="105" t="str">
        <f t="shared" ref="D15" si="23">VLOOKUP(B15,DS,3,0)</f>
        <v>Công Đoạn 1</v>
      </c>
      <c r="E15" s="79">
        <f t="shared" ref="E15" si="24">VLOOKUP(B15,DS,4,0)</f>
        <v>5000000</v>
      </c>
      <c r="F15" s="81">
        <f>VLOOKUP(B15,'CC -5'!$B$8:$AS$17,36,0)</f>
        <v>25</v>
      </c>
      <c r="G15" s="134">
        <f t="shared" ref="G15" si="25">ROUND(E15/$U$2*F15,0)</f>
        <v>5000000</v>
      </c>
      <c r="H15" s="81">
        <f>(VLOOKUP(B15,'CC -5'!$B$8:$AS$17,37,0)+VLOOKUP(B15,'CC -5'!$B$8:$AS$17,38,0))</f>
        <v>0</v>
      </c>
      <c r="I15" s="134">
        <f t="shared" ref="I15" si="26">ROUND(E15/$U$2*H15,0)</f>
        <v>0</v>
      </c>
      <c r="J15" s="135">
        <f t="shared" ref="J15" si="27">F15+H15</f>
        <v>25</v>
      </c>
      <c r="K15" s="33">
        <f t="shared" ref="K15" si="28">G15+I15</f>
        <v>5000000</v>
      </c>
      <c r="L15" s="79">
        <f t="shared" ref="L15" si="29">+F15*15000</f>
        <v>375000</v>
      </c>
      <c r="M15" s="34">
        <f t="shared" ref="M15" si="30">K15+L15</f>
        <v>5375000</v>
      </c>
      <c r="N15" s="34">
        <f t="shared" si="20"/>
        <v>0</v>
      </c>
      <c r="O15" s="34">
        <f t="shared" si="20"/>
        <v>0</v>
      </c>
      <c r="P15" s="34">
        <f t="shared" si="20"/>
        <v>0</v>
      </c>
      <c r="Q15" s="33">
        <f t="shared" ref="Q15" si="31">M15-SUM(N15:P15)</f>
        <v>5375000</v>
      </c>
      <c r="R15" s="33">
        <f t="shared" ref="R15" si="32">VLOOKUP(B15,DS,23,0)</f>
        <v>0</v>
      </c>
      <c r="S15" s="39">
        <f t="shared" ref="S15" si="33">Q15-R15</f>
        <v>5375000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11"/>
        <v>Lê Văn Hữu</v>
      </c>
      <c r="D16" s="105" t="str">
        <f t="shared" si="12"/>
        <v>Công Đoạn 2</v>
      </c>
      <c r="E16" s="79">
        <f t="shared" si="13"/>
        <v>5000000</v>
      </c>
      <c r="F16" s="81">
        <f>VLOOKUP(B16,'CC -5'!$B$8:$AS$17,36,0)</f>
        <v>25</v>
      </c>
      <c r="G16" s="134">
        <f t="shared" si="14"/>
        <v>5000000</v>
      </c>
      <c r="H16" s="81">
        <f>(VLOOKUP(B16,'CC -5'!$B$8:$AS$17,37,0)+VLOOKUP(B16,'CC -5'!$B$8:$AS$17,38,0))</f>
        <v>0</v>
      </c>
      <c r="I16" s="134">
        <f t="shared" si="15"/>
        <v>0</v>
      </c>
      <c r="J16" s="135">
        <f t="shared" si="16"/>
        <v>25</v>
      </c>
      <c r="K16" s="33">
        <f t="shared" si="17"/>
        <v>5000000</v>
      </c>
      <c r="L16" s="79">
        <f t="shared" si="18"/>
        <v>375000</v>
      </c>
      <c r="M16" s="34">
        <f t="shared" si="19"/>
        <v>5375000</v>
      </c>
      <c r="N16" s="34">
        <f t="shared" si="20"/>
        <v>0</v>
      </c>
      <c r="O16" s="34">
        <f t="shared" si="20"/>
        <v>0</v>
      </c>
      <c r="P16" s="34">
        <f t="shared" si="20"/>
        <v>0</v>
      </c>
      <c r="Q16" s="33">
        <f t="shared" ref="Q16" si="34">M16-SUM(N16:P16)</f>
        <v>5375000</v>
      </c>
      <c r="R16" s="33">
        <f t="shared" si="21"/>
        <v>0</v>
      </c>
      <c r="S16" s="39">
        <f t="shared" ref="S16" si="35">Q16-R16</f>
        <v>5375000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6">SUM(K13:K17)</f>
        <v>15000000</v>
      </c>
      <c r="L18" s="129">
        <f t="shared" si="36"/>
        <v>1125000</v>
      </c>
      <c r="M18" s="129">
        <f t="shared" si="36"/>
        <v>16125000</v>
      </c>
      <c r="N18" s="129">
        <f t="shared" si="36"/>
        <v>0</v>
      </c>
      <c r="O18" s="129">
        <f t="shared" si="36"/>
        <v>0</v>
      </c>
      <c r="P18" s="129">
        <f t="shared" si="36"/>
        <v>0</v>
      </c>
      <c r="Q18" s="129">
        <f t="shared" si="36"/>
        <v>16125000</v>
      </c>
      <c r="R18" s="129">
        <f t="shared" si="36"/>
        <v>0</v>
      </c>
      <c r="S18" s="129">
        <f t="shared" si="36"/>
        <v>16125000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05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N5:P6 L5 L21 J6:K7 L7 A24:T57 U30:U57 N17:S17 V24:IK57 J17:L17 A58:IK65325 AF13:IK13 V12:IK12 D12:T12 D18:T18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2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2" customWidth="1"/>
    <col min="34" max="35" width="3.42578125" style="113" customWidth="1"/>
    <col min="36" max="36" width="3.42578125" style="113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06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42522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42522</v>
      </c>
      <c r="G5" s="107">
        <f t="shared" ref="G5:AJ5" si="0">F5+1</f>
        <v>42523</v>
      </c>
      <c r="H5" s="107">
        <f t="shared" si="0"/>
        <v>42524</v>
      </c>
      <c r="I5" s="107">
        <f t="shared" si="0"/>
        <v>42525</v>
      </c>
      <c r="J5" s="107">
        <f t="shared" si="0"/>
        <v>42526</v>
      </c>
      <c r="K5" s="107">
        <f t="shared" si="0"/>
        <v>42527</v>
      </c>
      <c r="L5" s="107">
        <f t="shared" si="0"/>
        <v>42528</v>
      </c>
      <c r="M5" s="107">
        <f t="shared" si="0"/>
        <v>42529</v>
      </c>
      <c r="N5" s="107">
        <f t="shared" si="0"/>
        <v>42530</v>
      </c>
      <c r="O5" s="107">
        <f t="shared" si="0"/>
        <v>42531</v>
      </c>
      <c r="P5" s="107">
        <f t="shared" si="0"/>
        <v>42532</v>
      </c>
      <c r="Q5" s="107">
        <f t="shared" si="0"/>
        <v>42533</v>
      </c>
      <c r="R5" s="107">
        <f t="shared" si="0"/>
        <v>42534</v>
      </c>
      <c r="S5" s="107">
        <f t="shared" si="0"/>
        <v>42535</v>
      </c>
      <c r="T5" s="107">
        <f t="shared" si="0"/>
        <v>42536</v>
      </c>
      <c r="U5" s="107">
        <f t="shared" si="0"/>
        <v>42537</v>
      </c>
      <c r="V5" s="107">
        <f t="shared" si="0"/>
        <v>42538</v>
      </c>
      <c r="W5" s="107">
        <f t="shared" si="0"/>
        <v>42539</v>
      </c>
      <c r="X5" s="107">
        <f t="shared" si="0"/>
        <v>42540</v>
      </c>
      <c r="Y5" s="107">
        <f t="shared" si="0"/>
        <v>42541</v>
      </c>
      <c r="Z5" s="107">
        <f t="shared" si="0"/>
        <v>42542</v>
      </c>
      <c r="AA5" s="107">
        <f t="shared" si="0"/>
        <v>42543</v>
      </c>
      <c r="AB5" s="107">
        <f t="shared" si="0"/>
        <v>42544</v>
      </c>
      <c r="AC5" s="107">
        <f t="shared" si="0"/>
        <v>42545</v>
      </c>
      <c r="AD5" s="107">
        <f t="shared" si="0"/>
        <v>42546</v>
      </c>
      <c r="AE5" s="107">
        <f t="shared" si="0"/>
        <v>42547</v>
      </c>
      <c r="AF5" s="107">
        <f t="shared" si="0"/>
        <v>42548</v>
      </c>
      <c r="AG5" s="107">
        <f t="shared" si="0"/>
        <v>42549</v>
      </c>
      <c r="AH5" s="107">
        <f>AG5+1</f>
        <v>42550</v>
      </c>
      <c r="AI5" s="107">
        <f t="shared" si="0"/>
        <v>42551</v>
      </c>
      <c r="AJ5" s="107">
        <f t="shared" si="0"/>
        <v>42552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T.Tư</v>
      </c>
      <c r="G6" s="162" t="str">
        <f t="shared" ref="G6:AJ6" si="1">CHOOSE(WEEKDAY(G5),"C.Nhật","T.Hai","T.Ba","T.Tư","T.Năm","T.Sáu","T.Bảy")</f>
        <v>T.Năm</v>
      </c>
      <c r="H6" s="162" t="str">
        <f t="shared" si="1"/>
        <v>T.Sáu</v>
      </c>
      <c r="I6" s="162" t="str">
        <f t="shared" si="1"/>
        <v>T.Bảy</v>
      </c>
      <c r="J6" s="162" t="str">
        <f t="shared" si="1"/>
        <v>C.Nhật</v>
      </c>
      <c r="K6" s="162" t="str">
        <f t="shared" si="1"/>
        <v>T.Hai</v>
      </c>
      <c r="L6" s="162" t="str">
        <f t="shared" si="1"/>
        <v>T.Ba</v>
      </c>
      <c r="M6" s="162" t="str">
        <f t="shared" si="1"/>
        <v>T.Tư</v>
      </c>
      <c r="N6" s="162" t="str">
        <f t="shared" si="1"/>
        <v>T.Năm</v>
      </c>
      <c r="O6" s="162" t="str">
        <f t="shared" si="1"/>
        <v>T.Sáu</v>
      </c>
      <c r="P6" s="162" t="str">
        <f t="shared" si="1"/>
        <v>T.Bảy</v>
      </c>
      <c r="Q6" s="162" t="str">
        <f t="shared" si="1"/>
        <v>C.Nhật</v>
      </c>
      <c r="R6" s="162" t="str">
        <f t="shared" si="1"/>
        <v>T.Hai</v>
      </c>
      <c r="S6" s="162" t="str">
        <f t="shared" si="1"/>
        <v>T.Ba</v>
      </c>
      <c r="T6" s="162" t="str">
        <f t="shared" si="1"/>
        <v>T.Tư</v>
      </c>
      <c r="U6" s="162" t="str">
        <f t="shared" si="1"/>
        <v>T.Năm</v>
      </c>
      <c r="V6" s="162" t="str">
        <f t="shared" si="1"/>
        <v>T.Sáu</v>
      </c>
      <c r="W6" s="162" t="str">
        <f t="shared" si="1"/>
        <v>T.Bảy</v>
      </c>
      <c r="X6" s="162" t="str">
        <f t="shared" si="1"/>
        <v>C.Nhật</v>
      </c>
      <c r="Y6" s="162" t="str">
        <f t="shared" si="1"/>
        <v>T.Hai</v>
      </c>
      <c r="Z6" s="162" t="str">
        <f t="shared" si="1"/>
        <v>T.Ba</v>
      </c>
      <c r="AA6" s="162" t="str">
        <f t="shared" si="1"/>
        <v>T.Tư</v>
      </c>
      <c r="AB6" s="162" t="str">
        <f t="shared" si="1"/>
        <v>T.Năm</v>
      </c>
      <c r="AC6" s="162" t="str">
        <f t="shared" si="1"/>
        <v>T.Sáu</v>
      </c>
      <c r="AD6" s="162" t="str">
        <f t="shared" si="1"/>
        <v>T.Bảy</v>
      </c>
      <c r="AE6" s="162" t="str">
        <f t="shared" si="1"/>
        <v>C.Nhật</v>
      </c>
      <c r="AF6" s="162" t="str">
        <f t="shared" si="1"/>
        <v>T.Hai</v>
      </c>
      <c r="AG6" s="162" t="str">
        <f t="shared" si="1"/>
        <v>T.Ba</v>
      </c>
      <c r="AH6" s="162" t="str">
        <f t="shared" si="1"/>
        <v>T.Tư</v>
      </c>
      <c r="AI6" s="162" t="str">
        <f t="shared" si="1"/>
        <v>T.Năm</v>
      </c>
      <c r="AJ6" s="162" t="str">
        <f t="shared" si="1"/>
        <v>T.Sáu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82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>
        <v>8</v>
      </c>
      <c r="H9" s="132">
        <v>8</v>
      </c>
      <c r="I9" s="132">
        <v>8</v>
      </c>
      <c r="J9" s="132"/>
      <c r="K9" s="132">
        <v>8</v>
      </c>
      <c r="L9" s="132">
        <v>8</v>
      </c>
      <c r="M9" s="132">
        <v>8</v>
      </c>
      <c r="N9" s="132">
        <v>8</v>
      </c>
      <c r="O9" s="132">
        <v>8</v>
      </c>
      <c r="P9" s="132">
        <v>8</v>
      </c>
      <c r="Q9" s="132"/>
      <c r="R9" s="132">
        <v>8</v>
      </c>
      <c r="S9" s="132">
        <v>8</v>
      </c>
      <c r="T9" s="132">
        <v>8</v>
      </c>
      <c r="U9" s="132">
        <v>8</v>
      </c>
      <c r="V9" s="132">
        <v>8</v>
      </c>
      <c r="W9" s="132">
        <v>8</v>
      </c>
      <c r="X9" s="132"/>
      <c r="Y9" s="132">
        <v>8</v>
      </c>
      <c r="Z9" s="132">
        <v>8</v>
      </c>
      <c r="AA9" s="132">
        <v>8</v>
      </c>
      <c r="AB9" s="132">
        <v>8</v>
      </c>
      <c r="AC9" s="132">
        <v>8</v>
      </c>
      <c r="AD9" s="132">
        <v>8</v>
      </c>
      <c r="AE9" s="132"/>
      <c r="AF9" s="132">
        <v>8</v>
      </c>
      <c r="AG9" s="132">
        <v>8</v>
      </c>
      <c r="AH9" s="132">
        <v>8</v>
      </c>
      <c r="AI9" s="132">
        <v>8</v>
      </c>
      <c r="AJ9" s="132"/>
      <c r="AK9" s="251">
        <f>((SUM(F9:AJ9))/8)-(SUMIF($F$6:$AJ$6,"C.Nhật",F9:AJ9)/8)</f>
        <v>26</v>
      </c>
      <c r="AL9" s="251">
        <f>SUM(F10:AJ10)/8*1.5</f>
        <v>0</v>
      </c>
      <c r="AM9" s="253">
        <f>SUMIF($F$6:$AJ$6,"C.Nhật",$F9:$AJ10)/8*2</f>
        <v>0</v>
      </c>
      <c r="AN9" s="241">
        <f>SUM(AK9:AM10)</f>
        <v>26</v>
      </c>
      <c r="AO9" s="255">
        <v>0</v>
      </c>
      <c r="AP9" s="241"/>
      <c r="AQ9" s="241"/>
      <c r="AR9" s="241"/>
      <c r="AS9" s="243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1"/>
      <c r="AT11" s="167"/>
    </row>
    <row r="12" spans="1:91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>
        <v>8</v>
      </c>
      <c r="G12" s="132">
        <v>8</v>
      </c>
      <c r="H12" s="132">
        <v>8</v>
      </c>
      <c r="I12" s="132">
        <v>8</v>
      </c>
      <c r="J12" s="132"/>
      <c r="K12" s="132">
        <v>8</v>
      </c>
      <c r="L12" s="132">
        <v>8</v>
      </c>
      <c r="M12" s="132">
        <v>8</v>
      </c>
      <c r="N12" s="132">
        <v>8</v>
      </c>
      <c r="O12" s="132">
        <v>8</v>
      </c>
      <c r="P12" s="132">
        <v>8</v>
      </c>
      <c r="Q12" s="132"/>
      <c r="R12" s="132">
        <v>8</v>
      </c>
      <c r="S12" s="132">
        <v>8</v>
      </c>
      <c r="T12" s="132">
        <v>8</v>
      </c>
      <c r="U12" s="132">
        <v>8</v>
      </c>
      <c r="V12" s="132">
        <v>8</v>
      </c>
      <c r="W12" s="132">
        <v>8</v>
      </c>
      <c r="X12" s="132"/>
      <c r="Y12" s="132">
        <v>8</v>
      </c>
      <c r="Z12" s="132">
        <v>8</v>
      </c>
      <c r="AA12" s="132">
        <v>8</v>
      </c>
      <c r="AB12" s="132">
        <v>8</v>
      </c>
      <c r="AC12" s="132">
        <v>8</v>
      </c>
      <c r="AD12" s="132">
        <v>8</v>
      </c>
      <c r="AE12" s="132"/>
      <c r="AF12" s="132">
        <v>8</v>
      </c>
      <c r="AG12" s="132">
        <v>8</v>
      </c>
      <c r="AH12" s="132">
        <v>8</v>
      </c>
      <c r="AI12" s="132">
        <v>8</v>
      </c>
      <c r="AJ12" s="132"/>
      <c r="AK12" s="251">
        <f t="shared" ref="AK12" si="2">((SUM(F12:AJ12))/8)-(SUMIF($F$6:$AJ$6,"C.Nhật",F12:AJ12)/8)</f>
        <v>26</v>
      </c>
      <c r="AL12" s="251">
        <f t="shared" ref="AL12" si="3">SUM(F13:AJ13)/8*1.5</f>
        <v>0</v>
      </c>
      <c r="AM12" s="253">
        <f>SUMIF($F$6:$AJ$6,"C.Nhật",$F12:$AJ13)/8*2</f>
        <v>0</v>
      </c>
      <c r="AN12" s="241">
        <f>SUM(AK12:AM13)</f>
        <v>26</v>
      </c>
      <c r="AO12" s="255">
        <v>0</v>
      </c>
      <c r="AP12" s="241"/>
      <c r="AQ12" s="241"/>
      <c r="AR12" s="241"/>
      <c r="AS12" s="243"/>
      <c r="AT12" s="20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252"/>
      <c r="AL13" s="252"/>
      <c r="AM13" s="254"/>
      <c r="AN13" s="242"/>
      <c r="AO13" s="256"/>
      <c r="AP13" s="242"/>
      <c r="AQ13" s="242"/>
      <c r="AR13" s="242"/>
      <c r="AS13" s="244"/>
      <c r="AT13" s="20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>
        <v>8</v>
      </c>
      <c r="G14" s="132">
        <v>8</v>
      </c>
      <c r="H14" s="132">
        <v>8</v>
      </c>
      <c r="I14" s="132">
        <v>8</v>
      </c>
      <c r="J14" s="132"/>
      <c r="K14" s="132">
        <v>8</v>
      </c>
      <c r="L14" s="132">
        <v>8</v>
      </c>
      <c r="M14" s="132">
        <v>8</v>
      </c>
      <c r="N14" s="132">
        <v>8</v>
      </c>
      <c r="O14" s="132">
        <v>8</v>
      </c>
      <c r="P14" s="132">
        <v>8</v>
      </c>
      <c r="Q14" s="132"/>
      <c r="R14" s="132">
        <v>8</v>
      </c>
      <c r="S14" s="132">
        <v>8</v>
      </c>
      <c r="T14" s="132">
        <v>8</v>
      </c>
      <c r="U14" s="132">
        <v>8</v>
      </c>
      <c r="V14" s="132">
        <v>8</v>
      </c>
      <c r="W14" s="132">
        <v>8</v>
      </c>
      <c r="X14" s="132"/>
      <c r="Y14" s="132">
        <v>8</v>
      </c>
      <c r="Z14" s="132">
        <v>8</v>
      </c>
      <c r="AA14" s="132">
        <v>8</v>
      </c>
      <c r="AB14" s="132">
        <v>8</v>
      </c>
      <c r="AC14" s="132">
        <v>8</v>
      </c>
      <c r="AD14" s="132">
        <v>8</v>
      </c>
      <c r="AE14" s="132"/>
      <c r="AF14" s="132">
        <v>8</v>
      </c>
      <c r="AG14" s="132">
        <v>8</v>
      </c>
      <c r="AH14" s="132">
        <v>8</v>
      </c>
      <c r="AI14" s="132">
        <v>8</v>
      </c>
      <c r="AJ14" s="132"/>
      <c r="AK14" s="251">
        <f t="shared" ref="AK14" si="4">((SUM(F14:AJ14))/8)-(SUMIF($F$6:$AJ$6,"C.Nhật",F14:AJ14)/8)</f>
        <v>26</v>
      </c>
      <c r="AL14" s="251">
        <f t="shared" ref="AL14" si="5">SUM(F15:AJ15)/8*1.5</f>
        <v>0</v>
      </c>
      <c r="AM14" s="253">
        <f>SUMIF($F$6:$AJ$6,"C.Nhật",$F14:$AJ15)/8*2</f>
        <v>0</v>
      </c>
      <c r="AN14" s="241">
        <f t="shared" ref="AN14" si="6">SUM(AK14:AM15)</f>
        <v>26</v>
      </c>
      <c r="AO14" s="255">
        <v>0</v>
      </c>
      <c r="AP14" s="241"/>
      <c r="AQ14" s="241"/>
      <c r="AR14" s="241"/>
      <c r="AS14" s="243"/>
      <c r="AT14" s="21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1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>
        <v>8</v>
      </c>
      <c r="G16" s="132">
        <v>8</v>
      </c>
      <c r="H16" s="132">
        <v>8</v>
      </c>
      <c r="I16" s="132">
        <v>8</v>
      </c>
      <c r="J16" s="132"/>
      <c r="K16" s="132">
        <v>8</v>
      </c>
      <c r="L16" s="132">
        <v>8</v>
      </c>
      <c r="M16" s="132">
        <v>8</v>
      </c>
      <c r="N16" s="132">
        <v>8</v>
      </c>
      <c r="O16" s="132">
        <v>8</v>
      </c>
      <c r="P16" s="132">
        <v>8</v>
      </c>
      <c r="Q16" s="132"/>
      <c r="R16" s="132">
        <v>8</v>
      </c>
      <c r="S16" s="132">
        <v>8</v>
      </c>
      <c r="T16" s="132">
        <v>8</v>
      </c>
      <c r="U16" s="132">
        <v>8</v>
      </c>
      <c r="V16" s="132">
        <v>8</v>
      </c>
      <c r="W16" s="132">
        <v>8</v>
      </c>
      <c r="X16" s="132"/>
      <c r="Y16" s="132">
        <v>8</v>
      </c>
      <c r="Z16" s="132">
        <v>8</v>
      </c>
      <c r="AA16" s="132">
        <v>8</v>
      </c>
      <c r="AB16" s="132">
        <v>8</v>
      </c>
      <c r="AC16" s="132">
        <v>8</v>
      </c>
      <c r="AD16" s="132">
        <v>8</v>
      </c>
      <c r="AE16" s="132"/>
      <c r="AF16" s="132">
        <v>8</v>
      </c>
      <c r="AG16" s="132">
        <v>8</v>
      </c>
      <c r="AH16" s="132">
        <v>8</v>
      </c>
      <c r="AI16" s="132">
        <v>8</v>
      </c>
      <c r="AJ16" s="132"/>
      <c r="AK16" s="251">
        <f t="shared" ref="AK16" si="7">((SUM(F16:AJ16))/8)-(SUMIF($F$6:$AJ$6,"C.Nhật",F16:AJ16)/8)</f>
        <v>26</v>
      </c>
      <c r="AL16" s="251">
        <f t="shared" ref="AL16" si="8">SUM(F17:AJ17)/8*1.5</f>
        <v>0</v>
      </c>
      <c r="AM16" s="253">
        <f>SUMIF($F$6:$AJ$6,"C.Nhật",$F16:$AJ17)/8*2</f>
        <v>0</v>
      </c>
      <c r="AN16" s="241">
        <f t="shared" ref="AN16" si="9">SUM(AK16:AM17)</f>
        <v>26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3"/>
    </row>
    <row r="19" spans="1:90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3"/>
    </row>
    <row r="20" spans="1:90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3"/>
    </row>
    <row r="21" spans="1:90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111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113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40</v>
      </c>
      <c r="D26" s="179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113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4:AQ15"/>
    <mergeCell ref="AR14:AR15"/>
    <mergeCell ref="AS14:AS15"/>
    <mergeCell ref="AM12:AM13"/>
    <mergeCell ref="AN12:AN13"/>
    <mergeCell ref="AO12:AO13"/>
    <mergeCell ref="AO14:AO15"/>
    <mergeCell ref="AP14:AP15"/>
    <mergeCell ref="AP12:AP13"/>
    <mergeCell ref="AS12:AS13"/>
    <mergeCell ref="AL16:AL17"/>
    <mergeCell ref="AM16:AM17"/>
    <mergeCell ref="AS16:AS17"/>
    <mergeCell ref="AQ12:AQ13"/>
    <mergeCell ref="AR12:AR13"/>
    <mergeCell ref="AL14:AL15"/>
    <mergeCell ref="AM14:AM15"/>
    <mergeCell ref="AR16:AR17"/>
    <mergeCell ref="AN16:AN17"/>
    <mergeCell ref="AO16:AO17"/>
    <mergeCell ref="AP16:AP17"/>
    <mergeCell ref="AQ16:AQ17"/>
    <mergeCell ref="AN14:AN15"/>
    <mergeCell ref="AL12:AL13"/>
    <mergeCell ref="A12:A13"/>
    <mergeCell ref="B12:B13"/>
    <mergeCell ref="C12:C13"/>
    <mergeCell ref="D12:D13"/>
    <mergeCell ref="AK12:AK13"/>
    <mergeCell ref="A14:A15"/>
    <mergeCell ref="B14:B15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6:A17"/>
    <mergeCell ref="B16:B17"/>
    <mergeCell ref="C16:C17"/>
    <mergeCell ref="D16:D17"/>
    <mergeCell ref="AK16:AK17"/>
  </mergeCells>
  <conditionalFormatting sqref="F5:AJ6 F9:AJ10 AJ16:AJ17">
    <cfRule type="expression" dxfId="56" priority="66" stopIfTrue="1">
      <formula>IF(WEEKDAY(F$5)=1,TRUE,FALSE)</formula>
    </cfRule>
  </conditionalFormatting>
  <conditionalFormatting sqref="F9:AJ10">
    <cfRule type="expression" dxfId="55" priority="65" stopIfTrue="1">
      <formula>IF(WEEKDAY(F$5)=1,TRUE,FALSE)</formula>
    </cfRule>
  </conditionalFormatting>
  <conditionalFormatting sqref="AJ12:AJ13">
    <cfRule type="expression" dxfId="54" priority="54" stopIfTrue="1">
      <formula>IF(WEEKDAY(AJ$5)=1,TRUE,FALSE)</formula>
    </cfRule>
  </conditionalFormatting>
  <conditionalFormatting sqref="AJ12:AJ13">
    <cfRule type="expression" dxfId="53" priority="53" stopIfTrue="1">
      <formula>IF(WEEKDAY(AJ$5)=1,TRUE,FALSE)</formula>
    </cfRule>
  </conditionalFormatting>
  <conditionalFormatting sqref="AJ12:AJ13">
    <cfRule type="expression" dxfId="52" priority="52" stopIfTrue="1">
      <formula>IF(WEEKDAY(AJ$5)=1,TRUE,FALSE)</formula>
    </cfRule>
  </conditionalFormatting>
  <conditionalFormatting sqref="AJ12:AJ13">
    <cfRule type="expression" dxfId="51" priority="50" stopIfTrue="1">
      <formula>IF(WEEKDAY(AJ$5)=1,TRUE,FALSE)</formula>
    </cfRule>
  </conditionalFormatting>
  <conditionalFormatting sqref="AJ12:AJ13">
    <cfRule type="expression" dxfId="50" priority="48" stopIfTrue="1">
      <formula>IF(WEEKDAY(AJ$5)=1,TRUE,FALSE)</formula>
    </cfRule>
  </conditionalFormatting>
  <conditionalFormatting sqref="AJ12:AJ13">
    <cfRule type="expression" dxfId="49" priority="47" stopIfTrue="1">
      <formula>IF(WEEKDAY(AJ$5)=1,TRUE,FALSE)</formula>
    </cfRule>
  </conditionalFormatting>
  <conditionalFormatting sqref="AJ12:AJ13">
    <cfRule type="expression" dxfId="48" priority="46" stopIfTrue="1">
      <formula>IF(WEEKDAY(AJ$5)=1,TRUE,FALSE)</formula>
    </cfRule>
  </conditionalFormatting>
  <conditionalFormatting sqref="AJ14:AJ15">
    <cfRule type="expression" dxfId="47" priority="22" stopIfTrue="1">
      <formula>IF(WEEKDAY(AJ$5)=1,TRUE,FALSE)</formula>
    </cfRule>
  </conditionalFormatting>
  <conditionalFormatting sqref="AJ14:AJ15">
    <cfRule type="expression" dxfId="46" priority="21" stopIfTrue="1">
      <formula>IF(WEEKDAY(AJ$5)=1,TRUE,FALSE)</formula>
    </cfRule>
  </conditionalFormatting>
  <conditionalFormatting sqref="AJ14:AJ15">
    <cfRule type="expression" dxfId="45" priority="20" stopIfTrue="1">
      <formula>IF(WEEKDAY(AJ$5)=1,TRUE,FALSE)</formula>
    </cfRule>
  </conditionalFormatting>
  <conditionalFormatting sqref="AJ14:AJ15">
    <cfRule type="expression" dxfId="44" priority="19" stopIfTrue="1">
      <formula>IF(WEEKDAY(AJ$5)=1,TRUE,FALSE)</formula>
    </cfRule>
  </conditionalFormatting>
  <conditionalFormatting sqref="AJ14:AJ15">
    <cfRule type="expression" dxfId="43" priority="18" stopIfTrue="1">
      <formula>IF(WEEKDAY(AJ$5)=1,TRUE,FALSE)</formula>
    </cfRule>
  </conditionalFormatting>
  <conditionalFormatting sqref="AJ14:AJ15">
    <cfRule type="expression" dxfId="42" priority="17" stopIfTrue="1">
      <formula>IF(WEEKDAY(AJ$5)=1,TRUE,FALSE)</formula>
    </cfRule>
  </conditionalFormatting>
  <conditionalFormatting sqref="AJ14:AJ15">
    <cfRule type="expression" dxfId="41" priority="16" stopIfTrue="1">
      <formula>IF(WEEKDAY(AJ$5)=1,TRUE,FALSE)</formula>
    </cfRule>
  </conditionalFormatting>
  <conditionalFormatting sqref="F16:AI17">
    <cfRule type="expression" dxfId="40" priority="11" stopIfTrue="1">
      <formula>IF(WEEKDAY(F$5)=1,TRUE,FALSE)</formula>
    </cfRule>
  </conditionalFormatting>
  <conditionalFormatting sqref="F16:AI17">
    <cfRule type="expression" dxfId="39" priority="10" stopIfTrue="1">
      <formula>IF(WEEKDAY(F$5)=1,TRUE,FALSE)</formula>
    </cfRule>
  </conditionalFormatting>
  <conditionalFormatting sqref="F12:AI15">
    <cfRule type="expression" dxfId="38" priority="13" stopIfTrue="1">
      <formula>IF(WEEKDAY(F$5)=1,TRUE,FALSE)</formula>
    </cfRule>
  </conditionalFormatting>
  <conditionalFormatting sqref="F12:AI15">
    <cfRule type="expression" dxfId="37" priority="1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0" sqref="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182"/>
      <c r="C1" s="182"/>
      <c r="D1" s="269" t="str">
        <f>"BẢNG THANH TOÁN LƯƠNG THÁNG"&amp;" "&amp;TEXT($E$4,"mm")&amp;" / "&amp;TEXT($E$4,"yyyy")</f>
        <v>BẢNG THANH TOÁN LƯƠNG THÁNG 06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182"/>
      <c r="C2" s="182"/>
      <c r="D2" s="182"/>
      <c r="E2" s="70"/>
      <c r="F2" s="182"/>
      <c r="G2" s="182"/>
      <c r="H2" s="182"/>
      <c r="I2" s="182"/>
      <c r="J2" s="71"/>
      <c r="K2" s="182"/>
      <c r="L2" s="182"/>
      <c r="M2" s="182"/>
      <c r="N2" s="182"/>
      <c r="O2" s="182"/>
      <c r="P2" s="182"/>
      <c r="Q2" s="182"/>
      <c r="R2" s="182"/>
      <c r="S2" s="182"/>
      <c r="T2" s="48"/>
      <c r="U2" s="69">
        <f>MAX(F10:F18)</f>
        <v>26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182"/>
      <c r="C3" s="182"/>
      <c r="D3" s="182"/>
      <c r="E3" s="70"/>
      <c r="F3" s="182"/>
      <c r="G3" s="182"/>
      <c r="H3" s="182"/>
      <c r="I3" s="182"/>
      <c r="J3" s="71"/>
      <c r="K3" s="182"/>
      <c r="L3" s="182"/>
      <c r="M3" s="182"/>
      <c r="N3" s="182"/>
      <c r="O3" s="182"/>
      <c r="P3" s="182"/>
      <c r="Q3" s="182"/>
      <c r="R3" s="182"/>
      <c r="S3" s="182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-6'!$E$4</f>
        <v>42522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183" t="s">
        <v>34</v>
      </c>
      <c r="G7" s="180" t="s">
        <v>18</v>
      </c>
      <c r="H7" s="183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-6'!$B$8:$AS$17,36,0)</f>
        <v>26</v>
      </c>
      <c r="G10" s="134">
        <f t="shared" ref="G10" si="3">ROUND(E10/$U$2*F10,0)</f>
        <v>5000000</v>
      </c>
      <c r="H10" s="81">
        <f>(VLOOKUP(B10,'CC -6'!$B$8:$AS$17,37,0)+VLOOKUP(B10,'CC -6'!$B$8:$AS$17,38,0))</f>
        <v>0</v>
      </c>
      <c r="I10" s="134">
        <f t="shared" ref="I10" si="4">ROUND(E10/$U$2*H10,0)</f>
        <v>0</v>
      </c>
      <c r="J10" s="82">
        <f t="shared" ref="J10" si="5">F10+H10</f>
        <v>26</v>
      </c>
      <c r="K10" s="33">
        <f>G10+I10</f>
        <v>5000000</v>
      </c>
      <c r="L10" s="79">
        <f t="shared" ref="L10" si="6">+F10*15000</f>
        <v>390000</v>
      </c>
      <c r="M10" s="34">
        <f t="shared" ref="M10" si="7">K10+L10</f>
        <v>5390000</v>
      </c>
      <c r="N10" s="34">
        <f>IF(VLOOKUP($B10,DS,19,0)="x",$E10*N$4,0)</f>
        <v>0</v>
      </c>
      <c r="O10" s="34">
        <f>IF(VLOOKUP($B10,DS,19,0)="x",$E10*O$4,0)</f>
        <v>0</v>
      </c>
      <c r="P10" s="34">
        <f>IF(VLOOKUP($B10,DS,19,0)="x",$E10*P$4,0)</f>
        <v>0</v>
      </c>
      <c r="Q10" s="33">
        <f t="shared" ref="Q10" si="8">M10-SUM(N10:P10)</f>
        <v>5390000</v>
      </c>
      <c r="R10" s="33">
        <f>VLOOKUP(B10,DS,23,0)</f>
        <v>0</v>
      </c>
      <c r="S10" s="39">
        <f t="shared" ref="S10" si="9">Q10-R10</f>
        <v>5390000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SUM(E9:E10)</f>
        <v>5000000</v>
      </c>
      <c r="F12" s="129"/>
      <c r="G12" s="129">
        <f>SUM(G9:G10)</f>
        <v>5000000</v>
      </c>
      <c r="H12" s="129"/>
      <c r="I12" s="129">
        <f>SUM(I9:I10)</f>
        <v>0</v>
      </c>
      <c r="J12" s="129"/>
      <c r="K12" s="129">
        <f t="shared" ref="K12:S12" si="10">SUM(K9:K10)</f>
        <v>5000000</v>
      </c>
      <c r="L12" s="129">
        <f t="shared" si="10"/>
        <v>390000</v>
      </c>
      <c r="M12" s="129">
        <f t="shared" si="10"/>
        <v>5390000</v>
      </c>
      <c r="N12" s="129">
        <f t="shared" si="10"/>
        <v>0</v>
      </c>
      <c r="O12" s="129">
        <f t="shared" si="10"/>
        <v>0</v>
      </c>
      <c r="P12" s="129">
        <f t="shared" si="10"/>
        <v>0</v>
      </c>
      <c r="Q12" s="129">
        <f t="shared" si="10"/>
        <v>5390000</v>
      </c>
      <c r="R12" s="129">
        <f t="shared" si="10"/>
        <v>0</v>
      </c>
      <c r="S12" s="129">
        <f t="shared" si="10"/>
        <v>5390000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:C16" si="11">VLOOKUP(B14,DS,2,0)</f>
        <v>Bùi Trường Giang</v>
      </c>
      <c r="D14" s="105" t="str">
        <f t="shared" ref="D14:D16" si="12">VLOOKUP(B14,DS,3,0)</f>
        <v>Thợ in</v>
      </c>
      <c r="E14" s="79">
        <f t="shared" ref="E14:E16" si="13">VLOOKUP(B14,DS,4,0)</f>
        <v>5000000</v>
      </c>
      <c r="F14" s="81">
        <f>VLOOKUP(B14,'CC -6'!$B$8:$AS$17,36,0)</f>
        <v>26</v>
      </c>
      <c r="G14" s="134">
        <f t="shared" ref="G14:G16" si="14">ROUND(E14/$U$2*F14,0)</f>
        <v>5000000</v>
      </c>
      <c r="H14" s="81">
        <f>(VLOOKUP(B14,'CC -6'!$B$8:$AS$17,37,0)+VLOOKUP(B14,'CC -6'!$B$8:$AS$17,38,0))</f>
        <v>0</v>
      </c>
      <c r="I14" s="134">
        <f t="shared" ref="I14:I16" si="15">ROUND(E14/$U$2*H14,0)</f>
        <v>0</v>
      </c>
      <c r="J14" s="135">
        <f t="shared" ref="J14:K16" si="16">F14+H14</f>
        <v>26</v>
      </c>
      <c r="K14" s="33">
        <f t="shared" si="16"/>
        <v>5000000</v>
      </c>
      <c r="L14" s="79">
        <f t="shared" ref="L14:L16" si="17">+F14*15000</f>
        <v>390000</v>
      </c>
      <c r="M14" s="34">
        <f t="shared" ref="M14:M16" si="18">K14+L14</f>
        <v>5390000</v>
      </c>
      <c r="N14" s="34">
        <f t="shared" ref="N14:P16" si="19">IF(VLOOKUP($B14,DS,19,0)="x",$E14*N$4,0)</f>
        <v>0</v>
      </c>
      <c r="O14" s="34">
        <f t="shared" si="19"/>
        <v>0</v>
      </c>
      <c r="P14" s="34">
        <f t="shared" si="19"/>
        <v>0</v>
      </c>
      <c r="Q14" s="33">
        <f>M14-SUM(N14:P14)</f>
        <v>5390000</v>
      </c>
      <c r="R14" s="33">
        <f t="shared" ref="R14:R16" si="20">VLOOKUP(B14,DS,23,0)</f>
        <v>0</v>
      </c>
      <c r="S14" s="39">
        <f>Q14-R14</f>
        <v>5390000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" si="21">VLOOKUP(B15,DS,2,0)</f>
        <v>Lý Thanh Hải</v>
      </c>
      <c r="D15" s="105" t="str">
        <f t="shared" ref="D15" si="22">VLOOKUP(B15,DS,3,0)</f>
        <v>Công Đoạn 1</v>
      </c>
      <c r="E15" s="79">
        <f t="shared" ref="E15" si="23">VLOOKUP(B15,DS,4,0)</f>
        <v>5000000</v>
      </c>
      <c r="F15" s="81">
        <f>VLOOKUP(B15,'CC -6'!$B$8:$AS$17,36,0)</f>
        <v>26</v>
      </c>
      <c r="G15" s="134">
        <f t="shared" ref="G15" si="24">ROUND(E15/$U$2*F15,0)</f>
        <v>5000000</v>
      </c>
      <c r="H15" s="81">
        <f>(VLOOKUP(B15,'CC -6'!$B$8:$AS$17,37,0)+VLOOKUP(B15,'CC -6'!$B$8:$AS$17,38,0))</f>
        <v>0</v>
      </c>
      <c r="I15" s="134">
        <f t="shared" ref="I15" si="25">ROUND(E15/$U$2*H15,0)</f>
        <v>0</v>
      </c>
      <c r="J15" s="135">
        <f t="shared" ref="J15" si="26">F15+H15</f>
        <v>26</v>
      </c>
      <c r="K15" s="33">
        <f t="shared" ref="K15" si="27">G15+I15</f>
        <v>5000000</v>
      </c>
      <c r="L15" s="79">
        <f t="shared" ref="L15" si="28">+F15*15000</f>
        <v>390000</v>
      </c>
      <c r="M15" s="34">
        <f t="shared" ref="M15" si="29">K15+L15</f>
        <v>5390000</v>
      </c>
      <c r="N15" s="34">
        <f t="shared" si="19"/>
        <v>0</v>
      </c>
      <c r="O15" s="34">
        <f t="shared" si="19"/>
        <v>0</v>
      </c>
      <c r="P15" s="34">
        <f t="shared" si="19"/>
        <v>0</v>
      </c>
      <c r="Q15" s="33">
        <f t="shared" ref="Q15" si="30">M15-SUM(N15:P15)</f>
        <v>5390000</v>
      </c>
      <c r="R15" s="33">
        <f t="shared" ref="R15" si="31">VLOOKUP(B15,DS,23,0)</f>
        <v>0</v>
      </c>
      <c r="S15" s="39">
        <f t="shared" ref="S15" si="32">Q15-R15</f>
        <v>5390000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11"/>
        <v>Lê Văn Hữu</v>
      </c>
      <c r="D16" s="105" t="str">
        <f t="shared" si="12"/>
        <v>Công Đoạn 2</v>
      </c>
      <c r="E16" s="79">
        <f t="shared" si="13"/>
        <v>5000000</v>
      </c>
      <c r="F16" s="81">
        <f>VLOOKUP(B16,'CC -6'!$B$8:$AS$17,36,0)</f>
        <v>26</v>
      </c>
      <c r="G16" s="134">
        <f t="shared" si="14"/>
        <v>5000000</v>
      </c>
      <c r="H16" s="81">
        <f>(VLOOKUP(B16,'CC -6'!$B$8:$AS$17,37,0)+VLOOKUP(B16,'CC -6'!$B$8:$AS$17,38,0))</f>
        <v>0</v>
      </c>
      <c r="I16" s="134">
        <f t="shared" si="15"/>
        <v>0</v>
      </c>
      <c r="J16" s="135">
        <f t="shared" si="16"/>
        <v>26</v>
      </c>
      <c r="K16" s="33">
        <f t="shared" si="16"/>
        <v>5000000</v>
      </c>
      <c r="L16" s="79">
        <f t="shared" si="17"/>
        <v>390000</v>
      </c>
      <c r="M16" s="34">
        <f t="shared" si="18"/>
        <v>5390000</v>
      </c>
      <c r="N16" s="34">
        <f t="shared" si="19"/>
        <v>0</v>
      </c>
      <c r="O16" s="34">
        <f t="shared" si="19"/>
        <v>0</v>
      </c>
      <c r="P16" s="34">
        <f t="shared" si="19"/>
        <v>0</v>
      </c>
      <c r="Q16" s="33">
        <f t="shared" ref="Q16" si="33">M16-SUM(N16:P16)</f>
        <v>5390000</v>
      </c>
      <c r="R16" s="33">
        <f t="shared" si="20"/>
        <v>0</v>
      </c>
      <c r="S16" s="39">
        <f t="shared" ref="S16" si="34">Q16-R16</f>
        <v>5390000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5">SUM(K13:K17)</f>
        <v>15000000</v>
      </c>
      <c r="L18" s="129">
        <f t="shared" si="35"/>
        <v>1170000</v>
      </c>
      <c r="M18" s="129">
        <f t="shared" si="35"/>
        <v>16170000</v>
      </c>
      <c r="N18" s="129">
        <f t="shared" si="35"/>
        <v>0</v>
      </c>
      <c r="O18" s="129">
        <f t="shared" si="35"/>
        <v>0</v>
      </c>
      <c r="P18" s="129">
        <f t="shared" si="35"/>
        <v>0</v>
      </c>
      <c r="Q18" s="129">
        <f t="shared" si="35"/>
        <v>16170000</v>
      </c>
      <c r="R18" s="129">
        <f t="shared" si="35"/>
        <v>0</v>
      </c>
      <c r="S18" s="129">
        <f t="shared" si="35"/>
        <v>16170000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06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J6:J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4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07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42552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42552</v>
      </c>
      <c r="G5" s="107">
        <f t="shared" ref="G5:AJ5" si="0">F5+1</f>
        <v>42553</v>
      </c>
      <c r="H5" s="107">
        <f t="shared" si="0"/>
        <v>42554</v>
      </c>
      <c r="I5" s="107">
        <f t="shared" si="0"/>
        <v>42555</v>
      </c>
      <c r="J5" s="107">
        <f t="shared" si="0"/>
        <v>42556</v>
      </c>
      <c r="K5" s="107">
        <f t="shared" si="0"/>
        <v>42557</v>
      </c>
      <c r="L5" s="107">
        <f t="shared" si="0"/>
        <v>42558</v>
      </c>
      <c r="M5" s="107">
        <f t="shared" si="0"/>
        <v>42559</v>
      </c>
      <c r="N5" s="107">
        <f t="shared" si="0"/>
        <v>42560</v>
      </c>
      <c r="O5" s="107">
        <f t="shared" si="0"/>
        <v>42561</v>
      </c>
      <c r="P5" s="107">
        <f t="shared" si="0"/>
        <v>42562</v>
      </c>
      <c r="Q5" s="107">
        <f t="shared" si="0"/>
        <v>42563</v>
      </c>
      <c r="R5" s="107">
        <f t="shared" si="0"/>
        <v>42564</v>
      </c>
      <c r="S5" s="107">
        <f t="shared" si="0"/>
        <v>42565</v>
      </c>
      <c r="T5" s="107">
        <f t="shared" si="0"/>
        <v>42566</v>
      </c>
      <c r="U5" s="107">
        <f t="shared" si="0"/>
        <v>42567</v>
      </c>
      <c r="V5" s="107">
        <f t="shared" si="0"/>
        <v>42568</v>
      </c>
      <c r="W5" s="107">
        <f t="shared" si="0"/>
        <v>42569</v>
      </c>
      <c r="X5" s="107">
        <f t="shared" si="0"/>
        <v>42570</v>
      </c>
      <c r="Y5" s="107">
        <f t="shared" si="0"/>
        <v>42571</v>
      </c>
      <c r="Z5" s="107">
        <f t="shared" si="0"/>
        <v>42572</v>
      </c>
      <c r="AA5" s="107">
        <f t="shared" si="0"/>
        <v>42573</v>
      </c>
      <c r="AB5" s="107">
        <f t="shared" si="0"/>
        <v>42574</v>
      </c>
      <c r="AC5" s="107">
        <f t="shared" si="0"/>
        <v>42575</v>
      </c>
      <c r="AD5" s="107">
        <f t="shared" si="0"/>
        <v>42576</v>
      </c>
      <c r="AE5" s="107">
        <f t="shared" si="0"/>
        <v>42577</v>
      </c>
      <c r="AF5" s="107">
        <f t="shared" si="0"/>
        <v>42578</v>
      </c>
      <c r="AG5" s="107">
        <f t="shared" si="0"/>
        <v>42579</v>
      </c>
      <c r="AH5" s="107">
        <f>AG5+1</f>
        <v>42580</v>
      </c>
      <c r="AI5" s="107">
        <f t="shared" si="0"/>
        <v>42581</v>
      </c>
      <c r="AJ5" s="107">
        <f t="shared" si="0"/>
        <v>42582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T.Sáu</v>
      </c>
      <c r="G6" s="162" t="str">
        <f t="shared" ref="G6:AJ6" si="1">CHOOSE(WEEKDAY(G5),"C.Nhật","T.Hai","T.Ba","T.Tư","T.Năm","T.Sáu","T.Bảy")</f>
        <v>T.Bảy</v>
      </c>
      <c r="H6" s="162" t="str">
        <f t="shared" si="1"/>
        <v>C.Nhật</v>
      </c>
      <c r="I6" s="162" t="str">
        <f t="shared" si="1"/>
        <v>T.Hai</v>
      </c>
      <c r="J6" s="162" t="str">
        <f t="shared" si="1"/>
        <v>T.Ba</v>
      </c>
      <c r="K6" s="162" t="str">
        <f t="shared" si="1"/>
        <v>T.Tư</v>
      </c>
      <c r="L6" s="162" t="str">
        <f t="shared" si="1"/>
        <v>T.Năm</v>
      </c>
      <c r="M6" s="162" t="str">
        <f t="shared" si="1"/>
        <v>T.Sáu</v>
      </c>
      <c r="N6" s="162" t="str">
        <f t="shared" si="1"/>
        <v>T.Bảy</v>
      </c>
      <c r="O6" s="162" t="str">
        <f t="shared" si="1"/>
        <v>C.Nhật</v>
      </c>
      <c r="P6" s="162" t="str">
        <f t="shared" si="1"/>
        <v>T.Hai</v>
      </c>
      <c r="Q6" s="162" t="str">
        <f t="shared" si="1"/>
        <v>T.Ba</v>
      </c>
      <c r="R6" s="162" t="str">
        <f t="shared" si="1"/>
        <v>T.Tư</v>
      </c>
      <c r="S6" s="162" t="str">
        <f t="shared" si="1"/>
        <v>T.Năm</v>
      </c>
      <c r="T6" s="162" t="str">
        <f t="shared" si="1"/>
        <v>T.Sáu</v>
      </c>
      <c r="U6" s="162" t="str">
        <f t="shared" si="1"/>
        <v>T.Bảy</v>
      </c>
      <c r="V6" s="162" t="str">
        <f t="shared" si="1"/>
        <v>C.Nhật</v>
      </c>
      <c r="W6" s="162" t="str">
        <f t="shared" si="1"/>
        <v>T.Hai</v>
      </c>
      <c r="X6" s="162" t="str">
        <f t="shared" si="1"/>
        <v>T.Ba</v>
      </c>
      <c r="Y6" s="162" t="str">
        <f t="shared" si="1"/>
        <v>T.Tư</v>
      </c>
      <c r="Z6" s="162" t="str">
        <f t="shared" si="1"/>
        <v>T.Năm</v>
      </c>
      <c r="AA6" s="162" t="str">
        <f t="shared" si="1"/>
        <v>T.Sáu</v>
      </c>
      <c r="AB6" s="162" t="str">
        <f t="shared" si="1"/>
        <v>T.Bảy</v>
      </c>
      <c r="AC6" s="162" t="str">
        <f t="shared" si="1"/>
        <v>C.Nhật</v>
      </c>
      <c r="AD6" s="162" t="str">
        <f t="shared" si="1"/>
        <v>T.Hai</v>
      </c>
      <c r="AE6" s="162" t="str">
        <f t="shared" si="1"/>
        <v>T.Ba</v>
      </c>
      <c r="AF6" s="162" t="str">
        <f t="shared" si="1"/>
        <v>T.Tư</v>
      </c>
      <c r="AG6" s="162" t="str">
        <f t="shared" si="1"/>
        <v>T.Năm</v>
      </c>
      <c r="AH6" s="162" t="str">
        <f t="shared" si="1"/>
        <v>T.Sáu</v>
      </c>
      <c r="AI6" s="162" t="str">
        <f t="shared" si="1"/>
        <v>T.Bảy</v>
      </c>
      <c r="AJ6" s="162" t="str">
        <f t="shared" si="1"/>
        <v>C.Nhật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18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82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>
        <v>8</v>
      </c>
      <c r="H9" s="132"/>
      <c r="I9" s="132">
        <v>8</v>
      </c>
      <c r="J9" s="132">
        <v>8</v>
      </c>
      <c r="K9" s="132">
        <v>8</v>
      </c>
      <c r="L9" s="132">
        <v>8</v>
      </c>
      <c r="M9" s="132">
        <v>8</v>
      </c>
      <c r="N9" s="132">
        <v>8</v>
      </c>
      <c r="O9" s="132"/>
      <c r="P9" s="132">
        <v>8</v>
      </c>
      <c r="Q9" s="132">
        <v>8</v>
      </c>
      <c r="R9" s="132">
        <v>8</v>
      </c>
      <c r="S9" s="132">
        <v>8</v>
      </c>
      <c r="T9" s="132">
        <v>8</v>
      </c>
      <c r="U9" s="132">
        <v>8</v>
      </c>
      <c r="V9" s="132"/>
      <c r="W9" s="132">
        <v>8</v>
      </c>
      <c r="X9" s="132">
        <v>8</v>
      </c>
      <c r="Y9" s="132">
        <v>8</v>
      </c>
      <c r="Z9" s="132">
        <v>8</v>
      </c>
      <c r="AA9" s="132">
        <v>8</v>
      </c>
      <c r="AB9" s="132">
        <v>8</v>
      </c>
      <c r="AC9" s="132"/>
      <c r="AD9" s="132">
        <v>8</v>
      </c>
      <c r="AE9" s="132">
        <v>8</v>
      </c>
      <c r="AF9" s="132">
        <v>8</v>
      </c>
      <c r="AG9" s="132">
        <v>8</v>
      </c>
      <c r="AH9" s="132">
        <v>8</v>
      </c>
      <c r="AI9" s="132">
        <v>8</v>
      </c>
      <c r="AJ9" s="132"/>
      <c r="AK9" s="251">
        <f>((SUM(F9:AJ9))/8)-(SUMIF($F$6:$AJ$6,"C.Nhật",F9:AJ9)/8)</f>
        <v>26</v>
      </c>
      <c r="AL9" s="251">
        <f>SUM(F10:AJ10)/8*1.5</f>
        <v>0</v>
      </c>
      <c r="AM9" s="253">
        <f>SUMIF($F$6:$AJ$6,"C.Nhật",$F9:$AJ10)/8*2</f>
        <v>0</v>
      </c>
      <c r="AN9" s="241">
        <f>SUM(AK9:AM10)</f>
        <v>26</v>
      </c>
      <c r="AO9" s="255">
        <v>0</v>
      </c>
      <c r="AP9" s="241"/>
      <c r="AQ9" s="241"/>
      <c r="AR9" s="241"/>
      <c r="AS9" s="243"/>
      <c r="AT9" s="18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18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1"/>
      <c r="AT11" s="167"/>
    </row>
    <row r="12" spans="1:91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>
        <v>8</v>
      </c>
      <c r="G12" s="132">
        <v>8</v>
      </c>
      <c r="H12" s="132"/>
      <c r="I12" s="132">
        <v>8</v>
      </c>
      <c r="J12" s="132">
        <v>8</v>
      </c>
      <c r="K12" s="132">
        <v>8</v>
      </c>
      <c r="L12" s="132">
        <v>8</v>
      </c>
      <c r="M12" s="132">
        <v>8</v>
      </c>
      <c r="N12" s="132">
        <v>8</v>
      </c>
      <c r="O12" s="132"/>
      <c r="P12" s="132">
        <v>8</v>
      </c>
      <c r="Q12" s="132">
        <v>8</v>
      </c>
      <c r="R12" s="132">
        <v>8</v>
      </c>
      <c r="S12" s="132">
        <v>8</v>
      </c>
      <c r="T12" s="132">
        <v>8</v>
      </c>
      <c r="U12" s="132">
        <v>8</v>
      </c>
      <c r="V12" s="132"/>
      <c r="W12" s="132">
        <v>8</v>
      </c>
      <c r="X12" s="132">
        <v>8</v>
      </c>
      <c r="Y12" s="132">
        <v>8</v>
      </c>
      <c r="Z12" s="132">
        <v>8</v>
      </c>
      <c r="AA12" s="132">
        <v>8</v>
      </c>
      <c r="AB12" s="132">
        <v>8</v>
      </c>
      <c r="AC12" s="132"/>
      <c r="AD12" s="132">
        <v>8</v>
      </c>
      <c r="AE12" s="132">
        <v>8</v>
      </c>
      <c r="AF12" s="132">
        <v>8</v>
      </c>
      <c r="AG12" s="132">
        <v>8</v>
      </c>
      <c r="AH12" s="132">
        <v>8</v>
      </c>
      <c r="AI12" s="132">
        <v>8</v>
      </c>
      <c r="AJ12" s="132"/>
      <c r="AK12" s="251">
        <f t="shared" ref="AK12" si="2">((SUM(F12:AJ12))/8)-(SUMIF($F$6:$AJ$6,"C.Nhật",F12:AJ12)/8)</f>
        <v>26</v>
      </c>
      <c r="AL12" s="251">
        <f t="shared" ref="AL12" si="3">SUM(F13:AJ13)/8*1.5</f>
        <v>0</v>
      </c>
      <c r="AM12" s="253">
        <f>SUMIF($F$6:$AJ$6,"C.Nhật",$F12:$AJ13)/8*2</f>
        <v>0</v>
      </c>
      <c r="AN12" s="241">
        <f>SUM(AK12:AM13)</f>
        <v>26</v>
      </c>
      <c r="AO12" s="255">
        <v>0</v>
      </c>
      <c r="AP12" s="241"/>
      <c r="AQ12" s="241"/>
      <c r="AR12" s="241"/>
      <c r="AS12" s="243"/>
      <c r="AT12" s="20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252"/>
      <c r="AL13" s="252"/>
      <c r="AM13" s="254"/>
      <c r="AN13" s="242"/>
      <c r="AO13" s="256"/>
      <c r="AP13" s="242"/>
      <c r="AQ13" s="242"/>
      <c r="AR13" s="242"/>
      <c r="AS13" s="244"/>
      <c r="AT13" s="20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>
        <v>8</v>
      </c>
      <c r="G14" s="132">
        <v>8</v>
      </c>
      <c r="H14" s="132"/>
      <c r="I14" s="132">
        <v>8</v>
      </c>
      <c r="J14" s="132">
        <v>8</v>
      </c>
      <c r="K14" s="132">
        <v>8</v>
      </c>
      <c r="L14" s="132">
        <v>8</v>
      </c>
      <c r="M14" s="132">
        <v>8</v>
      </c>
      <c r="N14" s="132">
        <v>8</v>
      </c>
      <c r="O14" s="132"/>
      <c r="P14" s="132">
        <v>8</v>
      </c>
      <c r="Q14" s="132">
        <v>8</v>
      </c>
      <c r="R14" s="132">
        <v>8</v>
      </c>
      <c r="S14" s="132">
        <v>8</v>
      </c>
      <c r="T14" s="132">
        <v>8</v>
      </c>
      <c r="U14" s="132">
        <v>8</v>
      </c>
      <c r="V14" s="132"/>
      <c r="W14" s="132">
        <v>8</v>
      </c>
      <c r="X14" s="132">
        <v>8</v>
      </c>
      <c r="Y14" s="132">
        <v>8</v>
      </c>
      <c r="Z14" s="132">
        <v>8</v>
      </c>
      <c r="AA14" s="132">
        <v>8</v>
      </c>
      <c r="AB14" s="132">
        <v>8</v>
      </c>
      <c r="AC14" s="132"/>
      <c r="AD14" s="132">
        <v>8</v>
      </c>
      <c r="AE14" s="132">
        <v>8</v>
      </c>
      <c r="AF14" s="132">
        <v>8</v>
      </c>
      <c r="AG14" s="132">
        <v>8</v>
      </c>
      <c r="AH14" s="132">
        <v>8</v>
      </c>
      <c r="AI14" s="132">
        <v>8</v>
      </c>
      <c r="AJ14" s="132"/>
      <c r="AK14" s="251">
        <f t="shared" ref="AK14" si="4">((SUM(F14:AJ14))/8)-(SUMIF($F$6:$AJ$6,"C.Nhật",F14:AJ14)/8)</f>
        <v>26</v>
      </c>
      <c r="AL14" s="251">
        <f t="shared" ref="AL14" si="5">SUM(F15:AJ15)/8*1.5</f>
        <v>0</v>
      </c>
      <c r="AM14" s="253">
        <f>SUMIF($F$6:$AJ$6,"C.Nhật",$F14:$AJ15)/8*2</f>
        <v>0</v>
      </c>
      <c r="AN14" s="241">
        <f t="shared" ref="AN14" si="6">SUM(AK14:AM15)</f>
        <v>26</v>
      </c>
      <c r="AO14" s="255">
        <v>0</v>
      </c>
      <c r="AP14" s="241"/>
      <c r="AQ14" s="241"/>
      <c r="AR14" s="241"/>
      <c r="AS14" s="243"/>
      <c r="AT14" s="21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1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>
        <v>8</v>
      </c>
      <c r="G16" s="132">
        <v>8</v>
      </c>
      <c r="H16" s="132"/>
      <c r="I16" s="132">
        <v>8</v>
      </c>
      <c r="J16" s="132">
        <v>8</v>
      </c>
      <c r="K16" s="132">
        <v>8</v>
      </c>
      <c r="L16" s="132">
        <v>8</v>
      </c>
      <c r="M16" s="132">
        <v>8</v>
      </c>
      <c r="N16" s="132">
        <v>8</v>
      </c>
      <c r="O16" s="132"/>
      <c r="P16" s="132">
        <v>8</v>
      </c>
      <c r="Q16" s="132">
        <v>8</v>
      </c>
      <c r="R16" s="132">
        <v>8</v>
      </c>
      <c r="S16" s="132">
        <v>8</v>
      </c>
      <c r="T16" s="132">
        <v>8</v>
      </c>
      <c r="U16" s="132">
        <v>8</v>
      </c>
      <c r="V16" s="132"/>
      <c r="W16" s="132">
        <v>8</v>
      </c>
      <c r="X16" s="132">
        <v>8</v>
      </c>
      <c r="Y16" s="132">
        <v>8</v>
      </c>
      <c r="Z16" s="132">
        <v>8</v>
      </c>
      <c r="AA16" s="132">
        <v>8</v>
      </c>
      <c r="AB16" s="132">
        <v>8</v>
      </c>
      <c r="AC16" s="132"/>
      <c r="AD16" s="132">
        <v>8</v>
      </c>
      <c r="AE16" s="132">
        <v>8</v>
      </c>
      <c r="AF16" s="132">
        <v>8</v>
      </c>
      <c r="AG16" s="132">
        <v>8</v>
      </c>
      <c r="AH16" s="132">
        <v>8</v>
      </c>
      <c r="AI16" s="132">
        <v>8</v>
      </c>
      <c r="AJ16" s="132"/>
      <c r="AK16" s="251">
        <f t="shared" ref="AK16" si="7">((SUM(F16:AJ16))/8)-(SUMIF($F$6:$AJ$6,"C.Nhật",F16:AJ16)/8)</f>
        <v>26</v>
      </c>
      <c r="AL16" s="251">
        <f t="shared" ref="AL16" si="8">SUM(F17:AJ17)/8*1.5</f>
        <v>0</v>
      </c>
      <c r="AM16" s="253">
        <f>SUMIF($F$6:$AJ$6,"C.Nhật",$F16:$AJ17)/8*2</f>
        <v>0</v>
      </c>
      <c r="AN16" s="241">
        <f t="shared" ref="AN16" si="9">SUM(AK16:AM17)</f>
        <v>26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3"/>
    </row>
    <row r="19" spans="1:90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3"/>
    </row>
    <row r="20" spans="1:90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3"/>
    </row>
    <row r="21" spans="1:90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111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84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113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40</v>
      </c>
      <c r="D26" s="184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113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2:AQ13"/>
    <mergeCell ref="AR12:AR13"/>
    <mergeCell ref="AS12:AS13"/>
    <mergeCell ref="AO12:AO13"/>
    <mergeCell ref="AP12:AP13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14:A15"/>
    <mergeCell ref="B14:B15"/>
    <mergeCell ref="C14:C15"/>
    <mergeCell ref="D14:D15"/>
    <mergeCell ref="AK14:AK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O14:AO15"/>
    <mergeCell ref="AP14:AP15"/>
    <mergeCell ref="AQ14:AQ15"/>
    <mergeCell ref="AR14:AR15"/>
    <mergeCell ref="AS14:AS15"/>
  </mergeCells>
  <conditionalFormatting sqref="F5:AJ6 F9:AJ10 F12:AJ17">
    <cfRule type="expression" dxfId="36" priority="40" stopIfTrue="1">
      <formula>IF(WEEKDAY(F$5)=1,TRUE,FALSE)</formula>
    </cfRule>
  </conditionalFormatting>
  <conditionalFormatting sqref="F9:AJ10">
    <cfRule type="expression" dxfId="35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20" sqref="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188"/>
      <c r="C1" s="188"/>
      <c r="D1" s="269" t="str">
        <f>"BẢNG THANH TOÁN LƯƠNG THÁNG"&amp;" "&amp;TEXT($E$4,"mm")&amp;" / "&amp;TEXT($E$4,"yyyy")</f>
        <v>BẢNG THANH TOÁN LƯƠNG THÁNG 07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188"/>
      <c r="C2" s="188"/>
      <c r="D2" s="188"/>
      <c r="E2" s="70"/>
      <c r="F2" s="188"/>
      <c r="G2" s="188"/>
      <c r="H2" s="188"/>
      <c r="I2" s="188"/>
      <c r="J2" s="71"/>
      <c r="K2" s="188"/>
      <c r="L2" s="188"/>
      <c r="M2" s="188"/>
      <c r="N2" s="188"/>
      <c r="O2" s="188"/>
      <c r="P2" s="188"/>
      <c r="Q2" s="188"/>
      <c r="R2" s="188"/>
      <c r="S2" s="188"/>
      <c r="T2" s="48"/>
      <c r="U2" s="69">
        <f>MAX(F10:F18)</f>
        <v>26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188"/>
      <c r="C3" s="188"/>
      <c r="D3" s="188"/>
      <c r="E3" s="70"/>
      <c r="F3" s="188"/>
      <c r="G3" s="188"/>
      <c r="H3" s="188"/>
      <c r="I3" s="188"/>
      <c r="J3" s="71"/>
      <c r="K3" s="188"/>
      <c r="L3" s="188"/>
      <c r="M3" s="188"/>
      <c r="N3" s="188"/>
      <c r="O3" s="188"/>
      <c r="P3" s="188"/>
      <c r="Q3" s="188"/>
      <c r="R3" s="188"/>
      <c r="S3" s="188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-7'!$E$4</f>
        <v>42552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187" t="s">
        <v>34</v>
      </c>
      <c r="G7" s="185" t="s">
        <v>18</v>
      </c>
      <c r="H7" s="187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-7'!$B$8:$AS$17,36,0)</f>
        <v>26</v>
      </c>
      <c r="G10" s="134">
        <f t="shared" ref="G10" si="3">ROUND(E10/$U$2*F10,0)</f>
        <v>5000000</v>
      </c>
      <c r="H10" s="81">
        <f>(VLOOKUP(B10,'CC -7'!$B$8:$AS$17,37,0)+VLOOKUP(B10,'CC -7'!$B$8:$AS$17,38,0))</f>
        <v>0</v>
      </c>
      <c r="I10" s="134">
        <f t="shared" ref="I10" si="4">ROUND(E10/$U$2*H10,0)</f>
        <v>0</v>
      </c>
      <c r="J10" s="82">
        <f t="shared" ref="J10" si="5">F10+H10</f>
        <v>26</v>
      </c>
      <c r="K10" s="33">
        <f>G10+I10</f>
        <v>5000000</v>
      </c>
      <c r="L10" s="79">
        <f t="shared" ref="L10" si="6">+F10*15000</f>
        <v>390000</v>
      </c>
      <c r="M10" s="34">
        <f t="shared" ref="M10" si="7">K10+L10</f>
        <v>5390000</v>
      </c>
      <c r="N10" s="34">
        <f>IF(VLOOKUP($B10,DS,21,0)="x",$E10*N$4,0)</f>
        <v>0</v>
      </c>
      <c r="O10" s="34">
        <f>IF(VLOOKUP($B10,DS,21,0)="x",$E10*O$4,0)</f>
        <v>0</v>
      </c>
      <c r="P10" s="34">
        <f>IF(VLOOKUP($B10,DS,21,0)="x",$E10*P$4,0)</f>
        <v>0</v>
      </c>
      <c r="Q10" s="33">
        <f t="shared" ref="Q10" si="8">M10-SUM(N10:P10)</f>
        <v>5390000</v>
      </c>
      <c r="R10" s="33">
        <f>VLOOKUP(B10,DS,23,0)</f>
        <v>0</v>
      </c>
      <c r="S10" s="39">
        <f t="shared" ref="S10" si="9">Q10-R10</f>
        <v>5390000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SUM(E9:E10)</f>
        <v>5000000</v>
      </c>
      <c r="F12" s="129"/>
      <c r="G12" s="129">
        <f>SUM(G9:G10)</f>
        <v>5000000</v>
      </c>
      <c r="H12" s="129"/>
      <c r="I12" s="129">
        <f>SUM(I9:I10)</f>
        <v>0</v>
      </c>
      <c r="J12" s="129"/>
      <c r="K12" s="129">
        <f t="shared" ref="K12:S12" si="10">SUM(K9:K10)</f>
        <v>5000000</v>
      </c>
      <c r="L12" s="129">
        <f t="shared" si="10"/>
        <v>390000</v>
      </c>
      <c r="M12" s="129">
        <f t="shared" si="10"/>
        <v>5390000</v>
      </c>
      <c r="N12" s="129">
        <f t="shared" si="10"/>
        <v>0</v>
      </c>
      <c r="O12" s="129">
        <f t="shared" si="10"/>
        <v>0</v>
      </c>
      <c r="P12" s="129">
        <f t="shared" si="10"/>
        <v>0</v>
      </c>
      <c r="Q12" s="129">
        <f t="shared" si="10"/>
        <v>5390000</v>
      </c>
      <c r="R12" s="129">
        <f t="shared" si="10"/>
        <v>0</v>
      </c>
      <c r="S12" s="129">
        <f t="shared" si="10"/>
        <v>5390000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:C16" si="11">VLOOKUP(B14,DS,2,0)</f>
        <v>Bùi Trường Giang</v>
      </c>
      <c r="D14" s="105" t="str">
        <f t="shared" ref="D14:D16" si="12">VLOOKUP(B14,DS,3,0)</f>
        <v>Thợ in</v>
      </c>
      <c r="E14" s="79">
        <f t="shared" ref="E14:E16" si="13">VLOOKUP(B14,DS,4,0)</f>
        <v>5000000</v>
      </c>
      <c r="F14" s="81">
        <f>VLOOKUP(B14,'CC -7'!$B$8:$AS$17,36,0)</f>
        <v>26</v>
      </c>
      <c r="G14" s="134">
        <f t="shared" ref="G14:G16" si="14">ROUND(E14/$U$2*F14,0)</f>
        <v>5000000</v>
      </c>
      <c r="H14" s="81">
        <f>(VLOOKUP(B14,'CC -7'!$B$8:$AS$17,37,0)+VLOOKUP(B14,'CC -7'!$B$8:$AS$17,38,0))</f>
        <v>0</v>
      </c>
      <c r="I14" s="134">
        <f t="shared" ref="I14:I16" si="15">ROUND(E14/$U$2*H14,0)</f>
        <v>0</v>
      </c>
      <c r="J14" s="135">
        <f t="shared" ref="J14:K16" si="16">F14+H14</f>
        <v>26</v>
      </c>
      <c r="K14" s="33">
        <f t="shared" si="16"/>
        <v>5000000</v>
      </c>
      <c r="L14" s="79">
        <f t="shared" ref="L14:L16" si="17">+F14*15000</f>
        <v>390000</v>
      </c>
      <c r="M14" s="34">
        <f t="shared" ref="M14:M16" si="18">K14+L14</f>
        <v>5390000</v>
      </c>
      <c r="N14" s="34">
        <f t="shared" ref="N14:P16" si="19">IF(VLOOKUP($B14,DS,21,0)="x",$E14*N$4,0)</f>
        <v>0</v>
      </c>
      <c r="O14" s="34">
        <f t="shared" si="19"/>
        <v>0</v>
      </c>
      <c r="P14" s="34">
        <f t="shared" si="19"/>
        <v>0</v>
      </c>
      <c r="Q14" s="33">
        <f>M14-SUM(N14:P14)</f>
        <v>5390000</v>
      </c>
      <c r="R14" s="33">
        <f t="shared" ref="R14:R16" si="20">VLOOKUP(B14,DS,23,0)</f>
        <v>0</v>
      </c>
      <c r="S14" s="39">
        <f>Q14-R14</f>
        <v>5390000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" si="21">VLOOKUP(B15,DS,2,0)</f>
        <v>Lý Thanh Hải</v>
      </c>
      <c r="D15" s="105" t="str">
        <f t="shared" ref="D15" si="22">VLOOKUP(B15,DS,3,0)</f>
        <v>Công Đoạn 1</v>
      </c>
      <c r="E15" s="79">
        <f t="shared" ref="E15" si="23">VLOOKUP(B15,DS,4,0)</f>
        <v>5000000</v>
      </c>
      <c r="F15" s="81">
        <f>VLOOKUP(B15,'CC -7'!$B$8:$AS$17,36,0)</f>
        <v>26</v>
      </c>
      <c r="G15" s="134">
        <f t="shared" ref="G15" si="24">ROUND(E15/$U$2*F15,0)</f>
        <v>5000000</v>
      </c>
      <c r="H15" s="81">
        <f>(VLOOKUP(B15,'CC -7'!$B$8:$AS$17,37,0)+VLOOKUP(B15,'CC -7'!$B$8:$AS$17,38,0))</f>
        <v>0</v>
      </c>
      <c r="I15" s="134">
        <f t="shared" ref="I15" si="25">ROUND(E15/$U$2*H15,0)</f>
        <v>0</v>
      </c>
      <c r="J15" s="135">
        <f t="shared" ref="J15" si="26">F15+H15</f>
        <v>26</v>
      </c>
      <c r="K15" s="33">
        <f t="shared" ref="K15" si="27">G15+I15</f>
        <v>5000000</v>
      </c>
      <c r="L15" s="79">
        <f t="shared" ref="L15" si="28">+F15*15000</f>
        <v>390000</v>
      </c>
      <c r="M15" s="34">
        <f t="shared" ref="M15" si="29">K15+L15</f>
        <v>5390000</v>
      </c>
      <c r="N15" s="34">
        <f t="shared" si="19"/>
        <v>0</v>
      </c>
      <c r="O15" s="34">
        <f t="shared" si="19"/>
        <v>0</v>
      </c>
      <c r="P15" s="34">
        <f t="shared" si="19"/>
        <v>0</v>
      </c>
      <c r="Q15" s="33">
        <f t="shared" ref="Q15" si="30">M15-SUM(N15:P15)</f>
        <v>5390000</v>
      </c>
      <c r="R15" s="33">
        <f t="shared" ref="R15" si="31">VLOOKUP(B15,DS,23,0)</f>
        <v>0</v>
      </c>
      <c r="S15" s="39">
        <f t="shared" ref="S15" si="32">Q15-R15</f>
        <v>5390000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11"/>
        <v>Lê Văn Hữu</v>
      </c>
      <c r="D16" s="105" t="str">
        <f t="shared" si="12"/>
        <v>Công Đoạn 2</v>
      </c>
      <c r="E16" s="79">
        <f t="shared" si="13"/>
        <v>5000000</v>
      </c>
      <c r="F16" s="81">
        <f>VLOOKUP(B16,'CC -7'!$B$8:$AS$17,36,0)</f>
        <v>26</v>
      </c>
      <c r="G16" s="134">
        <f t="shared" si="14"/>
        <v>5000000</v>
      </c>
      <c r="H16" s="81">
        <f>(VLOOKUP(B16,'CC -7'!$B$8:$AS$17,37,0)+VLOOKUP(B16,'CC -7'!$B$8:$AS$17,38,0))</f>
        <v>0</v>
      </c>
      <c r="I16" s="134">
        <f t="shared" si="15"/>
        <v>0</v>
      </c>
      <c r="J16" s="135">
        <f t="shared" si="16"/>
        <v>26</v>
      </c>
      <c r="K16" s="33">
        <f t="shared" si="16"/>
        <v>5000000</v>
      </c>
      <c r="L16" s="79">
        <f t="shared" si="17"/>
        <v>390000</v>
      </c>
      <c r="M16" s="34">
        <f t="shared" si="18"/>
        <v>5390000</v>
      </c>
      <c r="N16" s="34">
        <f t="shared" si="19"/>
        <v>0</v>
      </c>
      <c r="O16" s="34">
        <f t="shared" si="19"/>
        <v>0</v>
      </c>
      <c r="P16" s="34">
        <f t="shared" si="19"/>
        <v>0</v>
      </c>
      <c r="Q16" s="33">
        <f t="shared" ref="Q16" si="33">M16-SUM(N16:P16)</f>
        <v>5390000</v>
      </c>
      <c r="R16" s="33">
        <f t="shared" si="20"/>
        <v>0</v>
      </c>
      <c r="S16" s="39">
        <f t="shared" ref="S16" si="34">Q16-R16</f>
        <v>5390000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5">SUM(K13:K17)</f>
        <v>15000000</v>
      </c>
      <c r="L18" s="129">
        <f t="shared" si="35"/>
        <v>1170000</v>
      </c>
      <c r="M18" s="129">
        <f t="shared" si="35"/>
        <v>16170000</v>
      </c>
      <c r="N18" s="129">
        <f t="shared" si="35"/>
        <v>0</v>
      </c>
      <c r="O18" s="129">
        <f t="shared" si="35"/>
        <v>0</v>
      </c>
      <c r="P18" s="129">
        <f t="shared" si="35"/>
        <v>0</v>
      </c>
      <c r="Q18" s="129">
        <f t="shared" si="35"/>
        <v>16170000</v>
      </c>
      <c r="R18" s="129">
        <f t="shared" si="35"/>
        <v>0</v>
      </c>
      <c r="S18" s="129">
        <f t="shared" si="35"/>
        <v>16170000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07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4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08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42583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42583</v>
      </c>
      <c r="G5" s="107">
        <f t="shared" ref="G5:AJ5" si="0">F5+1</f>
        <v>42584</v>
      </c>
      <c r="H5" s="107">
        <f t="shared" si="0"/>
        <v>42585</v>
      </c>
      <c r="I5" s="107">
        <f t="shared" si="0"/>
        <v>42586</v>
      </c>
      <c r="J5" s="107">
        <f t="shared" si="0"/>
        <v>42587</v>
      </c>
      <c r="K5" s="107">
        <f t="shared" si="0"/>
        <v>42588</v>
      </c>
      <c r="L5" s="107">
        <f t="shared" si="0"/>
        <v>42589</v>
      </c>
      <c r="M5" s="107">
        <f t="shared" si="0"/>
        <v>42590</v>
      </c>
      <c r="N5" s="107">
        <f t="shared" si="0"/>
        <v>42591</v>
      </c>
      <c r="O5" s="107">
        <f t="shared" si="0"/>
        <v>42592</v>
      </c>
      <c r="P5" s="107">
        <f t="shared" si="0"/>
        <v>42593</v>
      </c>
      <c r="Q5" s="107">
        <f t="shared" si="0"/>
        <v>42594</v>
      </c>
      <c r="R5" s="107">
        <f t="shared" si="0"/>
        <v>42595</v>
      </c>
      <c r="S5" s="107">
        <f t="shared" si="0"/>
        <v>42596</v>
      </c>
      <c r="T5" s="107">
        <f t="shared" si="0"/>
        <v>42597</v>
      </c>
      <c r="U5" s="107">
        <f t="shared" si="0"/>
        <v>42598</v>
      </c>
      <c r="V5" s="107">
        <f t="shared" si="0"/>
        <v>42599</v>
      </c>
      <c r="W5" s="107">
        <f t="shared" si="0"/>
        <v>42600</v>
      </c>
      <c r="X5" s="107">
        <f t="shared" si="0"/>
        <v>42601</v>
      </c>
      <c r="Y5" s="107">
        <f t="shared" si="0"/>
        <v>42602</v>
      </c>
      <c r="Z5" s="107">
        <f t="shared" si="0"/>
        <v>42603</v>
      </c>
      <c r="AA5" s="107">
        <f t="shared" si="0"/>
        <v>42604</v>
      </c>
      <c r="AB5" s="107">
        <f t="shared" si="0"/>
        <v>42605</v>
      </c>
      <c r="AC5" s="107">
        <f t="shared" si="0"/>
        <v>42606</v>
      </c>
      <c r="AD5" s="107">
        <f t="shared" si="0"/>
        <v>42607</v>
      </c>
      <c r="AE5" s="107">
        <f t="shared" si="0"/>
        <v>42608</v>
      </c>
      <c r="AF5" s="107">
        <f t="shared" si="0"/>
        <v>42609</v>
      </c>
      <c r="AG5" s="107">
        <f t="shared" si="0"/>
        <v>42610</v>
      </c>
      <c r="AH5" s="107">
        <f>AG5+1</f>
        <v>42611</v>
      </c>
      <c r="AI5" s="107">
        <f t="shared" si="0"/>
        <v>42612</v>
      </c>
      <c r="AJ5" s="107">
        <f t="shared" si="0"/>
        <v>42613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T.Hai</v>
      </c>
      <c r="G6" s="162" t="str">
        <f t="shared" ref="G6:AJ6" si="1">CHOOSE(WEEKDAY(G5),"C.Nhật","T.Hai","T.Ba","T.Tư","T.Năm","T.Sáu","T.Bảy")</f>
        <v>T.Ba</v>
      </c>
      <c r="H6" s="162" t="str">
        <f t="shared" si="1"/>
        <v>T.Tư</v>
      </c>
      <c r="I6" s="162" t="str">
        <f t="shared" si="1"/>
        <v>T.Năm</v>
      </c>
      <c r="J6" s="162" t="str">
        <f t="shared" si="1"/>
        <v>T.Sáu</v>
      </c>
      <c r="K6" s="162" t="str">
        <f t="shared" si="1"/>
        <v>T.Bảy</v>
      </c>
      <c r="L6" s="162" t="str">
        <f t="shared" si="1"/>
        <v>C.Nhật</v>
      </c>
      <c r="M6" s="162" t="str">
        <f t="shared" si="1"/>
        <v>T.Hai</v>
      </c>
      <c r="N6" s="162" t="str">
        <f t="shared" si="1"/>
        <v>T.Ba</v>
      </c>
      <c r="O6" s="162" t="str">
        <f t="shared" si="1"/>
        <v>T.Tư</v>
      </c>
      <c r="P6" s="162" t="str">
        <f t="shared" si="1"/>
        <v>T.Năm</v>
      </c>
      <c r="Q6" s="162" t="str">
        <f t="shared" si="1"/>
        <v>T.Sáu</v>
      </c>
      <c r="R6" s="162" t="str">
        <f t="shared" si="1"/>
        <v>T.Bảy</v>
      </c>
      <c r="S6" s="162" t="str">
        <f t="shared" si="1"/>
        <v>C.Nhật</v>
      </c>
      <c r="T6" s="162" t="str">
        <f t="shared" si="1"/>
        <v>T.Hai</v>
      </c>
      <c r="U6" s="162" t="str">
        <f t="shared" si="1"/>
        <v>T.Ba</v>
      </c>
      <c r="V6" s="162" t="str">
        <f t="shared" si="1"/>
        <v>T.Tư</v>
      </c>
      <c r="W6" s="162" t="str">
        <f t="shared" si="1"/>
        <v>T.Năm</v>
      </c>
      <c r="X6" s="162" t="str">
        <f t="shared" si="1"/>
        <v>T.Sáu</v>
      </c>
      <c r="Y6" s="162" t="str">
        <f t="shared" si="1"/>
        <v>T.Bảy</v>
      </c>
      <c r="Z6" s="162" t="str">
        <f t="shared" si="1"/>
        <v>C.Nhật</v>
      </c>
      <c r="AA6" s="162" t="str">
        <f t="shared" si="1"/>
        <v>T.Hai</v>
      </c>
      <c r="AB6" s="162" t="str">
        <f t="shared" si="1"/>
        <v>T.Ba</v>
      </c>
      <c r="AC6" s="162" t="str">
        <f t="shared" si="1"/>
        <v>T.Tư</v>
      </c>
      <c r="AD6" s="162" t="str">
        <f t="shared" si="1"/>
        <v>T.Năm</v>
      </c>
      <c r="AE6" s="162" t="str">
        <f t="shared" si="1"/>
        <v>T.Sáu</v>
      </c>
      <c r="AF6" s="162" t="str">
        <f t="shared" si="1"/>
        <v>T.Bảy</v>
      </c>
      <c r="AG6" s="162" t="str">
        <f t="shared" si="1"/>
        <v>C.Nhật</v>
      </c>
      <c r="AH6" s="162" t="str">
        <f t="shared" si="1"/>
        <v>T.Hai</v>
      </c>
      <c r="AI6" s="162" t="str">
        <f t="shared" si="1"/>
        <v>T.Ba</v>
      </c>
      <c r="AJ6" s="162" t="str">
        <f t="shared" si="1"/>
        <v>T.Tư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18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82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>
        <v>8</v>
      </c>
      <c r="H9" s="132">
        <v>8</v>
      </c>
      <c r="I9" s="132">
        <v>8</v>
      </c>
      <c r="J9" s="132">
        <v>8</v>
      </c>
      <c r="K9" s="132">
        <v>8</v>
      </c>
      <c r="L9" s="132"/>
      <c r="M9" s="132">
        <v>8</v>
      </c>
      <c r="N9" s="132">
        <v>8</v>
      </c>
      <c r="O9" s="132">
        <v>8</v>
      </c>
      <c r="P9" s="132">
        <v>8</v>
      </c>
      <c r="Q9" s="132">
        <v>8</v>
      </c>
      <c r="R9" s="132">
        <v>8</v>
      </c>
      <c r="S9" s="132"/>
      <c r="T9" s="132">
        <v>8</v>
      </c>
      <c r="U9" s="132">
        <v>8</v>
      </c>
      <c r="V9" s="132">
        <v>8</v>
      </c>
      <c r="W9" s="132">
        <v>8</v>
      </c>
      <c r="X9" s="132">
        <v>8</v>
      </c>
      <c r="Y9" s="132">
        <v>8</v>
      </c>
      <c r="Z9" s="132"/>
      <c r="AA9" s="132">
        <v>8</v>
      </c>
      <c r="AB9" s="132">
        <v>8</v>
      </c>
      <c r="AC9" s="132">
        <v>8</v>
      </c>
      <c r="AD9" s="132">
        <v>8</v>
      </c>
      <c r="AE9" s="132">
        <v>8</v>
      </c>
      <c r="AF9" s="132">
        <v>8</v>
      </c>
      <c r="AG9" s="132"/>
      <c r="AH9" s="132">
        <v>8</v>
      </c>
      <c r="AI9" s="132">
        <v>8</v>
      </c>
      <c r="AJ9" s="132">
        <v>8</v>
      </c>
      <c r="AK9" s="251">
        <f>((SUM(F9:AJ9))/8)-(SUMIF($F$6:$AJ$6,"C.Nhật",F9:AJ9)/8)</f>
        <v>27</v>
      </c>
      <c r="AL9" s="251">
        <f>SUM(F10:AJ10)/8*1.5</f>
        <v>0</v>
      </c>
      <c r="AM9" s="253">
        <f>SUMIF($F$6:$AJ$6,"C.Nhật",$F9:$AJ10)/8*2</f>
        <v>0</v>
      </c>
      <c r="AN9" s="241">
        <f>SUM(AK9:AM10)</f>
        <v>27</v>
      </c>
      <c r="AO9" s="255">
        <v>0</v>
      </c>
      <c r="AP9" s="241"/>
      <c r="AQ9" s="241"/>
      <c r="AR9" s="241"/>
      <c r="AS9" s="243"/>
      <c r="AT9" s="18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18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1"/>
      <c r="AT11" s="167"/>
    </row>
    <row r="12" spans="1:91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>
        <v>8</v>
      </c>
      <c r="G12" s="132">
        <v>8</v>
      </c>
      <c r="H12" s="132">
        <v>8</v>
      </c>
      <c r="I12" s="132">
        <v>8</v>
      </c>
      <c r="J12" s="132">
        <v>8</v>
      </c>
      <c r="K12" s="132">
        <v>8</v>
      </c>
      <c r="L12" s="132"/>
      <c r="M12" s="132">
        <v>8</v>
      </c>
      <c r="N12" s="132">
        <v>8</v>
      </c>
      <c r="O12" s="132">
        <v>8</v>
      </c>
      <c r="P12" s="132">
        <v>8</v>
      </c>
      <c r="Q12" s="132">
        <v>8</v>
      </c>
      <c r="R12" s="132">
        <v>8</v>
      </c>
      <c r="S12" s="132"/>
      <c r="T12" s="132">
        <v>8</v>
      </c>
      <c r="U12" s="132">
        <v>8</v>
      </c>
      <c r="V12" s="132">
        <v>8</v>
      </c>
      <c r="W12" s="132">
        <v>8</v>
      </c>
      <c r="X12" s="132">
        <v>8</v>
      </c>
      <c r="Y12" s="132">
        <v>8</v>
      </c>
      <c r="Z12" s="132"/>
      <c r="AA12" s="132">
        <v>8</v>
      </c>
      <c r="AB12" s="132">
        <v>8</v>
      </c>
      <c r="AC12" s="132">
        <v>8</v>
      </c>
      <c r="AD12" s="132">
        <v>8</v>
      </c>
      <c r="AE12" s="132">
        <v>8</v>
      </c>
      <c r="AF12" s="132">
        <v>8</v>
      </c>
      <c r="AG12" s="132"/>
      <c r="AH12" s="132">
        <v>8</v>
      </c>
      <c r="AI12" s="132">
        <v>8</v>
      </c>
      <c r="AJ12" s="132">
        <v>8</v>
      </c>
      <c r="AK12" s="251">
        <f t="shared" ref="AK12" si="2">((SUM(F12:AJ12))/8)-(SUMIF($F$6:$AJ$6,"C.Nhật",F12:AJ12)/8)</f>
        <v>27</v>
      </c>
      <c r="AL12" s="251">
        <f t="shared" ref="AL12" si="3">SUM(F13:AJ13)/8*1.5</f>
        <v>0</v>
      </c>
      <c r="AM12" s="253">
        <f>SUMIF($F$6:$AJ$6,"C.Nhật",$F12:$AJ13)/8*2</f>
        <v>0</v>
      </c>
      <c r="AN12" s="241">
        <f>SUM(AK12:AM13)</f>
        <v>27</v>
      </c>
      <c r="AO12" s="255">
        <v>0</v>
      </c>
      <c r="AP12" s="241"/>
      <c r="AQ12" s="241"/>
      <c r="AR12" s="241"/>
      <c r="AS12" s="243"/>
      <c r="AT12" s="20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252"/>
      <c r="AL13" s="252"/>
      <c r="AM13" s="254"/>
      <c r="AN13" s="242"/>
      <c r="AO13" s="256"/>
      <c r="AP13" s="242"/>
      <c r="AQ13" s="242"/>
      <c r="AR13" s="242"/>
      <c r="AS13" s="244"/>
      <c r="AT13" s="20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>
        <v>8</v>
      </c>
      <c r="G14" s="132">
        <v>8</v>
      </c>
      <c r="H14" s="132">
        <v>8</v>
      </c>
      <c r="I14" s="132">
        <v>8</v>
      </c>
      <c r="J14" s="132">
        <v>8</v>
      </c>
      <c r="K14" s="132">
        <v>8</v>
      </c>
      <c r="L14" s="132"/>
      <c r="M14" s="132">
        <v>8</v>
      </c>
      <c r="N14" s="132">
        <v>8</v>
      </c>
      <c r="O14" s="132">
        <v>8</v>
      </c>
      <c r="P14" s="132">
        <v>8</v>
      </c>
      <c r="Q14" s="132">
        <v>8</v>
      </c>
      <c r="R14" s="132">
        <v>8</v>
      </c>
      <c r="S14" s="132"/>
      <c r="T14" s="132">
        <v>8</v>
      </c>
      <c r="U14" s="132">
        <v>8</v>
      </c>
      <c r="V14" s="132">
        <v>8</v>
      </c>
      <c r="W14" s="132">
        <v>8</v>
      </c>
      <c r="X14" s="132">
        <v>8</v>
      </c>
      <c r="Y14" s="132">
        <v>8</v>
      </c>
      <c r="Z14" s="132"/>
      <c r="AA14" s="132">
        <v>8</v>
      </c>
      <c r="AB14" s="132">
        <v>8</v>
      </c>
      <c r="AC14" s="132">
        <v>8</v>
      </c>
      <c r="AD14" s="132">
        <v>8</v>
      </c>
      <c r="AE14" s="132">
        <v>8</v>
      </c>
      <c r="AF14" s="132">
        <v>8</v>
      </c>
      <c r="AG14" s="132"/>
      <c r="AH14" s="132">
        <v>8</v>
      </c>
      <c r="AI14" s="132">
        <v>8</v>
      </c>
      <c r="AJ14" s="132">
        <v>8</v>
      </c>
      <c r="AK14" s="251">
        <f t="shared" ref="AK14" si="4">((SUM(F14:AJ14))/8)-(SUMIF($F$6:$AJ$6,"C.Nhật",F14:AJ14)/8)</f>
        <v>27</v>
      </c>
      <c r="AL14" s="251">
        <f t="shared" ref="AL14" si="5">SUM(F15:AJ15)/8*1.5</f>
        <v>0</v>
      </c>
      <c r="AM14" s="253">
        <f>SUMIF($F$6:$AJ$6,"C.Nhật",$F14:$AJ15)/8*2</f>
        <v>0</v>
      </c>
      <c r="AN14" s="241">
        <f t="shared" ref="AN14" si="6">SUM(AK14:AM15)</f>
        <v>27</v>
      </c>
      <c r="AO14" s="255">
        <v>0</v>
      </c>
      <c r="AP14" s="241"/>
      <c r="AQ14" s="241"/>
      <c r="AR14" s="241"/>
      <c r="AS14" s="243"/>
      <c r="AT14" s="21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1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>
        <v>8</v>
      </c>
      <c r="G16" s="132">
        <v>8</v>
      </c>
      <c r="H16" s="132">
        <v>8</v>
      </c>
      <c r="I16" s="132">
        <v>8</v>
      </c>
      <c r="J16" s="132">
        <v>8</v>
      </c>
      <c r="K16" s="132">
        <v>8</v>
      </c>
      <c r="L16" s="132"/>
      <c r="M16" s="132">
        <v>8</v>
      </c>
      <c r="N16" s="132">
        <v>8</v>
      </c>
      <c r="O16" s="132">
        <v>8</v>
      </c>
      <c r="P16" s="132">
        <v>8</v>
      </c>
      <c r="Q16" s="132">
        <v>8</v>
      </c>
      <c r="R16" s="132">
        <v>8</v>
      </c>
      <c r="S16" s="132"/>
      <c r="T16" s="132">
        <v>8</v>
      </c>
      <c r="U16" s="132">
        <v>8</v>
      </c>
      <c r="V16" s="132">
        <v>8</v>
      </c>
      <c r="W16" s="132">
        <v>8</v>
      </c>
      <c r="X16" s="132">
        <v>8</v>
      </c>
      <c r="Y16" s="132">
        <v>8</v>
      </c>
      <c r="Z16" s="132"/>
      <c r="AA16" s="132">
        <v>8</v>
      </c>
      <c r="AB16" s="132">
        <v>8</v>
      </c>
      <c r="AC16" s="132">
        <v>8</v>
      </c>
      <c r="AD16" s="132">
        <v>8</v>
      </c>
      <c r="AE16" s="132">
        <v>8</v>
      </c>
      <c r="AF16" s="132">
        <v>8</v>
      </c>
      <c r="AG16" s="132"/>
      <c r="AH16" s="132">
        <v>8</v>
      </c>
      <c r="AI16" s="132">
        <v>8</v>
      </c>
      <c r="AJ16" s="132">
        <v>8</v>
      </c>
      <c r="AK16" s="251">
        <f t="shared" ref="AK16" si="7">((SUM(F16:AJ16))/8)-(SUMIF($F$6:$AJ$6,"C.Nhật",F16:AJ16)/8)</f>
        <v>27</v>
      </c>
      <c r="AL16" s="251">
        <f t="shared" ref="AL16" si="8">SUM(F17:AJ17)/8*1.5</f>
        <v>0</v>
      </c>
      <c r="AM16" s="253">
        <f>SUMIF($F$6:$AJ$6,"C.Nhật",$F16:$AJ17)/8*2</f>
        <v>0</v>
      </c>
      <c r="AN16" s="241">
        <f t="shared" ref="AN16" si="9">SUM(AK16:AM17)</f>
        <v>27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3"/>
    </row>
    <row r="19" spans="1:90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3"/>
    </row>
    <row r="20" spans="1:90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3"/>
    </row>
    <row r="21" spans="1:90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111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84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113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40</v>
      </c>
      <c r="D26" s="184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113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6:AQ17"/>
    <mergeCell ref="AR16:AR17"/>
    <mergeCell ref="AS16:AS17"/>
    <mergeCell ref="AP12:AP13"/>
    <mergeCell ref="AQ12:AQ13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M1:AS1"/>
    <mergeCell ref="AK5:AM5"/>
    <mergeCell ref="AN5:AN6"/>
    <mergeCell ref="AO5:AO6"/>
    <mergeCell ref="AP5:AP6"/>
    <mergeCell ref="AQ5:AQ6"/>
    <mergeCell ref="AR5:AR6"/>
    <mergeCell ref="AS5:AS6"/>
    <mergeCell ref="AO14:AO15"/>
    <mergeCell ref="AP14:AP15"/>
    <mergeCell ref="A16:A17"/>
    <mergeCell ref="B16:B17"/>
    <mergeCell ref="C16:C17"/>
    <mergeCell ref="D16:D17"/>
    <mergeCell ref="AK16:AK17"/>
    <mergeCell ref="AN16:AN17"/>
    <mergeCell ref="AO16:AO17"/>
    <mergeCell ref="AK14:AK15"/>
    <mergeCell ref="A14:A15"/>
    <mergeCell ref="B14:B15"/>
    <mergeCell ref="AP16:AP17"/>
  </mergeCells>
  <conditionalFormatting sqref="F5:AJ6 F9:AJ10 F12:AJ17">
    <cfRule type="expression" dxfId="34" priority="40" stopIfTrue="1">
      <formula>IF(WEEKDAY(F$5)=1,TRUE,FALSE)</formula>
    </cfRule>
  </conditionalFormatting>
  <conditionalFormatting sqref="F9:AJ10">
    <cfRule type="expression" dxfId="33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0" sqref="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188"/>
      <c r="C1" s="188"/>
      <c r="D1" s="269" t="str">
        <f>"BẢNG THANH TOÁN LƯƠNG THÁNG"&amp;" "&amp;TEXT($E$4,"mm")&amp;" / "&amp;TEXT($E$4,"yyyy")</f>
        <v>BẢNG THANH TOÁN LƯƠNG THÁNG 08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188"/>
      <c r="C2" s="188"/>
      <c r="D2" s="188"/>
      <c r="E2" s="70"/>
      <c r="F2" s="188"/>
      <c r="G2" s="188"/>
      <c r="H2" s="188"/>
      <c r="I2" s="188"/>
      <c r="J2" s="71"/>
      <c r="K2" s="188"/>
      <c r="L2" s="188"/>
      <c r="M2" s="188"/>
      <c r="N2" s="188"/>
      <c r="O2" s="188"/>
      <c r="P2" s="188"/>
      <c r="Q2" s="188"/>
      <c r="R2" s="188"/>
      <c r="S2" s="188"/>
      <c r="T2" s="48"/>
      <c r="U2" s="69">
        <f>MAX(F10:F18)</f>
        <v>27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188"/>
      <c r="C3" s="188"/>
      <c r="D3" s="188"/>
      <c r="E3" s="70"/>
      <c r="F3" s="188"/>
      <c r="G3" s="188"/>
      <c r="H3" s="188"/>
      <c r="I3" s="188"/>
      <c r="J3" s="71"/>
      <c r="K3" s="188"/>
      <c r="L3" s="188"/>
      <c r="M3" s="188"/>
      <c r="N3" s="188"/>
      <c r="O3" s="188"/>
      <c r="P3" s="188"/>
      <c r="Q3" s="188"/>
      <c r="R3" s="188"/>
      <c r="S3" s="188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- 8'!$E$4</f>
        <v>42583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187" t="s">
        <v>34</v>
      </c>
      <c r="G7" s="185" t="s">
        <v>18</v>
      </c>
      <c r="H7" s="187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- 8'!$B$8:$AS$17,36,0)</f>
        <v>27</v>
      </c>
      <c r="G10" s="134">
        <f t="shared" ref="G10" si="3">ROUND(E10/$U$2*F10,0)</f>
        <v>5000000</v>
      </c>
      <c r="H10" s="81">
        <f>(VLOOKUP(B10,'CC - 8'!$B$8:$AS$17,37,0)+VLOOKUP(B10,'CC - 8'!$B$8:$AS$17,38,0))</f>
        <v>0</v>
      </c>
      <c r="I10" s="134">
        <f t="shared" ref="I10" si="4">ROUND(E10/$U$2*H10,0)</f>
        <v>0</v>
      </c>
      <c r="J10" s="82">
        <f t="shared" ref="J10" si="5">F10+H10</f>
        <v>27</v>
      </c>
      <c r="K10" s="33">
        <f>G10+I10</f>
        <v>5000000</v>
      </c>
      <c r="L10" s="79">
        <f t="shared" ref="L10" si="6">+F10*15000</f>
        <v>405000</v>
      </c>
      <c r="M10" s="34">
        <f t="shared" ref="M10" si="7">K10+L10</f>
        <v>5405000</v>
      </c>
      <c r="N10" s="34">
        <f>IF(VLOOKUP($B10,DS,23,0)="x",$E10*N$4,0)</f>
        <v>0</v>
      </c>
      <c r="O10" s="34">
        <f>IF(VLOOKUP($B10,DS,23,0)="x",$E10*O$4,0)</f>
        <v>0</v>
      </c>
      <c r="P10" s="34">
        <f>IF(VLOOKUP($B10,DS,23,0)="x",$E10*P$4,0)</f>
        <v>0</v>
      </c>
      <c r="Q10" s="33">
        <f t="shared" ref="Q10" si="8">M10-SUM(N10:P10)</f>
        <v>5405000</v>
      </c>
      <c r="R10" s="33">
        <f>VLOOKUP(B10,DS,23,0)</f>
        <v>0</v>
      </c>
      <c r="S10" s="39">
        <f t="shared" ref="S10" si="9">Q10-R10</f>
        <v>5405000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SUM(E9:E10)</f>
        <v>5000000</v>
      </c>
      <c r="F12" s="129"/>
      <c r="G12" s="129">
        <f>SUM(G9:G10)</f>
        <v>5000000</v>
      </c>
      <c r="H12" s="129"/>
      <c r="I12" s="129">
        <f>SUM(I9:I10)</f>
        <v>0</v>
      </c>
      <c r="J12" s="129"/>
      <c r="K12" s="129">
        <f t="shared" ref="K12:S12" si="10">SUM(K9:K10)</f>
        <v>5000000</v>
      </c>
      <c r="L12" s="129">
        <f t="shared" si="10"/>
        <v>405000</v>
      </c>
      <c r="M12" s="129">
        <f t="shared" si="10"/>
        <v>5405000</v>
      </c>
      <c r="N12" s="129">
        <f t="shared" si="10"/>
        <v>0</v>
      </c>
      <c r="O12" s="129">
        <f t="shared" si="10"/>
        <v>0</v>
      </c>
      <c r="P12" s="129">
        <f t="shared" si="10"/>
        <v>0</v>
      </c>
      <c r="Q12" s="129">
        <f t="shared" si="10"/>
        <v>5405000</v>
      </c>
      <c r="R12" s="129">
        <f t="shared" si="10"/>
        <v>0</v>
      </c>
      <c r="S12" s="129">
        <f t="shared" si="10"/>
        <v>5405000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:C16" si="11">VLOOKUP(B14,DS,2,0)</f>
        <v>Bùi Trường Giang</v>
      </c>
      <c r="D14" s="105" t="str">
        <f t="shared" ref="D14:D16" si="12">VLOOKUP(B14,DS,3,0)</f>
        <v>Thợ in</v>
      </c>
      <c r="E14" s="79">
        <f t="shared" ref="E14:E16" si="13">VLOOKUP(B14,DS,4,0)</f>
        <v>5000000</v>
      </c>
      <c r="F14" s="81">
        <f>VLOOKUP(B14,'CC - 8'!$B$8:$AS$17,36,0)</f>
        <v>27</v>
      </c>
      <c r="G14" s="134">
        <f t="shared" ref="G14:G16" si="14">ROUND(E14/$U$2*F14,0)</f>
        <v>5000000</v>
      </c>
      <c r="H14" s="81">
        <f>(VLOOKUP(B14,'CC - 8'!$B$8:$AS$17,37,0)+VLOOKUP(B14,'CC - 8'!$B$8:$AS$17,38,0))</f>
        <v>0</v>
      </c>
      <c r="I14" s="134">
        <f t="shared" ref="I14:I16" si="15">ROUND(E14/$U$2*H14,0)</f>
        <v>0</v>
      </c>
      <c r="J14" s="135">
        <f t="shared" ref="J14:K16" si="16">F14+H14</f>
        <v>27</v>
      </c>
      <c r="K14" s="33">
        <f t="shared" si="16"/>
        <v>5000000</v>
      </c>
      <c r="L14" s="79">
        <f t="shared" ref="L14:L16" si="17">+F14*15000</f>
        <v>405000</v>
      </c>
      <c r="M14" s="34">
        <f t="shared" ref="M14:M16" si="18">K14+L14</f>
        <v>5405000</v>
      </c>
      <c r="N14" s="34">
        <f t="shared" ref="N14:P16" si="19">IF(VLOOKUP($B14,DS,23,0)="x",$E14*N$4,0)</f>
        <v>0</v>
      </c>
      <c r="O14" s="34">
        <f t="shared" si="19"/>
        <v>0</v>
      </c>
      <c r="P14" s="34">
        <f t="shared" si="19"/>
        <v>0</v>
      </c>
      <c r="Q14" s="33">
        <f>M14-SUM(N14:P14)</f>
        <v>5405000</v>
      </c>
      <c r="R14" s="33">
        <f t="shared" ref="R14:R16" si="20">VLOOKUP(B14,DS,23,0)</f>
        <v>0</v>
      </c>
      <c r="S14" s="39">
        <f>Q14-R14</f>
        <v>5405000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" si="21">VLOOKUP(B15,DS,2,0)</f>
        <v>Lý Thanh Hải</v>
      </c>
      <c r="D15" s="105" t="str">
        <f t="shared" ref="D15" si="22">VLOOKUP(B15,DS,3,0)</f>
        <v>Công Đoạn 1</v>
      </c>
      <c r="E15" s="79">
        <f t="shared" ref="E15" si="23">VLOOKUP(B15,DS,4,0)</f>
        <v>5000000</v>
      </c>
      <c r="F15" s="81">
        <f>VLOOKUP(B15,'CC - 8'!$B$8:$AS$17,36,0)</f>
        <v>27</v>
      </c>
      <c r="G15" s="134">
        <f t="shared" ref="G15" si="24">ROUND(E15/$U$2*F15,0)</f>
        <v>5000000</v>
      </c>
      <c r="H15" s="81">
        <f>(VLOOKUP(B15,'CC - 8'!$B$8:$AS$17,37,0)+VLOOKUP(B15,'CC - 8'!$B$8:$AS$17,38,0))</f>
        <v>0</v>
      </c>
      <c r="I15" s="134">
        <f t="shared" ref="I15" si="25">ROUND(E15/$U$2*H15,0)</f>
        <v>0</v>
      </c>
      <c r="J15" s="135">
        <f t="shared" ref="J15" si="26">F15+H15</f>
        <v>27</v>
      </c>
      <c r="K15" s="33">
        <f t="shared" ref="K15" si="27">G15+I15</f>
        <v>5000000</v>
      </c>
      <c r="L15" s="79">
        <f t="shared" ref="L15" si="28">+F15*15000</f>
        <v>405000</v>
      </c>
      <c r="M15" s="34">
        <f t="shared" ref="M15" si="29">K15+L15</f>
        <v>5405000</v>
      </c>
      <c r="N15" s="34">
        <f t="shared" si="19"/>
        <v>0</v>
      </c>
      <c r="O15" s="34">
        <f t="shared" si="19"/>
        <v>0</v>
      </c>
      <c r="P15" s="34">
        <f t="shared" si="19"/>
        <v>0</v>
      </c>
      <c r="Q15" s="33">
        <f t="shared" ref="Q15" si="30">M15-SUM(N15:P15)</f>
        <v>5405000</v>
      </c>
      <c r="R15" s="33">
        <f t="shared" ref="R15" si="31">VLOOKUP(B15,DS,23,0)</f>
        <v>0</v>
      </c>
      <c r="S15" s="39">
        <f t="shared" ref="S15" si="32">Q15-R15</f>
        <v>5405000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11"/>
        <v>Lê Văn Hữu</v>
      </c>
      <c r="D16" s="105" t="str">
        <f t="shared" si="12"/>
        <v>Công Đoạn 2</v>
      </c>
      <c r="E16" s="79">
        <f t="shared" si="13"/>
        <v>5000000</v>
      </c>
      <c r="F16" s="81">
        <f>VLOOKUP(B16,'CC - 8'!$B$8:$AS$17,36,0)</f>
        <v>27</v>
      </c>
      <c r="G16" s="134">
        <f t="shared" si="14"/>
        <v>5000000</v>
      </c>
      <c r="H16" s="81">
        <f>(VLOOKUP(B16,'CC - 8'!$B$8:$AS$17,37,0)+VLOOKUP(B16,'CC - 8'!$B$8:$AS$17,38,0))</f>
        <v>0</v>
      </c>
      <c r="I16" s="134">
        <f t="shared" si="15"/>
        <v>0</v>
      </c>
      <c r="J16" s="135">
        <f t="shared" si="16"/>
        <v>27</v>
      </c>
      <c r="K16" s="33">
        <f t="shared" si="16"/>
        <v>5000000</v>
      </c>
      <c r="L16" s="79">
        <f t="shared" si="17"/>
        <v>405000</v>
      </c>
      <c r="M16" s="34">
        <f t="shared" si="18"/>
        <v>5405000</v>
      </c>
      <c r="N16" s="34">
        <f t="shared" si="19"/>
        <v>0</v>
      </c>
      <c r="O16" s="34">
        <f t="shared" si="19"/>
        <v>0</v>
      </c>
      <c r="P16" s="34">
        <f t="shared" si="19"/>
        <v>0</v>
      </c>
      <c r="Q16" s="33">
        <f t="shared" ref="Q16" si="33">M16-SUM(N16:P16)</f>
        <v>5405000</v>
      </c>
      <c r="R16" s="33">
        <f t="shared" si="20"/>
        <v>0</v>
      </c>
      <c r="S16" s="39">
        <f t="shared" ref="S16" si="34">Q16-R16</f>
        <v>5405000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5">SUM(K13:K17)</f>
        <v>15000000</v>
      </c>
      <c r="L18" s="129">
        <f t="shared" si="35"/>
        <v>1215000</v>
      </c>
      <c r="M18" s="129">
        <f t="shared" si="35"/>
        <v>16215000</v>
      </c>
      <c r="N18" s="129">
        <f t="shared" si="35"/>
        <v>0</v>
      </c>
      <c r="O18" s="129">
        <f t="shared" si="35"/>
        <v>0</v>
      </c>
      <c r="P18" s="129">
        <f t="shared" si="35"/>
        <v>0</v>
      </c>
      <c r="Q18" s="129">
        <f t="shared" si="35"/>
        <v>16215000</v>
      </c>
      <c r="R18" s="129">
        <f t="shared" si="35"/>
        <v>0</v>
      </c>
      <c r="S18" s="129">
        <f t="shared" si="35"/>
        <v>16215000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08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4" customWidth="1"/>
    <col min="5" max="5" width="7.140625" style="2" customWidth="1"/>
    <col min="6" max="33" width="3.42578125" style="112" customWidth="1"/>
    <col min="34" max="35" width="3.42578125" style="113" customWidth="1"/>
    <col min="36" max="36" width="3.42578125" style="113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09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42614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42614</v>
      </c>
      <c r="G5" s="107">
        <f t="shared" ref="G5:AJ5" si="0">F5+1</f>
        <v>42615</v>
      </c>
      <c r="H5" s="107">
        <f t="shared" si="0"/>
        <v>42616</v>
      </c>
      <c r="I5" s="107">
        <f t="shared" si="0"/>
        <v>42617</v>
      </c>
      <c r="J5" s="107">
        <f t="shared" si="0"/>
        <v>42618</v>
      </c>
      <c r="K5" s="107">
        <f t="shared" si="0"/>
        <v>42619</v>
      </c>
      <c r="L5" s="107">
        <f t="shared" si="0"/>
        <v>42620</v>
      </c>
      <c r="M5" s="107">
        <f t="shared" si="0"/>
        <v>42621</v>
      </c>
      <c r="N5" s="107">
        <f t="shared" si="0"/>
        <v>42622</v>
      </c>
      <c r="O5" s="107">
        <f t="shared" si="0"/>
        <v>42623</v>
      </c>
      <c r="P5" s="107">
        <f t="shared" si="0"/>
        <v>42624</v>
      </c>
      <c r="Q5" s="107">
        <f t="shared" si="0"/>
        <v>42625</v>
      </c>
      <c r="R5" s="107">
        <f t="shared" si="0"/>
        <v>42626</v>
      </c>
      <c r="S5" s="107">
        <f t="shared" si="0"/>
        <v>42627</v>
      </c>
      <c r="T5" s="107">
        <f t="shared" si="0"/>
        <v>42628</v>
      </c>
      <c r="U5" s="107">
        <f t="shared" si="0"/>
        <v>42629</v>
      </c>
      <c r="V5" s="107">
        <f t="shared" si="0"/>
        <v>42630</v>
      </c>
      <c r="W5" s="107">
        <f t="shared" si="0"/>
        <v>42631</v>
      </c>
      <c r="X5" s="107">
        <f t="shared" si="0"/>
        <v>42632</v>
      </c>
      <c r="Y5" s="107">
        <f t="shared" si="0"/>
        <v>42633</v>
      </c>
      <c r="Z5" s="107">
        <f t="shared" si="0"/>
        <v>42634</v>
      </c>
      <c r="AA5" s="107">
        <f t="shared" si="0"/>
        <v>42635</v>
      </c>
      <c r="AB5" s="107">
        <f t="shared" si="0"/>
        <v>42636</v>
      </c>
      <c r="AC5" s="107">
        <f t="shared" si="0"/>
        <v>42637</v>
      </c>
      <c r="AD5" s="107">
        <f t="shared" si="0"/>
        <v>42638</v>
      </c>
      <c r="AE5" s="107">
        <f t="shared" si="0"/>
        <v>42639</v>
      </c>
      <c r="AF5" s="107">
        <f t="shared" si="0"/>
        <v>42640</v>
      </c>
      <c r="AG5" s="107">
        <f t="shared" si="0"/>
        <v>42641</v>
      </c>
      <c r="AH5" s="107">
        <f>AG5+1</f>
        <v>42642</v>
      </c>
      <c r="AI5" s="107">
        <f t="shared" si="0"/>
        <v>42643</v>
      </c>
      <c r="AJ5" s="107">
        <f t="shared" si="0"/>
        <v>42644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T.Năm</v>
      </c>
      <c r="G6" s="162" t="str">
        <f t="shared" ref="G6:AJ6" si="1">CHOOSE(WEEKDAY(G5),"C.Nhật","T.Hai","T.Ba","T.Tư","T.Năm","T.Sáu","T.Bảy")</f>
        <v>T.Sáu</v>
      </c>
      <c r="H6" s="162" t="str">
        <f t="shared" si="1"/>
        <v>T.Bảy</v>
      </c>
      <c r="I6" s="162" t="str">
        <f t="shared" si="1"/>
        <v>C.Nhật</v>
      </c>
      <c r="J6" s="162" t="str">
        <f t="shared" si="1"/>
        <v>T.Hai</v>
      </c>
      <c r="K6" s="162" t="str">
        <f t="shared" si="1"/>
        <v>T.Ba</v>
      </c>
      <c r="L6" s="162" t="str">
        <f t="shared" si="1"/>
        <v>T.Tư</v>
      </c>
      <c r="M6" s="162" t="str">
        <f t="shared" si="1"/>
        <v>T.Năm</v>
      </c>
      <c r="N6" s="162" t="str">
        <f t="shared" si="1"/>
        <v>T.Sáu</v>
      </c>
      <c r="O6" s="162" t="str">
        <f t="shared" si="1"/>
        <v>T.Bảy</v>
      </c>
      <c r="P6" s="162" t="str">
        <f t="shared" si="1"/>
        <v>C.Nhật</v>
      </c>
      <c r="Q6" s="162" t="str">
        <f t="shared" si="1"/>
        <v>T.Hai</v>
      </c>
      <c r="R6" s="162" t="str">
        <f t="shared" si="1"/>
        <v>T.Ba</v>
      </c>
      <c r="S6" s="162" t="str">
        <f t="shared" si="1"/>
        <v>T.Tư</v>
      </c>
      <c r="T6" s="162" t="str">
        <f t="shared" si="1"/>
        <v>T.Năm</v>
      </c>
      <c r="U6" s="162" t="str">
        <f t="shared" si="1"/>
        <v>T.Sáu</v>
      </c>
      <c r="V6" s="162" t="str">
        <f t="shared" si="1"/>
        <v>T.Bảy</v>
      </c>
      <c r="W6" s="162" t="str">
        <f t="shared" si="1"/>
        <v>C.Nhật</v>
      </c>
      <c r="X6" s="162" t="str">
        <f t="shared" si="1"/>
        <v>T.Hai</v>
      </c>
      <c r="Y6" s="162" t="str">
        <f t="shared" si="1"/>
        <v>T.Ba</v>
      </c>
      <c r="Z6" s="162" t="str">
        <f t="shared" si="1"/>
        <v>T.Tư</v>
      </c>
      <c r="AA6" s="162" t="str">
        <f t="shared" si="1"/>
        <v>T.Năm</v>
      </c>
      <c r="AB6" s="162" t="str">
        <f t="shared" si="1"/>
        <v>T.Sáu</v>
      </c>
      <c r="AC6" s="162" t="str">
        <f t="shared" si="1"/>
        <v>T.Bảy</v>
      </c>
      <c r="AD6" s="162" t="str">
        <f t="shared" si="1"/>
        <v>C.Nhật</v>
      </c>
      <c r="AE6" s="162" t="str">
        <f t="shared" si="1"/>
        <v>T.Hai</v>
      </c>
      <c r="AF6" s="162" t="str">
        <f t="shared" si="1"/>
        <v>T.Ba</v>
      </c>
      <c r="AG6" s="162" t="str">
        <f t="shared" si="1"/>
        <v>T.Tư</v>
      </c>
      <c r="AH6" s="162" t="str">
        <f t="shared" si="1"/>
        <v>T.Năm</v>
      </c>
      <c r="AI6" s="162" t="str">
        <f t="shared" si="1"/>
        <v>T.Sáu</v>
      </c>
      <c r="AJ6" s="162" t="str">
        <f t="shared" si="1"/>
        <v>T.Bảy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18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82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/>
      <c r="H9" s="132">
        <v>8</v>
      </c>
      <c r="I9" s="132"/>
      <c r="J9" s="132">
        <v>8</v>
      </c>
      <c r="K9" s="132">
        <v>8</v>
      </c>
      <c r="L9" s="132">
        <v>8</v>
      </c>
      <c r="M9" s="132">
        <v>8</v>
      </c>
      <c r="N9" s="132">
        <v>8</v>
      </c>
      <c r="O9" s="132">
        <v>8</v>
      </c>
      <c r="P9" s="132"/>
      <c r="Q9" s="132">
        <v>8</v>
      </c>
      <c r="R9" s="132">
        <v>8</v>
      </c>
      <c r="S9" s="132">
        <v>8</v>
      </c>
      <c r="T9" s="132">
        <v>8</v>
      </c>
      <c r="U9" s="132">
        <v>8</v>
      </c>
      <c r="V9" s="132">
        <v>8</v>
      </c>
      <c r="W9" s="132"/>
      <c r="X9" s="132">
        <v>8</v>
      </c>
      <c r="Y9" s="132">
        <v>8</v>
      </c>
      <c r="Z9" s="132">
        <v>8</v>
      </c>
      <c r="AA9" s="132">
        <v>8</v>
      </c>
      <c r="AB9" s="132">
        <v>8</v>
      </c>
      <c r="AC9" s="132">
        <v>8</v>
      </c>
      <c r="AD9" s="132"/>
      <c r="AE9" s="132">
        <v>8</v>
      </c>
      <c r="AF9" s="132">
        <v>8</v>
      </c>
      <c r="AG9" s="132">
        <v>8</v>
      </c>
      <c r="AH9" s="132">
        <v>8</v>
      </c>
      <c r="AI9" s="132">
        <v>8</v>
      </c>
      <c r="AJ9" s="132"/>
      <c r="AK9" s="251">
        <f>((SUM(F9:AJ9))/8)-(SUMIF($F$6:$AJ$6,"C.Nhật",F9:AJ9)/8)</f>
        <v>25</v>
      </c>
      <c r="AL9" s="251">
        <f>SUM(F10:AJ10)/8*1.5</f>
        <v>0</v>
      </c>
      <c r="AM9" s="253">
        <f>SUMIF($F$6:$AJ$6,"C.Nhật",$F9:$AJ10)/8*2</f>
        <v>0</v>
      </c>
      <c r="AN9" s="241">
        <f>SUM(AK9:AM10)</f>
        <v>25</v>
      </c>
      <c r="AO9" s="255">
        <v>0</v>
      </c>
      <c r="AP9" s="241"/>
      <c r="AQ9" s="241"/>
      <c r="AR9" s="241"/>
      <c r="AS9" s="243"/>
      <c r="AT9" s="18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18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1"/>
      <c r="AT11" s="167"/>
    </row>
    <row r="12" spans="1:91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>
        <v>8</v>
      </c>
      <c r="G12" s="132"/>
      <c r="H12" s="132">
        <v>8</v>
      </c>
      <c r="I12" s="132"/>
      <c r="J12" s="132">
        <v>8</v>
      </c>
      <c r="K12" s="132">
        <v>8</v>
      </c>
      <c r="L12" s="132">
        <v>8</v>
      </c>
      <c r="M12" s="132">
        <v>8</v>
      </c>
      <c r="N12" s="132">
        <v>8</v>
      </c>
      <c r="O12" s="132">
        <v>8</v>
      </c>
      <c r="P12" s="132"/>
      <c r="Q12" s="132">
        <v>8</v>
      </c>
      <c r="R12" s="132">
        <v>8</v>
      </c>
      <c r="S12" s="132">
        <v>8</v>
      </c>
      <c r="T12" s="132">
        <v>8</v>
      </c>
      <c r="U12" s="132">
        <v>8</v>
      </c>
      <c r="V12" s="132">
        <v>8</v>
      </c>
      <c r="W12" s="132"/>
      <c r="X12" s="132">
        <v>8</v>
      </c>
      <c r="Y12" s="132">
        <v>8</v>
      </c>
      <c r="Z12" s="132">
        <v>8</v>
      </c>
      <c r="AA12" s="132">
        <v>8</v>
      </c>
      <c r="AB12" s="132">
        <v>8</v>
      </c>
      <c r="AC12" s="132">
        <v>8</v>
      </c>
      <c r="AD12" s="132"/>
      <c r="AE12" s="132">
        <v>8</v>
      </c>
      <c r="AF12" s="132">
        <v>8</v>
      </c>
      <c r="AG12" s="132">
        <v>8</v>
      </c>
      <c r="AH12" s="132">
        <v>8</v>
      </c>
      <c r="AI12" s="132">
        <v>8</v>
      </c>
      <c r="AJ12" s="132"/>
      <c r="AK12" s="251">
        <f t="shared" ref="AK12" si="2">((SUM(F12:AJ12))/8)-(SUMIF($F$6:$AJ$6,"C.Nhật",F12:AJ12)/8)</f>
        <v>25</v>
      </c>
      <c r="AL12" s="251">
        <f t="shared" ref="AL12" si="3">SUM(F13:AJ13)/8*1.5</f>
        <v>0</v>
      </c>
      <c r="AM12" s="253">
        <f>SUMIF($F$6:$AJ$6,"C.Nhật",$F12:$AJ13)/8*2</f>
        <v>0</v>
      </c>
      <c r="AN12" s="241">
        <f>SUM(AK12:AM13)</f>
        <v>25</v>
      </c>
      <c r="AO12" s="255">
        <v>0</v>
      </c>
      <c r="AP12" s="241"/>
      <c r="AQ12" s="241"/>
      <c r="AR12" s="241"/>
      <c r="AS12" s="243"/>
      <c r="AT12" s="20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252"/>
      <c r="AL13" s="252"/>
      <c r="AM13" s="254"/>
      <c r="AN13" s="242"/>
      <c r="AO13" s="256"/>
      <c r="AP13" s="242"/>
      <c r="AQ13" s="242"/>
      <c r="AR13" s="242"/>
      <c r="AS13" s="244"/>
      <c r="AT13" s="20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>
        <v>8</v>
      </c>
      <c r="G14" s="132"/>
      <c r="H14" s="132">
        <v>8</v>
      </c>
      <c r="I14" s="132"/>
      <c r="J14" s="132">
        <v>8</v>
      </c>
      <c r="K14" s="132">
        <v>8</v>
      </c>
      <c r="L14" s="132">
        <v>8</v>
      </c>
      <c r="M14" s="132">
        <v>8</v>
      </c>
      <c r="N14" s="132">
        <v>8</v>
      </c>
      <c r="O14" s="132">
        <v>8</v>
      </c>
      <c r="P14" s="132"/>
      <c r="Q14" s="132">
        <v>8</v>
      </c>
      <c r="R14" s="132">
        <v>8</v>
      </c>
      <c r="S14" s="132">
        <v>8</v>
      </c>
      <c r="T14" s="132">
        <v>8</v>
      </c>
      <c r="U14" s="132">
        <v>8</v>
      </c>
      <c r="V14" s="132">
        <v>8</v>
      </c>
      <c r="W14" s="132"/>
      <c r="X14" s="132">
        <v>8</v>
      </c>
      <c r="Y14" s="132">
        <v>8</v>
      </c>
      <c r="Z14" s="132">
        <v>8</v>
      </c>
      <c r="AA14" s="132">
        <v>8</v>
      </c>
      <c r="AB14" s="132">
        <v>8</v>
      </c>
      <c r="AC14" s="132">
        <v>8</v>
      </c>
      <c r="AD14" s="132"/>
      <c r="AE14" s="132">
        <v>8</v>
      </c>
      <c r="AF14" s="132">
        <v>8</v>
      </c>
      <c r="AG14" s="132">
        <v>8</v>
      </c>
      <c r="AH14" s="132">
        <v>8</v>
      </c>
      <c r="AI14" s="132">
        <v>8</v>
      </c>
      <c r="AJ14" s="132"/>
      <c r="AK14" s="251">
        <f t="shared" ref="AK14" si="4">((SUM(F14:AJ14))/8)-(SUMIF($F$6:$AJ$6,"C.Nhật",F14:AJ14)/8)</f>
        <v>25</v>
      </c>
      <c r="AL14" s="251">
        <f t="shared" ref="AL14" si="5">SUM(F15:AJ15)/8*1.5</f>
        <v>0</v>
      </c>
      <c r="AM14" s="253">
        <f>SUMIF($F$6:$AJ$6,"C.Nhật",$F14:$AJ15)/8*2</f>
        <v>0</v>
      </c>
      <c r="AN14" s="241">
        <f t="shared" ref="AN14" si="6">SUM(AK14:AM15)</f>
        <v>25</v>
      </c>
      <c r="AO14" s="255">
        <v>0</v>
      </c>
      <c r="AP14" s="241"/>
      <c r="AQ14" s="241"/>
      <c r="AR14" s="241"/>
      <c r="AS14" s="243"/>
      <c r="AT14" s="21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1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>
        <v>8</v>
      </c>
      <c r="G16" s="132"/>
      <c r="H16" s="132">
        <v>8</v>
      </c>
      <c r="I16" s="132"/>
      <c r="J16" s="132">
        <v>8</v>
      </c>
      <c r="K16" s="132">
        <v>8</v>
      </c>
      <c r="L16" s="132">
        <v>8</v>
      </c>
      <c r="M16" s="132">
        <v>8</v>
      </c>
      <c r="N16" s="132">
        <v>8</v>
      </c>
      <c r="O16" s="132">
        <v>8</v>
      </c>
      <c r="P16" s="132"/>
      <c r="Q16" s="132">
        <v>8</v>
      </c>
      <c r="R16" s="132">
        <v>8</v>
      </c>
      <c r="S16" s="132">
        <v>8</v>
      </c>
      <c r="T16" s="132">
        <v>8</v>
      </c>
      <c r="U16" s="132">
        <v>8</v>
      </c>
      <c r="V16" s="132">
        <v>8</v>
      </c>
      <c r="W16" s="132"/>
      <c r="X16" s="132">
        <v>8</v>
      </c>
      <c r="Y16" s="132">
        <v>8</v>
      </c>
      <c r="Z16" s="132">
        <v>8</v>
      </c>
      <c r="AA16" s="132">
        <v>8</v>
      </c>
      <c r="AB16" s="132">
        <v>8</v>
      </c>
      <c r="AC16" s="132">
        <v>8</v>
      </c>
      <c r="AD16" s="132"/>
      <c r="AE16" s="132">
        <v>8</v>
      </c>
      <c r="AF16" s="132">
        <v>8</v>
      </c>
      <c r="AG16" s="132">
        <v>8</v>
      </c>
      <c r="AH16" s="132">
        <v>8</v>
      </c>
      <c r="AI16" s="132">
        <v>8</v>
      </c>
      <c r="AJ16" s="132"/>
      <c r="AK16" s="251">
        <f t="shared" ref="AK16" si="7">((SUM(F16:AJ16))/8)-(SUMIF($F$6:$AJ$6,"C.Nhật",F16:AJ16)/8)</f>
        <v>25</v>
      </c>
      <c r="AL16" s="251">
        <f t="shared" ref="AL16" si="8">SUM(F17:AJ17)/8*1.5</f>
        <v>0</v>
      </c>
      <c r="AM16" s="253">
        <f>SUMIF($F$6:$AJ$6,"C.Nhật",$F16:$AJ17)/8*2</f>
        <v>0</v>
      </c>
      <c r="AN16" s="241">
        <f t="shared" ref="AN16" si="9">SUM(AK16:AM17)</f>
        <v>25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3"/>
    </row>
    <row r="19" spans="1:90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3"/>
    </row>
    <row r="20" spans="1:90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3"/>
    </row>
    <row r="21" spans="1:90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111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84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113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40</v>
      </c>
      <c r="D26" s="184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113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6:AQ17"/>
    <mergeCell ref="AR16:AR17"/>
    <mergeCell ref="AS16:AS17"/>
    <mergeCell ref="AP12:AP13"/>
    <mergeCell ref="AQ12:AQ13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M1:AS1"/>
    <mergeCell ref="AK5:AM5"/>
    <mergeCell ref="AN5:AN6"/>
    <mergeCell ref="AO5:AO6"/>
    <mergeCell ref="AP5:AP6"/>
    <mergeCell ref="AQ5:AQ6"/>
    <mergeCell ref="AR5:AR6"/>
    <mergeCell ref="AS5:AS6"/>
    <mergeCell ref="AO14:AO15"/>
    <mergeCell ref="AP14:AP15"/>
    <mergeCell ref="A16:A17"/>
    <mergeCell ref="B16:B17"/>
    <mergeCell ref="C16:C17"/>
    <mergeCell ref="D16:D17"/>
    <mergeCell ref="AK16:AK17"/>
    <mergeCell ref="AN16:AN17"/>
    <mergeCell ref="AO16:AO17"/>
    <mergeCell ref="AK14:AK15"/>
    <mergeCell ref="A14:A15"/>
    <mergeCell ref="B14:B15"/>
    <mergeCell ref="AP16:AP17"/>
  </mergeCells>
  <conditionalFormatting sqref="F5:AJ6 F9:AJ10 F12:AI17">
    <cfRule type="expression" dxfId="32" priority="57" stopIfTrue="1">
      <formula>IF(WEEKDAY(F$5)=1,TRUE,FALSE)</formula>
    </cfRule>
  </conditionalFormatting>
  <conditionalFormatting sqref="F9:AJ10">
    <cfRule type="expression" dxfId="31" priority="56" stopIfTrue="1">
      <formula>IF(WEEKDAY(F$5)=1,TRUE,FALSE)</formula>
    </cfRule>
  </conditionalFormatting>
  <conditionalFormatting sqref="AJ12:AJ13">
    <cfRule type="expression" dxfId="30" priority="43" stopIfTrue="1">
      <formula>IF(WEEKDAY(AJ$5)=1,TRUE,FALSE)</formula>
    </cfRule>
  </conditionalFormatting>
  <conditionalFormatting sqref="AJ12:AJ13">
    <cfRule type="expression" dxfId="29" priority="42" stopIfTrue="1">
      <formula>IF(WEEKDAY(AJ$5)=1,TRUE,FALSE)</formula>
    </cfRule>
  </conditionalFormatting>
  <conditionalFormatting sqref="AJ12:AJ13">
    <cfRule type="expression" dxfId="28" priority="41" stopIfTrue="1">
      <formula>IF(WEEKDAY(AJ$5)=1,TRUE,FALSE)</formula>
    </cfRule>
  </conditionalFormatting>
  <conditionalFormatting sqref="AJ12:AJ13">
    <cfRule type="expression" dxfId="27" priority="40" stopIfTrue="1">
      <formula>IF(WEEKDAY(AJ$5)=1,TRUE,FALSE)</formula>
    </cfRule>
  </conditionalFormatting>
  <conditionalFormatting sqref="AJ12:AJ13">
    <cfRule type="expression" dxfId="26" priority="39" stopIfTrue="1">
      <formula>IF(WEEKDAY(AJ$5)=1,TRUE,FALSE)</formula>
    </cfRule>
  </conditionalFormatting>
  <conditionalFormatting sqref="AJ12:AJ13">
    <cfRule type="expression" dxfId="25" priority="38" stopIfTrue="1">
      <formula>IF(WEEKDAY(AJ$5)=1,TRUE,FALSE)</formula>
    </cfRule>
  </conditionalFormatting>
  <conditionalFormatting sqref="AJ12:AJ13">
    <cfRule type="expression" dxfId="24" priority="37" stopIfTrue="1">
      <formula>IF(WEEKDAY(AJ$5)=1,TRUE,FALSE)</formula>
    </cfRule>
  </conditionalFormatting>
  <conditionalFormatting sqref="AJ16:AJ17">
    <cfRule type="expression" dxfId="23" priority="20" stopIfTrue="1">
      <formula>IF(WEEKDAY(AJ$5)=1,TRUE,FALSE)</formula>
    </cfRule>
  </conditionalFormatting>
  <conditionalFormatting sqref="AJ16:AJ17">
    <cfRule type="expression" dxfId="22" priority="19" stopIfTrue="1">
      <formula>IF(WEEKDAY(AJ$5)=1,TRUE,FALSE)</formula>
    </cfRule>
  </conditionalFormatting>
  <conditionalFormatting sqref="AJ16:AJ17">
    <cfRule type="expression" dxfId="21" priority="18" stopIfTrue="1">
      <formula>IF(WEEKDAY(AJ$5)=1,TRUE,FALSE)</formula>
    </cfRule>
  </conditionalFormatting>
  <conditionalFormatting sqref="AJ16:AJ17">
    <cfRule type="expression" dxfId="20" priority="17" stopIfTrue="1">
      <formula>IF(WEEKDAY(AJ$5)=1,TRUE,FALSE)</formula>
    </cfRule>
  </conditionalFormatting>
  <conditionalFormatting sqref="AJ16:AJ17">
    <cfRule type="expression" dxfId="19" priority="16" stopIfTrue="1">
      <formula>IF(WEEKDAY(AJ$5)=1,TRUE,FALSE)</formula>
    </cfRule>
  </conditionalFormatting>
  <conditionalFormatting sqref="AJ16:AJ17">
    <cfRule type="expression" dxfId="18" priority="15" stopIfTrue="1">
      <formula>IF(WEEKDAY(AJ$5)=1,TRUE,FALSE)</formula>
    </cfRule>
  </conditionalFormatting>
  <conditionalFormatting sqref="AJ16:AJ17">
    <cfRule type="expression" dxfId="17" priority="14" stopIfTrue="1">
      <formula>IF(WEEKDAY(AJ$5)=1,TRUE,FALSE)</formula>
    </cfRule>
  </conditionalFormatting>
  <conditionalFormatting sqref="AJ14:AJ15">
    <cfRule type="expression" dxfId="16" priority="11" stopIfTrue="1">
      <formula>IF(WEEKDAY(AJ$5)=1,TRUE,FALSE)</formula>
    </cfRule>
  </conditionalFormatting>
  <conditionalFormatting sqref="AJ14:AJ15">
    <cfRule type="expression" dxfId="15" priority="10" stopIfTrue="1">
      <formula>IF(WEEKDAY(AJ$5)=1,TRUE,FALSE)</formula>
    </cfRule>
  </conditionalFormatting>
  <conditionalFormatting sqref="AJ14:AJ15">
    <cfRule type="expression" dxfId="14" priority="9" stopIfTrue="1">
      <formula>IF(WEEKDAY(AJ$5)=1,TRUE,FALSE)</formula>
    </cfRule>
  </conditionalFormatting>
  <conditionalFormatting sqref="AJ14:AJ15">
    <cfRule type="expression" dxfId="13" priority="8" stopIfTrue="1">
      <formula>IF(WEEKDAY(AJ$5)=1,TRUE,FALSE)</formula>
    </cfRule>
  </conditionalFormatting>
  <conditionalFormatting sqref="AJ14:AJ15">
    <cfRule type="expression" dxfId="12" priority="7" stopIfTrue="1">
      <formula>IF(WEEKDAY(AJ$5)=1,TRUE,FALSE)</formula>
    </cfRule>
  </conditionalFormatting>
  <conditionalFormatting sqref="AJ14:AJ15">
    <cfRule type="expression" dxfId="11" priority="6" stopIfTrue="1">
      <formula>IF(WEEKDAY(AJ$5)=1,TRUE,FALSE)</formula>
    </cfRule>
  </conditionalFormatting>
  <conditionalFormatting sqref="AJ14:AJ15">
    <cfRule type="expression" dxfId="10" priority="5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H16" sqref="H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188"/>
      <c r="C1" s="188"/>
      <c r="D1" s="269" t="str">
        <f>"BẢNG THANH TOÁN LƯƠNG THÁNG"&amp;" "&amp;TEXT($E$4,"mm")&amp;" / "&amp;TEXT($E$4,"yyyy")</f>
        <v>BẢNG THANH TOÁN LƯƠNG THÁNG 09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188"/>
      <c r="C2" s="188"/>
      <c r="D2" s="188"/>
      <c r="E2" s="70"/>
      <c r="F2" s="188"/>
      <c r="G2" s="188"/>
      <c r="H2" s="188"/>
      <c r="I2" s="188"/>
      <c r="J2" s="71"/>
      <c r="K2" s="188"/>
      <c r="L2" s="188"/>
      <c r="M2" s="188"/>
      <c r="N2" s="188"/>
      <c r="O2" s="188"/>
      <c r="P2" s="188"/>
      <c r="Q2" s="188"/>
      <c r="R2" s="188"/>
      <c r="S2" s="188"/>
      <c r="T2" s="48"/>
      <c r="U2" s="69">
        <f>MAX(F10:F18)</f>
        <v>25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188"/>
      <c r="C3" s="188"/>
      <c r="D3" s="188"/>
      <c r="E3" s="70"/>
      <c r="F3" s="188"/>
      <c r="G3" s="188"/>
      <c r="H3" s="188"/>
      <c r="I3" s="188"/>
      <c r="J3" s="71"/>
      <c r="K3" s="188"/>
      <c r="L3" s="188"/>
      <c r="M3" s="188"/>
      <c r="N3" s="188"/>
      <c r="O3" s="188"/>
      <c r="P3" s="188"/>
      <c r="Q3" s="188"/>
      <c r="R3" s="188"/>
      <c r="S3" s="188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-9'!$E$4</f>
        <v>42614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187" t="s">
        <v>34</v>
      </c>
      <c r="G7" s="185" t="s">
        <v>18</v>
      </c>
      <c r="H7" s="187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-9'!$B$8:$AS$17,36,0)</f>
        <v>25</v>
      </c>
      <c r="G10" s="134">
        <f t="shared" ref="G10" si="3">ROUND(E10/$U$2*F10,0)</f>
        <v>5000000</v>
      </c>
      <c r="H10" s="81">
        <f>(VLOOKUP(B10,'CC -9'!$B$8:$AS$17,37,0)+VLOOKUP(B10,'CC -9'!$B$8:$AS$17,38,0))</f>
        <v>0</v>
      </c>
      <c r="I10" s="134">
        <f t="shared" ref="I10" si="4">ROUND(E10/$U$2*H10,0)</f>
        <v>0</v>
      </c>
      <c r="J10" s="82">
        <f t="shared" ref="J10" si="5">F10+H10</f>
        <v>25</v>
      </c>
      <c r="K10" s="33">
        <f>G10+I10</f>
        <v>5000000</v>
      </c>
      <c r="L10" s="79">
        <f t="shared" ref="L10" si="6">+F10*15000</f>
        <v>375000</v>
      </c>
      <c r="M10" s="34">
        <f t="shared" ref="M10" si="7">K10+L10</f>
        <v>5375000</v>
      </c>
      <c r="N10" s="34">
        <f>IF(VLOOKUP($B10,DS,25,0)="x",$E10*N$4,0)</f>
        <v>0</v>
      </c>
      <c r="O10" s="34">
        <f>IF(VLOOKUP($B10,DS,25,0)="x",$E10*O$4,0)</f>
        <v>0</v>
      </c>
      <c r="P10" s="34">
        <f>IF(VLOOKUP($B10,DS,25,0)="x",$E10*P$4,0)</f>
        <v>0</v>
      </c>
      <c r="Q10" s="33">
        <f t="shared" ref="Q10" si="8">M10-SUM(N10:P10)</f>
        <v>5375000</v>
      </c>
      <c r="R10" s="33">
        <f>VLOOKUP(B10,DS,23,0)</f>
        <v>0</v>
      </c>
      <c r="S10" s="39">
        <f t="shared" ref="S10" si="9">Q10-R10</f>
        <v>5375000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SUM(E9:E10)</f>
        <v>5000000</v>
      </c>
      <c r="F12" s="129"/>
      <c r="G12" s="129">
        <f>SUM(G9:G10)</f>
        <v>5000000</v>
      </c>
      <c r="H12" s="129"/>
      <c r="I12" s="129">
        <f>SUM(I9:I10)</f>
        <v>0</v>
      </c>
      <c r="J12" s="129"/>
      <c r="K12" s="129">
        <f t="shared" ref="K12:S12" si="10">SUM(K9:K10)</f>
        <v>5000000</v>
      </c>
      <c r="L12" s="129">
        <f t="shared" si="10"/>
        <v>375000</v>
      </c>
      <c r="M12" s="129">
        <f t="shared" si="10"/>
        <v>5375000</v>
      </c>
      <c r="N12" s="129">
        <f t="shared" si="10"/>
        <v>0</v>
      </c>
      <c r="O12" s="129">
        <f t="shared" si="10"/>
        <v>0</v>
      </c>
      <c r="P12" s="129">
        <f t="shared" si="10"/>
        <v>0</v>
      </c>
      <c r="Q12" s="129">
        <f t="shared" si="10"/>
        <v>5375000</v>
      </c>
      <c r="R12" s="129">
        <f t="shared" si="10"/>
        <v>0</v>
      </c>
      <c r="S12" s="129">
        <f t="shared" si="10"/>
        <v>5375000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:C16" si="11">VLOOKUP(B14,DS,2,0)</f>
        <v>Bùi Trường Giang</v>
      </c>
      <c r="D14" s="105" t="str">
        <f t="shared" ref="D14:D16" si="12">VLOOKUP(B14,DS,3,0)</f>
        <v>Thợ in</v>
      </c>
      <c r="E14" s="79">
        <f t="shared" ref="E14:E16" si="13">VLOOKUP(B14,DS,4,0)</f>
        <v>5000000</v>
      </c>
      <c r="F14" s="81">
        <f>VLOOKUP(B14,'CC -9'!$B$8:$AS$17,36,0)</f>
        <v>25</v>
      </c>
      <c r="G14" s="134">
        <f t="shared" ref="G14:G16" si="14">ROUND(E14/$U$2*F14,0)</f>
        <v>5000000</v>
      </c>
      <c r="H14" s="81">
        <f>(VLOOKUP(B14,'CC -9'!$B$8:$AS$17,37,0)+VLOOKUP(B14,'CC -9'!$B$8:$AS$17,38,0))</f>
        <v>0</v>
      </c>
      <c r="I14" s="134">
        <f t="shared" ref="I14:I16" si="15">ROUND(E14/$U$2*H14,0)</f>
        <v>0</v>
      </c>
      <c r="J14" s="135">
        <f t="shared" ref="J14:K16" si="16">F14+H14</f>
        <v>25</v>
      </c>
      <c r="K14" s="33">
        <f t="shared" si="16"/>
        <v>5000000</v>
      </c>
      <c r="L14" s="79">
        <f t="shared" ref="L14:L16" si="17">+F14*15000</f>
        <v>375000</v>
      </c>
      <c r="M14" s="34">
        <f t="shared" ref="M14:M16" si="18">K14+L14</f>
        <v>5375000</v>
      </c>
      <c r="N14" s="34">
        <f t="shared" ref="N14:P16" si="19">IF(VLOOKUP($B14,DS,25,0)="x",$E14*N$4,0)</f>
        <v>0</v>
      </c>
      <c r="O14" s="34">
        <f t="shared" si="19"/>
        <v>0</v>
      </c>
      <c r="P14" s="34">
        <f t="shared" si="19"/>
        <v>0</v>
      </c>
      <c r="Q14" s="33">
        <f>M14-SUM(N14:P14)</f>
        <v>5375000</v>
      </c>
      <c r="R14" s="33">
        <f t="shared" ref="R14:R16" si="20">VLOOKUP(B14,DS,23,0)</f>
        <v>0</v>
      </c>
      <c r="S14" s="39">
        <f>Q14-R14</f>
        <v>5375000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" si="21">VLOOKUP(B15,DS,2,0)</f>
        <v>Lý Thanh Hải</v>
      </c>
      <c r="D15" s="105" t="str">
        <f t="shared" ref="D15" si="22">VLOOKUP(B15,DS,3,0)</f>
        <v>Công Đoạn 1</v>
      </c>
      <c r="E15" s="79">
        <f t="shared" ref="E15" si="23">VLOOKUP(B15,DS,4,0)</f>
        <v>5000000</v>
      </c>
      <c r="F15" s="81">
        <f>VLOOKUP(B15,'CC -9'!$B$8:$AS$17,36,0)</f>
        <v>25</v>
      </c>
      <c r="G15" s="134">
        <f t="shared" ref="G15" si="24">ROUND(E15/$U$2*F15,0)</f>
        <v>5000000</v>
      </c>
      <c r="H15" s="81">
        <f>(VLOOKUP(B15,'CC -9'!$B$8:$AS$17,37,0)+VLOOKUP(B15,'CC -9'!$B$8:$AS$17,38,0))</f>
        <v>0</v>
      </c>
      <c r="I15" s="134">
        <f t="shared" ref="I15" si="25">ROUND(E15/$U$2*H15,0)</f>
        <v>0</v>
      </c>
      <c r="J15" s="135">
        <f t="shared" ref="J15" si="26">F15+H15</f>
        <v>25</v>
      </c>
      <c r="K15" s="33">
        <f t="shared" ref="K15" si="27">G15+I15</f>
        <v>5000000</v>
      </c>
      <c r="L15" s="79">
        <f t="shared" ref="L15" si="28">+F15*15000</f>
        <v>375000</v>
      </c>
      <c r="M15" s="34">
        <f t="shared" ref="M15" si="29">K15+L15</f>
        <v>5375000</v>
      </c>
      <c r="N15" s="34">
        <f t="shared" si="19"/>
        <v>0</v>
      </c>
      <c r="O15" s="34">
        <f t="shared" si="19"/>
        <v>0</v>
      </c>
      <c r="P15" s="34">
        <f t="shared" si="19"/>
        <v>0</v>
      </c>
      <c r="Q15" s="33">
        <f t="shared" ref="Q15" si="30">M15-SUM(N15:P15)</f>
        <v>5375000</v>
      </c>
      <c r="R15" s="33">
        <f t="shared" ref="R15" si="31">VLOOKUP(B15,DS,23,0)</f>
        <v>0</v>
      </c>
      <c r="S15" s="39">
        <f t="shared" ref="S15" si="32">Q15-R15</f>
        <v>5375000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11"/>
        <v>Lê Văn Hữu</v>
      </c>
      <c r="D16" s="105" t="str">
        <f t="shared" si="12"/>
        <v>Công Đoạn 2</v>
      </c>
      <c r="E16" s="79">
        <f t="shared" si="13"/>
        <v>5000000</v>
      </c>
      <c r="F16" s="81">
        <f>VLOOKUP(B16,'CC -9'!$B$8:$AS$17,36,0)</f>
        <v>25</v>
      </c>
      <c r="G16" s="134">
        <f t="shared" si="14"/>
        <v>5000000</v>
      </c>
      <c r="H16" s="81">
        <f>(VLOOKUP(B16,'CC -9'!$B$8:$AS$17,37,0)+VLOOKUP(B16,'CC -9'!$B$8:$AS$17,38,0))</f>
        <v>0</v>
      </c>
      <c r="I16" s="134">
        <f t="shared" si="15"/>
        <v>0</v>
      </c>
      <c r="J16" s="135">
        <f t="shared" si="16"/>
        <v>25</v>
      </c>
      <c r="K16" s="33">
        <f t="shared" si="16"/>
        <v>5000000</v>
      </c>
      <c r="L16" s="79">
        <f t="shared" si="17"/>
        <v>375000</v>
      </c>
      <c r="M16" s="34">
        <f t="shared" si="18"/>
        <v>5375000</v>
      </c>
      <c r="N16" s="34">
        <f t="shared" si="19"/>
        <v>0</v>
      </c>
      <c r="O16" s="34">
        <f t="shared" si="19"/>
        <v>0</v>
      </c>
      <c r="P16" s="34">
        <f t="shared" si="19"/>
        <v>0</v>
      </c>
      <c r="Q16" s="33">
        <f t="shared" ref="Q16" si="33">M16-SUM(N16:P16)</f>
        <v>5375000</v>
      </c>
      <c r="R16" s="33">
        <f t="shared" si="20"/>
        <v>0</v>
      </c>
      <c r="S16" s="39">
        <f t="shared" ref="S16" si="34">Q16-R16</f>
        <v>5375000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5">SUM(K13:K17)</f>
        <v>15000000</v>
      </c>
      <c r="L18" s="129">
        <f t="shared" si="35"/>
        <v>1125000</v>
      </c>
      <c r="M18" s="129">
        <f t="shared" si="35"/>
        <v>16125000</v>
      </c>
      <c r="N18" s="129">
        <f t="shared" si="35"/>
        <v>0</v>
      </c>
      <c r="O18" s="129">
        <f t="shared" si="35"/>
        <v>0</v>
      </c>
      <c r="P18" s="129">
        <f t="shared" si="35"/>
        <v>0</v>
      </c>
      <c r="Q18" s="129">
        <f t="shared" si="35"/>
        <v>16125000</v>
      </c>
      <c r="R18" s="129">
        <f t="shared" si="35"/>
        <v>0</v>
      </c>
      <c r="S18" s="129">
        <f t="shared" si="35"/>
        <v>16125000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09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10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42644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42644</v>
      </c>
      <c r="G5" s="107">
        <f t="shared" ref="G5:AJ5" si="0">F5+1</f>
        <v>42645</v>
      </c>
      <c r="H5" s="107">
        <f t="shared" si="0"/>
        <v>42646</v>
      </c>
      <c r="I5" s="107">
        <f t="shared" si="0"/>
        <v>42647</v>
      </c>
      <c r="J5" s="107">
        <f t="shared" si="0"/>
        <v>42648</v>
      </c>
      <c r="K5" s="107">
        <f t="shared" si="0"/>
        <v>42649</v>
      </c>
      <c r="L5" s="107">
        <f t="shared" si="0"/>
        <v>42650</v>
      </c>
      <c r="M5" s="107">
        <f t="shared" si="0"/>
        <v>42651</v>
      </c>
      <c r="N5" s="107">
        <f t="shared" si="0"/>
        <v>42652</v>
      </c>
      <c r="O5" s="107">
        <f t="shared" si="0"/>
        <v>42653</v>
      </c>
      <c r="P5" s="107">
        <f t="shared" si="0"/>
        <v>42654</v>
      </c>
      <c r="Q5" s="107">
        <f t="shared" si="0"/>
        <v>42655</v>
      </c>
      <c r="R5" s="107">
        <f t="shared" si="0"/>
        <v>42656</v>
      </c>
      <c r="S5" s="107">
        <f t="shared" si="0"/>
        <v>42657</v>
      </c>
      <c r="T5" s="107">
        <f t="shared" si="0"/>
        <v>42658</v>
      </c>
      <c r="U5" s="107">
        <f t="shared" si="0"/>
        <v>42659</v>
      </c>
      <c r="V5" s="107">
        <f t="shared" si="0"/>
        <v>42660</v>
      </c>
      <c r="W5" s="107">
        <f t="shared" si="0"/>
        <v>42661</v>
      </c>
      <c r="X5" s="107">
        <f t="shared" si="0"/>
        <v>42662</v>
      </c>
      <c r="Y5" s="107">
        <f t="shared" si="0"/>
        <v>42663</v>
      </c>
      <c r="Z5" s="107">
        <f t="shared" si="0"/>
        <v>42664</v>
      </c>
      <c r="AA5" s="107">
        <f t="shared" si="0"/>
        <v>42665</v>
      </c>
      <c r="AB5" s="107">
        <f t="shared" si="0"/>
        <v>42666</v>
      </c>
      <c r="AC5" s="107">
        <f t="shared" si="0"/>
        <v>42667</v>
      </c>
      <c r="AD5" s="107">
        <f t="shared" si="0"/>
        <v>42668</v>
      </c>
      <c r="AE5" s="107">
        <f t="shared" si="0"/>
        <v>42669</v>
      </c>
      <c r="AF5" s="107">
        <f t="shared" si="0"/>
        <v>42670</v>
      </c>
      <c r="AG5" s="107">
        <f t="shared" si="0"/>
        <v>42671</v>
      </c>
      <c r="AH5" s="107">
        <f>AG5+1</f>
        <v>42672</v>
      </c>
      <c r="AI5" s="107">
        <f t="shared" si="0"/>
        <v>42673</v>
      </c>
      <c r="AJ5" s="107">
        <f t="shared" si="0"/>
        <v>42674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T.Bảy</v>
      </c>
      <c r="G6" s="162" t="str">
        <f t="shared" ref="G6:AJ6" si="1">CHOOSE(WEEKDAY(G5),"C.Nhật","T.Hai","T.Ba","T.Tư","T.Năm","T.Sáu","T.Bảy")</f>
        <v>C.Nhật</v>
      </c>
      <c r="H6" s="162" t="str">
        <f t="shared" si="1"/>
        <v>T.Hai</v>
      </c>
      <c r="I6" s="162" t="str">
        <f t="shared" si="1"/>
        <v>T.Ba</v>
      </c>
      <c r="J6" s="162" t="str">
        <f t="shared" si="1"/>
        <v>T.Tư</v>
      </c>
      <c r="K6" s="162" t="str">
        <f t="shared" si="1"/>
        <v>T.Năm</v>
      </c>
      <c r="L6" s="162" t="str">
        <f t="shared" si="1"/>
        <v>T.Sáu</v>
      </c>
      <c r="M6" s="162" t="str">
        <f t="shared" si="1"/>
        <v>T.Bảy</v>
      </c>
      <c r="N6" s="162" t="str">
        <f t="shared" si="1"/>
        <v>C.Nhật</v>
      </c>
      <c r="O6" s="162" t="str">
        <f t="shared" si="1"/>
        <v>T.Hai</v>
      </c>
      <c r="P6" s="162" t="str">
        <f t="shared" si="1"/>
        <v>T.Ba</v>
      </c>
      <c r="Q6" s="162" t="str">
        <f t="shared" si="1"/>
        <v>T.Tư</v>
      </c>
      <c r="R6" s="162" t="str">
        <f t="shared" si="1"/>
        <v>T.Năm</v>
      </c>
      <c r="S6" s="162" t="str">
        <f t="shared" si="1"/>
        <v>T.Sáu</v>
      </c>
      <c r="T6" s="162" t="str">
        <f t="shared" si="1"/>
        <v>T.Bảy</v>
      </c>
      <c r="U6" s="162" t="str">
        <f t="shared" si="1"/>
        <v>C.Nhật</v>
      </c>
      <c r="V6" s="162" t="str">
        <f t="shared" si="1"/>
        <v>T.Hai</v>
      </c>
      <c r="W6" s="162" t="str">
        <f t="shared" si="1"/>
        <v>T.Ba</v>
      </c>
      <c r="X6" s="162" t="str">
        <f t="shared" si="1"/>
        <v>T.Tư</v>
      </c>
      <c r="Y6" s="162" t="str">
        <f t="shared" si="1"/>
        <v>T.Năm</v>
      </c>
      <c r="Z6" s="162" t="str">
        <f t="shared" si="1"/>
        <v>T.Sáu</v>
      </c>
      <c r="AA6" s="162" t="str">
        <f t="shared" si="1"/>
        <v>T.Bảy</v>
      </c>
      <c r="AB6" s="162" t="str">
        <f t="shared" si="1"/>
        <v>C.Nhật</v>
      </c>
      <c r="AC6" s="162" t="str">
        <f t="shared" si="1"/>
        <v>T.Hai</v>
      </c>
      <c r="AD6" s="162" t="str">
        <f t="shared" si="1"/>
        <v>T.Ba</v>
      </c>
      <c r="AE6" s="162" t="str">
        <f t="shared" si="1"/>
        <v>T.Tư</v>
      </c>
      <c r="AF6" s="162" t="str">
        <f t="shared" si="1"/>
        <v>T.Năm</v>
      </c>
      <c r="AG6" s="162" t="str">
        <f t="shared" si="1"/>
        <v>T.Sáu</v>
      </c>
      <c r="AH6" s="162" t="str">
        <f t="shared" si="1"/>
        <v>T.Bảy</v>
      </c>
      <c r="AI6" s="162" t="str">
        <f t="shared" si="1"/>
        <v>C.Nhật</v>
      </c>
      <c r="AJ6" s="162" t="str">
        <f t="shared" si="1"/>
        <v>T.Hai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82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/>
      <c r="H9" s="132">
        <v>8</v>
      </c>
      <c r="I9" s="132">
        <v>8</v>
      </c>
      <c r="J9" s="132">
        <v>8</v>
      </c>
      <c r="K9" s="132">
        <v>8</v>
      </c>
      <c r="L9" s="132">
        <v>8</v>
      </c>
      <c r="M9" s="132">
        <v>8</v>
      </c>
      <c r="N9" s="132"/>
      <c r="O9" s="132">
        <v>8</v>
      </c>
      <c r="P9" s="132">
        <v>8</v>
      </c>
      <c r="Q9" s="132">
        <v>8</v>
      </c>
      <c r="R9" s="132">
        <v>8</v>
      </c>
      <c r="S9" s="132">
        <v>8</v>
      </c>
      <c r="T9" s="132">
        <v>8</v>
      </c>
      <c r="U9" s="132"/>
      <c r="V9" s="132">
        <v>8</v>
      </c>
      <c r="W9" s="132">
        <v>8</v>
      </c>
      <c r="X9" s="132">
        <v>8</v>
      </c>
      <c r="Y9" s="132">
        <v>8</v>
      </c>
      <c r="Z9" s="132">
        <v>8</v>
      </c>
      <c r="AA9" s="132">
        <v>8</v>
      </c>
      <c r="AB9" s="132"/>
      <c r="AC9" s="132">
        <v>8</v>
      </c>
      <c r="AD9" s="132">
        <v>8</v>
      </c>
      <c r="AE9" s="132">
        <v>8</v>
      </c>
      <c r="AF9" s="132">
        <v>8</v>
      </c>
      <c r="AG9" s="132">
        <v>8</v>
      </c>
      <c r="AH9" s="132">
        <v>8</v>
      </c>
      <c r="AI9" s="132"/>
      <c r="AJ9" s="132">
        <v>8</v>
      </c>
      <c r="AK9" s="251">
        <f>((SUM(F9:AJ9))/8)-(SUMIF($F$6:$AJ$6,"C.Nhật",F9:AJ9)/8)</f>
        <v>26</v>
      </c>
      <c r="AL9" s="251">
        <f>SUM(F10:AJ10)/8*1.5</f>
        <v>0</v>
      </c>
      <c r="AM9" s="253">
        <f>SUMIF($F$6:$AJ$6,"C.Nhật",$F9:$AJ10)/8*2</f>
        <v>0</v>
      </c>
      <c r="AN9" s="241">
        <f>SUM(AK9:AM10)</f>
        <v>26</v>
      </c>
      <c r="AO9" s="255">
        <v>0</v>
      </c>
      <c r="AP9" s="241"/>
      <c r="AQ9" s="241"/>
      <c r="AR9" s="241"/>
      <c r="AS9" s="243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1"/>
      <c r="AT11" s="167"/>
    </row>
    <row r="12" spans="1:91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>
        <v>8</v>
      </c>
      <c r="G12" s="132"/>
      <c r="H12" s="132">
        <v>8</v>
      </c>
      <c r="I12" s="132">
        <v>8</v>
      </c>
      <c r="J12" s="132">
        <v>8</v>
      </c>
      <c r="K12" s="132">
        <v>8</v>
      </c>
      <c r="L12" s="132">
        <v>8</v>
      </c>
      <c r="M12" s="132">
        <v>8</v>
      </c>
      <c r="N12" s="132"/>
      <c r="O12" s="132">
        <v>8</v>
      </c>
      <c r="P12" s="132">
        <v>8</v>
      </c>
      <c r="Q12" s="132">
        <v>8</v>
      </c>
      <c r="R12" s="132">
        <v>8</v>
      </c>
      <c r="S12" s="132">
        <v>8</v>
      </c>
      <c r="T12" s="132">
        <v>8</v>
      </c>
      <c r="U12" s="132"/>
      <c r="V12" s="132">
        <v>8</v>
      </c>
      <c r="W12" s="132">
        <v>8</v>
      </c>
      <c r="X12" s="132">
        <v>8</v>
      </c>
      <c r="Y12" s="132">
        <v>8</v>
      </c>
      <c r="Z12" s="132">
        <v>8</v>
      </c>
      <c r="AA12" s="132">
        <v>8</v>
      </c>
      <c r="AB12" s="132"/>
      <c r="AC12" s="132">
        <v>8</v>
      </c>
      <c r="AD12" s="132">
        <v>8</v>
      </c>
      <c r="AE12" s="132">
        <v>8</v>
      </c>
      <c r="AF12" s="132">
        <v>8</v>
      </c>
      <c r="AG12" s="132">
        <v>8</v>
      </c>
      <c r="AH12" s="132">
        <v>8</v>
      </c>
      <c r="AI12" s="132"/>
      <c r="AJ12" s="132">
        <v>8</v>
      </c>
      <c r="AK12" s="251">
        <f t="shared" ref="AK12" si="2">((SUM(F12:AJ12))/8)-(SUMIF($F$6:$AJ$6,"C.Nhật",F12:AJ12)/8)</f>
        <v>26</v>
      </c>
      <c r="AL12" s="251">
        <f t="shared" ref="AL12" si="3">SUM(F13:AJ13)/8*1.5</f>
        <v>0</v>
      </c>
      <c r="AM12" s="253">
        <f>SUMIF($F$6:$AJ$6,"C.Nhật",$F12:$AJ13)/8*2</f>
        <v>0</v>
      </c>
      <c r="AN12" s="241">
        <f>SUM(AK12:AM13)</f>
        <v>26</v>
      </c>
      <c r="AO12" s="255">
        <v>0</v>
      </c>
      <c r="AP12" s="241"/>
      <c r="AQ12" s="241"/>
      <c r="AR12" s="241"/>
      <c r="AS12" s="243"/>
      <c r="AT12" s="20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252"/>
      <c r="AL13" s="252"/>
      <c r="AM13" s="254"/>
      <c r="AN13" s="242"/>
      <c r="AO13" s="256"/>
      <c r="AP13" s="242"/>
      <c r="AQ13" s="242"/>
      <c r="AR13" s="242"/>
      <c r="AS13" s="244"/>
      <c r="AT13" s="20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>
        <v>8</v>
      </c>
      <c r="G14" s="132"/>
      <c r="H14" s="132">
        <v>8</v>
      </c>
      <c r="I14" s="132">
        <v>8</v>
      </c>
      <c r="J14" s="132">
        <v>8</v>
      </c>
      <c r="K14" s="132">
        <v>8</v>
      </c>
      <c r="L14" s="132">
        <v>8</v>
      </c>
      <c r="M14" s="132">
        <v>8</v>
      </c>
      <c r="N14" s="132"/>
      <c r="O14" s="132">
        <v>8</v>
      </c>
      <c r="P14" s="132">
        <v>8</v>
      </c>
      <c r="Q14" s="132">
        <v>8</v>
      </c>
      <c r="R14" s="132">
        <v>8</v>
      </c>
      <c r="S14" s="132">
        <v>8</v>
      </c>
      <c r="T14" s="132">
        <v>8</v>
      </c>
      <c r="U14" s="132"/>
      <c r="V14" s="132">
        <v>8</v>
      </c>
      <c r="W14" s="132">
        <v>8</v>
      </c>
      <c r="X14" s="132">
        <v>8</v>
      </c>
      <c r="Y14" s="132">
        <v>8</v>
      </c>
      <c r="Z14" s="132">
        <v>8</v>
      </c>
      <c r="AA14" s="132">
        <v>8</v>
      </c>
      <c r="AB14" s="132"/>
      <c r="AC14" s="132">
        <v>8</v>
      </c>
      <c r="AD14" s="132">
        <v>8</v>
      </c>
      <c r="AE14" s="132">
        <v>8</v>
      </c>
      <c r="AF14" s="132">
        <v>8</v>
      </c>
      <c r="AG14" s="132">
        <v>8</v>
      </c>
      <c r="AH14" s="132">
        <v>8</v>
      </c>
      <c r="AI14" s="132"/>
      <c r="AJ14" s="132">
        <v>8</v>
      </c>
      <c r="AK14" s="251">
        <f t="shared" ref="AK14" si="4">((SUM(F14:AJ14))/8)-(SUMIF($F$6:$AJ$6,"C.Nhật",F14:AJ14)/8)</f>
        <v>26</v>
      </c>
      <c r="AL14" s="251">
        <f t="shared" ref="AL14" si="5">SUM(F15:AJ15)/8*1.5</f>
        <v>0</v>
      </c>
      <c r="AM14" s="253">
        <f>SUMIF($F$6:$AJ$6,"C.Nhật",$F14:$AJ15)/8*2</f>
        <v>0</v>
      </c>
      <c r="AN14" s="241">
        <f t="shared" ref="AN14" si="6">SUM(AK14:AM15)</f>
        <v>26</v>
      </c>
      <c r="AO14" s="255">
        <v>0</v>
      </c>
      <c r="AP14" s="241"/>
      <c r="AQ14" s="241"/>
      <c r="AR14" s="241"/>
      <c r="AS14" s="243"/>
      <c r="AT14" s="21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1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>
        <v>8</v>
      </c>
      <c r="G16" s="132"/>
      <c r="H16" s="132">
        <v>8</v>
      </c>
      <c r="I16" s="132">
        <v>8</v>
      </c>
      <c r="J16" s="132">
        <v>8</v>
      </c>
      <c r="K16" s="132">
        <v>8</v>
      </c>
      <c r="L16" s="132">
        <v>8</v>
      </c>
      <c r="M16" s="132">
        <v>8</v>
      </c>
      <c r="N16" s="132"/>
      <c r="O16" s="132">
        <v>8</v>
      </c>
      <c r="P16" s="132">
        <v>8</v>
      </c>
      <c r="Q16" s="132">
        <v>8</v>
      </c>
      <c r="R16" s="132">
        <v>8</v>
      </c>
      <c r="S16" s="132">
        <v>8</v>
      </c>
      <c r="T16" s="132">
        <v>8</v>
      </c>
      <c r="U16" s="132"/>
      <c r="V16" s="132">
        <v>8</v>
      </c>
      <c r="W16" s="132">
        <v>8</v>
      </c>
      <c r="X16" s="132">
        <v>8</v>
      </c>
      <c r="Y16" s="132">
        <v>8</v>
      </c>
      <c r="Z16" s="132">
        <v>8</v>
      </c>
      <c r="AA16" s="132">
        <v>8</v>
      </c>
      <c r="AB16" s="132"/>
      <c r="AC16" s="132">
        <v>8</v>
      </c>
      <c r="AD16" s="132">
        <v>8</v>
      </c>
      <c r="AE16" s="132">
        <v>8</v>
      </c>
      <c r="AF16" s="132">
        <v>8</v>
      </c>
      <c r="AG16" s="132">
        <v>8</v>
      </c>
      <c r="AH16" s="132">
        <v>8</v>
      </c>
      <c r="AI16" s="132"/>
      <c r="AJ16" s="132">
        <v>8</v>
      </c>
      <c r="AK16" s="251">
        <f t="shared" ref="AK16" si="7">((SUM(F16:AJ16))/8)-(SUMIF($F$6:$AJ$6,"C.Nhật",F16:AJ16)/8)</f>
        <v>26</v>
      </c>
      <c r="AL16" s="251">
        <f t="shared" ref="AL16" si="8">SUM(F17:AJ17)/8*1.5</f>
        <v>0</v>
      </c>
      <c r="AM16" s="253">
        <f>SUMIF($F$6:$AJ$6,"C.Nhật",$F16:$AJ17)/8*2</f>
        <v>0</v>
      </c>
      <c r="AN16" s="241">
        <f t="shared" ref="AN16" si="9">SUM(AK16:AM17)</f>
        <v>26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3"/>
    </row>
    <row r="19" spans="1:91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3"/>
    </row>
    <row r="20" spans="1:91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3"/>
    </row>
    <row r="21" spans="1:91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111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113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40</v>
      </c>
      <c r="D26" s="200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113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200" customFormat="1" ht="15" customHeight="1">
      <c r="A29" s="2"/>
      <c r="B29" s="2"/>
      <c r="C29" s="2" t="s">
        <v>43</v>
      </c>
      <c r="E29" s="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  <c r="AI29" s="113"/>
      <c r="AJ29" s="113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44</v>
      </c>
      <c r="E30" s="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3"/>
      <c r="AI30" s="113"/>
      <c r="AJ30" s="113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45</v>
      </c>
      <c r="E31" s="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3"/>
      <c r="AI31" s="113"/>
      <c r="AJ31" s="113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46</v>
      </c>
      <c r="E32" s="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113"/>
      <c r="AJ32" s="113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47</v>
      </c>
      <c r="E33" s="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3"/>
      <c r="AI33" s="113"/>
      <c r="AJ33" s="113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48</v>
      </c>
      <c r="E34" s="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  <c r="AI34" s="113"/>
      <c r="AJ34" s="113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2:B13"/>
    <mergeCell ref="C12:C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6:AS17"/>
    <mergeCell ref="D12:D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AM16:AM17"/>
    <mergeCell ref="AN16:AN17"/>
    <mergeCell ref="AO16:AO17"/>
    <mergeCell ref="AP16:AP17"/>
    <mergeCell ref="C16:C17"/>
    <mergeCell ref="D16:D17"/>
    <mergeCell ref="AK16:AK17"/>
    <mergeCell ref="AL16:AL17"/>
    <mergeCell ref="AR16:AR17"/>
    <mergeCell ref="AQ14:AQ15"/>
    <mergeCell ref="AR14:AR15"/>
    <mergeCell ref="AS14:AS15"/>
    <mergeCell ref="A16:A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  <mergeCell ref="AQ16:AQ17"/>
    <mergeCell ref="B16:B17"/>
  </mergeCells>
  <conditionalFormatting sqref="F5:AJ6 F9:AJ10 F12:AJ17">
    <cfRule type="expression" dxfId="9" priority="38" stopIfTrue="1">
      <formula>IF(WEEKDAY(F$5)=1,TRUE,FALSE)</formula>
    </cfRule>
  </conditionalFormatting>
  <conditionalFormatting sqref="F9:AJ10">
    <cfRule type="expression" dxfId="8" priority="37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5" sqref="F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203"/>
      <c r="C1" s="203"/>
      <c r="D1" s="269" t="str">
        <f>"BẢNG THANH TOÁN LƯƠNG THÁNG"&amp;" "&amp;TEXT($E$4,"mm")&amp;" / "&amp;TEXT($E$4,"yyyy")</f>
        <v>BẢNG THANH TOÁN LƯƠNG THÁNG 10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203"/>
      <c r="C2" s="203"/>
      <c r="D2" s="203"/>
      <c r="E2" s="70"/>
      <c r="F2" s="203"/>
      <c r="G2" s="203"/>
      <c r="H2" s="203"/>
      <c r="I2" s="203"/>
      <c r="J2" s="71"/>
      <c r="K2" s="203"/>
      <c r="L2" s="203"/>
      <c r="M2" s="203"/>
      <c r="N2" s="203"/>
      <c r="O2" s="203"/>
      <c r="P2" s="203"/>
      <c r="Q2" s="203"/>
      <c r="R2" s="203"/>
      <c r="S2" s="203"/>
      <c r="T2" s="48"/>
      <c r="U2" s="69">
        <f>MAX(F10:F18)</f>
        <v>26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203"/>
      <c r="C3" s="203"/>
      <c r="D3" s="203"/>
      <c r="E3" s="70"/>
      <c r="F3" s="203"/>
      <c r="G3" s="203"/>
      <c r="H3" s="203"/>
      <c r="I3" s="203"/>
      <c r="J3" s="71"/>
      <c r="K3" s="203"/>
      <c r="L3" s="203"/>
      <c r="M3" s="203"/>
      <c r="N3" s="203"/>
      <c r="O3" s="203"/>
      <c r="P3" s="203"/>
      <c r="Q3" s="203"/>
      <c r="R3" s="203"/>
      <c r="S3" s="203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-10'!$E$4</f>
        <v>42644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204" t="s">
        <v>34</v>
      </c>
      <c r="G7" s="201" t="s">
        <v>18</v>
      </c>
      <c r="H7" s="204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-10'!$B$8:$AS$17,36,0)</f>
        <v>26</v>
      </c>
      <c r="G10" s="134">
        <f t="shared" ref="G10" si="3">ROUND(E10/$U$2*F10,0)</f>
        <v>5000000</v>
      </c>
      <c r="H10" s="81">
        <f>(VLOOKUP(B10,'CC -10'!$B$8:$AS$17,37,0)+VLOOKUP(B10,'CC -10'!$B$8:$AS$17,38,0))</f>
        <v>0</v>
      </c>
      <c r="I10" s="134">
        <f t="shared" ref="I10" si="4">ROUND(E10/$U$2*H10,0)</f>
        <v>0</v>
      </c>
      <c r="J10" s="82">
        <f t="shared" ref="J10" si="5">F10+H10</f>
        <v>26</v>
      </c>
      <c r="K10" s="33">
        <f>G10+I10</f>
        <v>5000000</v>
      </c>
      <c r="L10" s="79">
        <f t="shared" ref="L10" si="6">+F10*15000</f>
        <v>390000</v>
      </c>
      <c r="M10" s="34">
        <f t="shared" ref="M10" si="7">K10+L10</f>
        <v>5390000</v>
      </c>
      <c r="N10" s="34">
        <f>IF(VLOOKUP($B10,DS,27,0)="x",$E10*N$4,0)</f>
        <v>0</v>
      </c>
      <c r="O10" s="34">
        <f>IF(VLOOKUP($B10,DS,27,0)="x",$E10*O$4,0)</f>
        <v>0</v>
      </c>
      <c r="P10" s="34">
        <f>IF(VLOOKUP($B10,DS,27,0)="x",$E10*P$4,0)</f>
        <v>0</v>
      </c>
      <c r="Q10" s="33">
        <f t="shared" ref="Q10" si="8">M10-SUM(N10:P10)</f>
        <v>5390000</v>
      </c>
      <c r="R10" s="33">
        <f>VLOOKUP(B10,DS,23,0)</f>
        <v>0</v>
      </c>
      <c r="S10" s="39">
        <f t="shared" ref="S10" si="9">Q10-R10</f>
        <v>5390000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SUM(E9:E10)</f>
        <v>5000000</v>
      </c>
      <c r="F12" s="129"/>
      <c r="G12" s="129">
        <f>SUM(G9:G10)</f>
        <v>5000000</v>
      </c>
      <c r="H12" s="129"/>
      <c r="I12" s="129">
        <f>SUM(I9:I10)</f>
        <v>0</v>
      </c>
      <c r="J12" s="129"/>
      <c r="K12" s="129">
        <f t="shared" ref="K12:S12" si="10">SUM(K9:K10)</f>
        <v>5000000</v>
      </c>
      <c r="L12" s="129">
        <f t="shared" si="10"/>
        <v>390000</v>
      </c>
      <c r="M12" s="129">
        <f t="shared" si="10"/>
        <v>5390000</v>
      </c>
      <c r="N12" s="129">
        <f t="shared" si="10"/>
        <v>0</v>
      </c>
      <c r="O12" s="129">
        <f t="shared" si="10"/>
        <v>0</v>
      </c>
      <c r="P12" s="129">
        <f t="shared" si="10"/>
        <v>0</v>
      </c>
      <c r="Q12" s="129">
        <f t="shared" si="10"/>
        <v>5390000</v>
      </c>
      <c r="R12" s="129">
        <f t="shared" si="10"/>
        <v>0</v>
      </c>
      <c r="S12" s="129">
        <f t="shared" si="10"/>
        <v>5390000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:C16" si="11">VLOOKUP(B14,DS,2,0)</f>
        <v>Bùi Trường Giang</v>
      </c>
      <c r="D14" s="105" t="str">
        <f t="shared" ref="D14:D16" si="12">VLOOKUP(B14,DS,3,0)</f>
        <v>Thợ in</v>
      </c>
      <c r="E14" s="79">
        <f t="shared" ref="E14:E16" si="13">VLOOKUP(B14,DS,4,0)</f>
        <v>5000000</v>
      </c>
      <c r="F14" s="81">
        <f>VLOOKUP(B14,'CC -10'!$B$8:$AS$17,36,0)</f>
        <v>26</v>
      </c>
      <c r="G14" s="134">
        <f t="shared" ref="G14:G16" si="14">ROUND(E14/$U$2*F14,0)</f>
        <v>5000000</v>
      </c>
      <c r="H14" s="81">
        <f>(VLOOKUP(B14,'CC -10'!$B$8:$AS$17,37,0)+VLOOKUP(B14,'CC -10'!$B$8:$AS$17,38,0))</f>
        <v>0</v>
      </c>
      <c r="I14" s="134">
        <f t="shared" ref="I14:I16" si="15">ROUND(E14/$U$2*H14,0)</f>
        <v>0</v>
      </c>
      <c r="J14" s="135">
        <f t="shared" ref="J14:K16" si="16">F14+H14</f>
        <v>26</v>
      </c>
      <c r="K14" s="33">
        <f t="shared" si="16"/>
        <v>5000000</v>
      </c>
      <c r="L14" s="79">
        <f t="shared" ref="L14:L16" si="17">+F14*15000</f>
        <v>390000</v>
      </c>
      <c r="M14" s="34">
        <f t="shared" ref="M14:M16" si="18">K14+L14</f>
        <v>5390000</v>
      </c>
      <c r="N14" s="34">
        <f t="shared" ref="N14:P16" si="19">IF(VLOOKUP($B14,DS,27,0)="x",$E14*N$4,0)</f>
        <v>0</v>
      </c>
      <c r="O14" s="34">
        <f t="shared" si="19"/>
        <v>0</v>
      </c>
      <c r="P14" s="34">
        <f t="shared" si="19"/>
        <v>0</v>
      </c>
      <c r="Q14" s="33">
        <f>M14-SUM(N14:P14)</f>
        <v>5390000</v>
      </c>
      <c r="R14" s="33">
        <f t="shared" ref="R14:R16" si="20">VLOOKUP(B14,DS,23,0)</f>
        <v>0</v>
      </c>
      <c r="S14" s="39">
        <f>Q14-R14</f>
        <v>5390000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" si="21">VLOOKUP(B15,DS,2,0)</f>
        <v>Lý Thanh Hải</v>
      </c>
      <c r="D15" s="105" t="str">
        <f t="shared" ref="D15" si="22">VLOOKUP(B15,DS,3,0)</f>
        <v>Công Đoạn 1</v>
      </c>
      <c r="E15" s="79">
        <f t="shared" ref="E15" si="23">VLOOKUP(B15,DS,4,0)</f>
        <v>5000000</v>
      </c>
      <c r="F15" s="81">
        <f>VLOOKUP(B15,'CC -10'!$B$8:$AS$17,36,0)</f>
        <v>26</v>
      </c>
      <c r="G15" s="134">
        <f t="shared" ref="G15" si="24">ROUND(E15/$U$2*F15,0)</f>
        <v>5000000</v>
      </c>
      <c r="H15" s="81">
        <f>(VLOOKUP(B15,'CC -10'!$B$8:$AS$17,37,0)+VLOOKUP(B15,'CC -10'!$B$8:$AS$17,38,0))</f>
        <v>0</v>
      </c>
      <c r="I15" s="134">
        <f t="shared" ref="I15" si="25">ROUND(E15/$U$2*H15,0)</f>
        <v>0</v>
      </c>
      <c r="J15" s="135">
        <f t="shared" ref="J15" si="26">F15+H15</f>
        <v>26</v>
      </c>
      <c r="K15" s="33">
        <f t="shared" ref="K15" si="27">G15+I15</f>
        <v>5000000</v>
      </c>
      <c r="L15" s="79">
        <f t="shared" ref="L15" si="28">+F15*15000</f>
        <v>390000</v>
      </c>
      <c r="M15" s="34">
        <f t="shared" ref="M15" si="29">K15+L15</f>
        <v>5390000</v>
      </c>
      <c r="N15" s="34">
        <f t="shared" si="19"/>
        <v>0</v>
      </c>
      <c r="O15" s="34">
        <f t="shared" si="19"/>
        <v>0</v>
      </c>
      <c r="P15" s="34">
        <f t="shared" si="19"/>
        <v>0</v>
      </c>
      <c r="Q15" s="33">
        <f t="shared" ref="Q15" si="30">M15-SUM(N15:P15)</f>
        <v>5390000</v>
      </c>
      <c r="R15" s="33">
        <f t="shared" ref="R15" si="31">VLOOKUP(B15,DS,23,0)</f>
        <v>0</v>
      </c>
      <c r="S15" s="39">
        <f t="shared" ref="S15" si="32">Q15-R15</f>
        <v>5390000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11"/>
        <v>Lê Văn Hữu</v>
      </c>
      <c r="D16" s="105" t="str">
        <f t="shared" si="12"/>
        <v>Công Đoạn 2</v>
      </c>
      <c r="E16" s="79">
        <f t="shared" si="13"/>
        <v>5000000</v>
      </c>
      <c r="F16" s="81">
        <f>VLOOKUP(B16,'CC -10'!$B$8:$AS$17,36,0)</f>
        <v>26</v>
      </c>
      <c r="G16" s="134">
        <f t="shared" si="14"/>
        <v>5000000</v>
      </c>
      <c r="H16" s="81">
        <f>(VLOOKUP(B16,'CC -10'!$B$8:$AS$17,37,0)+VLOOKUP(B16,'CC -10'!$B$8:$AS$17,38,0))</f>
        <v>0</v>
      </c>
      <c r="I16" s="134">
        <f t="shared" si="15"/>
        <v>0</v>
      </c>
      <c r="J16" s="135">
        <f t="shared" si="16"/>
        <v>26</v>
      </c>
      <c r="K16" s="33">
        <f t="shared" si="16"/>
        <v>5000000</v>
      </c>
      <c r="L16" s="79">
        <f t="shared" si="17"/>
        <v>390000</v>
      </c>
      <c r="M16" s="34">
        <f t="shared" si="18"/>
        <v>5390000</v>
      </c>
      <c r="N16" s="34">
        <f t="shared" si="19"/>
        <v>0</v>
      </c>
      <c r="O16" s="34">
        <f t="shared" si="19"/>
        <v>0</v>
      </c>
      <c r="P16" s="34">
        <f t="shared" si="19"/>
        <v>0</v>
      </c>
      <c r="Q16" s="33">
        <f t="shared" ref="Q16" si="33">M16-SUM(N16:P16)</f>
        <v>5390000</v>
      </c>
      <c r="R16" s="33">
        <f t="shared" si="20"/>
        <v>0</v>
      </c>
      <c r="S16" s="39">
        <f t="shared" ref="S16" si="34">Q16-R16</f>
        <v>5390000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5">SUM(K13:K17)</f>
        <v>15000000</v>
      </c>
      <c r="L18" s="129">
        <f t="shared" si="35"/>
        <v>1170000</v>
      </c>
      <c r="M18" s="129">
        <f t="shared" si="35"/>
        <v>16170000</v>
      </c>
      <c r="N18" s="129">
        <f t="shared" si="35"/>
        <v>0</v>
      </c>
      <c r="O18" s="129">
        <f t="shared" si="35"/>
        <v>0</v>
      </c>
      <c r="P18" s="129">
        <f t="shared" si="35"/>
        <v>0</v>
      </c>
      <c r="Q18" s="129">
        <f t="shared" si="35"/>
        <v>16170000</v>
      </c>
      <c r="R18" s="129">
        <f t="shared" si="35"/>
        <v>0</v>
      </c>
      <c r="S18" s="129">
        <f t="shared" si="35"/>
        <v>16170000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10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Q14:S16 A14:B16 AF14:IK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2" customWidth="1"/>
    <col min="34" max="35" width="3.42578125" style="113" customWidth="1"/>
    <col min="36" max="36" width="3.42578125" style="113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11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42675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42675</v>
      </c>
      <c r="G5" s="107">
        <f t="shared" ref="G5:AI5" si="0">F5+1</f>
        <v>42676</v>
      </c>
      <c r="H5" s="107">
        <f t="shared" si="0"/>
        <v>42677</v>
      </c>
      <c r="I5" s="107">
        <f t="shared" si="0"/>
        <v>42678</v>
      </c>
      <c r="J5" s="107">
        <f t="shared" si="0"/>
        <v>42679</v>
      </c>
      <c r="K5" s="107">
        <f t="shared" si="0"/>
        <v>42680</v>
      </c>
      <c r="L5" s="107">
        <f t="shared" si="0"/>
        <v>42681</v>
      </c>
      <c r="M5" s="107">
        <f t="shared" si="0"/>
        <v>42682</v>
      </c>
      <c r="N5" s="107">
        <f t="shared" si="0"/>
        <v>42683</v>
      </c>
      <c r="O5" s="107">
        <f t="shared" si="0"/>
        <v>42684</v>
      </c>
      <c r="P5" s="107">
        <f t="shared" si="0"/>
        <v>42685</v>
      </c>
      <c r="Q5" s="107">
        <f t="shared" si="0"/>
        <v>42686</v>
      </c>
      <c r="R5" s="107">
        <f t="shared" si="0"/>
        <v>42687</v>
      </c>
      <c r="S5" s="107">
        <f t="shared" si="0"/>
        <v>42688</v>
      </c>
      <c r="T5" s="107">
        <f t="shared" si="0"/>
        <v>42689</v>
      </c>
      <c r="U5" s="107">
        <f t="shared" si="0"/>
        <v>42690</v>
      </c>
      <c r="V5" s="107">
        <f t="shared" si="0"/>
        <v>42691</v>
      </c>
      <c r="W5" s="107">
        <f t="shared" si="0"/>
        <v>42692</v>
      </c>
      <c r="X5" s="107">
        <f t="shared" si="0"/>
        <v>42693</v>
      </c>
      <c r="Y5" s="107">
        <f t="shared" si="0"/>
        <v>42694</v>
      </c>
      <c r="Z5" s="107">
        <f t="shared" si="0"/>
        <v>42695</v>
      </c>
      <c r="AA5" s="107">
        <f t="shared" si="0"/>
        <v>42696</v>
      </c>
      <c r="AB5" s="107">
        <f t="shared" si="0"/>
        <v>42697</v>
      </c>
      <c r="AC5" s="107">
        <f t="shared" si="0"/>
        <v>42698</v>
      </c>
      <c r="AD5" s="107">
        <f t="shared" si="0"/>
        <v>42699</v>
      </c>
      <c r="AE5" s="107">
        <f t="shared" si="0"/>
        <v>42700</v>
      </c>
      <c r="AF5" s="107">
        <f t="shared" si="0"/>
        <v>42701</v>
      </c>
      <c r="AG5" s="107">
        <f t="shared" si="0"/>
        <v>42702</v>
      </c>
      <c r="AH5" s="107">
        <f>AG5+1</f>
        <v>42703</v>
      </c>
      <c r="AI5" s="107">
        <f t="shared" si="0"/>
        <v>42704</v>
      </c>
      <c r="AJ5" s="211"/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T.Ba</v>
      </c>
      <c r="G6" s="162" t="str">
        <f t="shared" ref="G6:AI6" si="1">CHOOSE(WEEKDAY(G5),"C.Nhật","T.Hai","T.Ba","T.Tư","T.Năm","T.Sáu","T.Bảy")</f>
        <v>T.Tư</v>
      </c>
      <c r="H6" s="162" t="str">
        <f t="shared" si="1"/>
        <v>T.Năm</v>
      </c>
      <c r="I6" s="162" t="str">
        <f t="shared" si="1"/>
        <v>T.Sáu</v>
      </c>
      <c r="J6" s="162" t="str">
        <f t="shared" si="1"/>
        <v>T.Bảy</v>
      </c>
      <c r="K6" s="162" t="str">
        <f t="shared" si="1"/>
        <v>C.Nhật</v>
      </c>
      <c r="L6" s="162" t="str">
        <f t="shared" si="1"/>
        <v>T.Hai</v>
      </c>
      <c r="M6" s="162" t="str">
        <f t="shared" si="1"/>
        <v>T.Ba</v>
      </c>
      <c r="N6" s="162" t="str">
        <f t="shared" si="1"/>
        <v>T.Tư</v>
      </c>
      <c r="O6" s="162" t="str">
        <f t="shared" si="1"/>
        <v>T.Năm</v>
      </c>
      <c r="P6" s="162" t="str">
        <f t="shared" si="1"/>
        <v>T.Sáu</v>
      </c>
      <c r="Q6" s="162" t="str">
        <f t="shared" si="1"/>
        <v>T.Bảy</v>
      </c>
      <c r="R6" s="162" t="str">
        <f t="shared" si="1"/>
        <v>C.Nhật</v>
      </c>
      <c r="S6" s="162" t="str">
        <f t="shared" si="1"/>
        <v>T.Hai</v>
      </c>
      <c r="T6" s="162" t="str">
        <f t="shared" si="1"/>
        <v>T.Ba</v>
      </c>
      <c r="U6" s="162" t="str">
        <f t="shared" si="1"/>
        <v>T.Tư</v>
      </c>
      <c r="V6" s="162" t="str">
        <f t="shared" si="1"/>
        <v>T.Năm</v>
      </c>
      <c r="W6" s="162" t="str">
        <f t="shared" si="1"/>
        <v>T.Sáu</v>
      </c>
      <c r="X6" s="162" t="str">
        <f t="shared" si="1"/>
        <v>T.Bảy</v>
      </c>
      <c r="Y6" s="162" t="str">
        <f t="shared" si="1"/>
        <v>C.Nhật</v>
      </c>
      <c r="Z6" s="162" t="str">
        <f t="shared" si="1"/>
        <v>T.Hai</v>
      </c>
      <c r="AA6" s="162" t="str">
        <f t="shared" si="1"/>
        <v>T.Ba</v>
      </c>
      <c r="AB6" s="162" t="str">
        <f t="shared" si="1"/>
        <v>T.Tư</v>
      </c>
      <c r="AC6" s="162" t="str">
        <f t="shared" si="1"/>
        <v>T.Năm</v>
      </c>
      <c r="AD6" s="162" t="str">
        <f t="shared" si="1"/>
        <v>T.Sáu</v>
      </c>
      <c r="AE6" s="162" t="str">
        <f t="shared" si="1"/>
        <v>T.Bảy</v>
      </c>
      <c r="AF6" s="162" t="str">
        <f t="shared" si="1"/>
        <v>C.Nhật</v>
      </c>
      <c r="AG6" s="162" t="str">
        <f t="shared" si="1"/>
        <v>T.Hai</v>
      </c>
      <c r="AH6" s="162" t="str">
        <f t="shared" si="1"/>
        <v>T.Ba</v>
      </c>
      <c r="AI6" s="162" t="str">
        <f t="shared" si="1"/>
        <v>T.Tư</v>
      </c>
      <c r="AJ6" s="162"/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/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82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>
        <v>8</v>
      </c>
      <c r="H9" s="132">
        <v>8</v>
      </c>
      <c r="I9" s="132">
        <v>8</v>
      </c>
      <c r="J9" s="132">
        <v>8</v>
      </c>
      <c r="K9" s="132"/>
      <c r="L9" s="132">
        <v>8</v>
      </c>
      <c r="M9" s="132">
        <v>8</v>
      </c>
      <c r="N9" s="132">
        <v>8</v>
      </c>
      <c r="O9" s="132">
        <v>8</v>
      </c>
      <c r="P9" s="132">
        <v>8</v>
      </c>
      <c r="Q9" s="132">
        <v>8</v>
      </c>
      <c r="R9" s="132"/>
      <c r="S9" s="132">
        <v>8</v>
      </c>
      <c r="T9" s="132">
        <v>8</v>
      </c>
      <c r="U9" s="132">
        <v>8</v>
      </c>
      <c r="V9" s="132">
        <v>8</v>
      </c>
      <c r="W9" s="132">
        <v>8</v>
      </c>
      <c r="X9" s="132">
        <v>8</v>
      </c>
      <c r="Y9" s="132"/>
      <c r="Z9" s="132">
        <v>8</v>
      </c>
      <c r="AA9" s="132">
        <v>8</v>
      </c>
      <c r="AB9" s="132">
        <v>8</v>
      </c>
      <c r="AC9" s="132">
        <v>8</v>
      </c>
      <c r="AD9" s="132">
        <v>8</v>
      </c>
      <c r="AE9" s="132">
        <v>8</v>
      </c>
      <c r="AF9" s="132"/>
      <c r="AG9" s="132">
        <v>8</v>
      </c>
      <c r="AH9" s="132">
        <v>8</v>
      </c>
      <c r="AI9" s="132">
        <v>8</v>
      </c>
      <c r="AJ9" s="212"/>
      <c r="AK9" s="251">
        <f>((SUM(F9:AI9))/8)-(SUMIF($F$6:$AI$6,"C.Nhật",F9:AI9)/8)</f>
        <v>26</v>
      </c>
      <c r="AL9" s="251">
        <f>SUM(F10:AI10)/8*1.5</f>
        <v>0</v>
      </c>
      <c r="AM9" s="253">
        <f>SUMIF($F$6:$AI$6,"C.Nhật",$F9:$AI10)/8*2</f>
        <v>0</v>
      </c>
      <c r="AN9" s="241">
        <f>SUM(AK9:AM10)</f>
        <v>26</v>
      </c>
      <c r="AO9" s="255">
        <v>0</v>
      </c>
      <c r="AP9" s="241"/>
      <c r="AQ9" s="241"/>
      <c r="AR9" s="241"/>
      <c r="AS9" s="243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213"/>
      <c r="AK10" s="252"/>
      <c r="AL10" s="252"/>
      <c r="AM10" s="254"/>
      <c r="AN10" s="242"/>
      <c r="AO10" s="256"/>
      <c r="AP10" s="242"/>
      <c r="AQ10" s="242"/>
      <c r="AR10" s="242"/>
      <c r="AS10" s="244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1"/>
      <c r="AT11" s="167"/>
    </row>
    <row r="12" spans="1:91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>
        <v>8</v>
      </c>
      <c r="G12" s="132">
        <v>8</v>
      </c>
      <c r="H12" s="132">
        <v>8</v>
      </c>
      <c r="I12" s="132">
        <v>8</v>
      </c>
      <c r="J12" s="132">
        <v>8</v>
      </c>
      <c r="K12" s="132"/>
      <c r="L12" s="132">
        <v>8</v>
      </c>
      <c r="M12" s="132">
        <v>8</v>
      </c>
      <c r="N12" s="132">
        <v>8</v>
      </c>
      <c r="O12" s="132">
        <v>8</v>
      </c>
      <c r="P12" s="132">
        <v>8</v>
      </c>
      <c r="Q12" s="132">
        <v>8</v>
      </c>
      <c r="R12" s="132"/>
      <c r="S12" s="132">
        <v>8</v>
      </c>
      <c r="T12" s="132">
        <v>8</v>
      </c>
      <c r="U12" s="132">
        <v>8</v>
      </c>
      <c r="V12" s="132">
        <v>8</v>
      </c>
      <c r="W12" s="132">
        <v>8</v>
      </c>
      <c r="X12" s="132">
        <v>8</v>
      </c>
      <c r="Y12" s="132"/>
      <c r="Z12" s="132">
        <v>8</v>
      </c>
      <c r="AA12" s="132">
        <v>8</v>
      </c>
      <c r="AB12" s="132">
        <v>8</v>
      </c>
      <c r="AC12" s="132">
        <v>8</v>
      </c>
      <c r="AD12" s="132">
        <v>8</v>
      </c>
      <c r="AE12" s="132">
        <v>8</v>
      </c>
      <c r="AF12" s="132"/>
      <c r="AG12" s="132">
        <v>8</v>
      </c>
      <c r="AH12" s="132">
        <v>8</v>
      </c>
      <c r="AI12" s="132">
        <v>8</v>
      </c>
      <c r="AJ12" s="212"/>
      <c r="AK12" s="251">
        <f>((SUM(F12:AI12))/8)-(SUMIF($F$6:$AI$6,"C.Nhật",F12:AI12)/8)</f>
        <v>26</v>
      </c>
      <c r="AL12" s="251">
        <f>SUM(F13:AI13)/8*1.5</f>
        <v>0</v>
      </c>
      <c r="AM12" s="253">
        <f>SUMIF($F$6:$AI$6,"C.Nhật",$F12:$AI13)/8*2</f>
        <v>0</v>
      </c>
      <c r="AN12" s="241">
        <f>SUM(AK12:AM13)</f>
        <v>26</v>
      </c>
      <c r="AO12" s="255">
        <v>0</v>
      </c>
      <c r="AP12" s="241"/>
      <c r="AQ12" s="241"/>
      <c r="AR12" s="241"/>
      <c r="AS12" s="243"/>
      <c r="AT12" s="20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213"/>
      <c r="AK13" s="252"/>
      <c r="AL13" s="252"/>
      <c r="AM13" s="254"/>
      <c r="AN13" s="242"/>
      <c r="AO13" s="256"/>
      <c r="AP13" s="242"/>
      <c r="AQ13" s="242"/>
      <c r="AR13" s="242"/>
      <c r="AS13" s="244"/>
      <c r="AT13" s="20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>
        <v>8</v>
      </c>
      <c r="G14" s="132">
        <v>8</v>
      </c>
      <c r="H14" s="132">
        <v>8</v>
      </c>
      <c r="I14" s="132">
        <v>8</v>
      </c>
      <c r="J14" s="132">
        <v>8</v>
      </c>
      <c r="K14" s="132"/>
      <c r="L14" s="132">
        <v>8</v>
      </c>
      <c r="M14" s="132">
        <v>8</v>
      </c>
      <c r="N14" s="132">
        <v>8</v>
      </c>
      <c r="O14" s="132">
        <v>8</v>
      </c>
      <c r="P14" s="132">
        <v>8</v>
      </c>
      <c r="Q14" s="132">
        <v>8</v>
      </c>
      <c r="R14" s="132"/>
      <c r="S14" s="132">
        <v>8</v>
      </c>
      <c r="T14" s="132">
        <v>8</v>
      </c>
      <c r="U14" s="132">
        <v>8</v>
      </c>
      <c r="V14" s="132">
        <v>8</v>
      </c>
      <c r="W14" s="132">
        <v>8</v>
      </c>
      <c r="X14" s="132">
        <v>8</v>
      </c>
      <c r="Y14" s="132"/>
      <c r="Z14" s="132">
        <v>8</v>
      </c>
      <c r="AA14" s="132">
        <v>8</v>
      </c>
      <c r="AB14" s="132">
        <v>8</v>
      </c>
      <c r="AC14" s="132">
        <v>8</v>
      </c>
      <c r="AD14" s="132">
        <v>8</v>
      </c>
      <c r="AE14" s="132">
        <v>8</v>
      </c>
      <c r="AF14" s="132"/>
      <c r="AG14" s="132">
        <v>8</v>
      </c>
      <c r="AH14" s="132">
        <v>8</v>
      </c>
      <c r="AI14" s="132">
        <v>8</v>
      </c>
      <c r="AJ14" s="212"/>
      <c r="AK14" s="251">
        <f>((SUM(F14:AI14))/8)-(SUMIF($F$6:$AI$6,"C.Nhật",F14:AI14)/8)</f>
        <v>26</v>
      </c>
      <c r="AL14" s="251">
        <f>SUM(F15:AI15)/8*1.5</f>
        <v>0</v>
      </c>
      <c r="AM14" s="253">
        <f>SUMIF($F$6:$AI$6,"C.Nhật",$F14:$AI15)/8*2</f>
        <v>0</v>
      </c>
      <c r="AN14" s="241">
        <f t="shared" ref="AN14" si="2">SUM(AK14:AM15)</f>
        <v>26</v>
      </c>
      <c r="AO14" s="255">
        <v>0</v>
      </c>
      <c r="AP14" s="241"/>
      <c r="AQ14" s="241"/>
      <c r="AR14" s="241"/>
      <c r="AS14" s="243"/>
      <c r="AT14" s="21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213"/>
      <c r="AK15" s="252"/>
      <c r="AL15" s="252"/>
      <c r="AM15" s="254"/>
      <c r="AN15" s="242"/>
      <c r="AO15" s="256"/>
      <c r="AP15" s="242"/>
      <c r="AQ15" s="242"/>
      <c r="AR15" s="242"/>
      <c r="AS15" s="244"/>
      <c r="AT15" s="21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>
        <v>8</v>
      </c>
      <c r="G16" s="132">
        <v>8</v>
      </c>
      <c r="H16" s="132">
        <v>8</v>
      </c>
      <c r="I16" s="132">
        <v>8</v>
      </c>
      <c r="J16" s="132">
        <v>8</v>
      </c>
      <c r="K16" s="132"/>
      <c r="L16" s="132">
        <v>8</v>
      </c>
      <c r="M16" s="132">
        <v>8</v>
      </c>
      <c r="N16" s="132">
        <v>8</v>
      </c>
      <c r="O16" s="132">
        <v>8</v>
      </c>
      <c r="P16" s="132">
        <v>8</v>
      </c>
      <c r="Q16" s="132">
        <v>8</v>
      </c>
      <c r="R16" s="132"/>
      <c r="S16" s="132">
        <v>8</v>
      </c>
      <c r="T16" s="132">
        <v>8</v>
      </c>
      <c r="U16" s="132">
        <v>8</v>
      </c>
      <c r="V16" s="132">
        <v>8</v>
      </c>
      <c r="W16" s="132">
        <v>8</v>
      </c>
      <c r="X16" s="132">
        <v>8</v>
      </c>
      <c r="Y16" s="132"/>
      <c r="Z16" s="132">
        <v>8</v>
      </c>
      <c r="AA16" s="132">
        <v>8</v>
      </c>
      <c r="AB16" s="132">
        <v>8</v>
      </c>
      <c r="AC16" s="132">
        <v>8</v>
      </c>
      <c r="AD16" s="132">
        <v>8</v>
      </c>
      <c r="AE16" s="132">
        <v>8</v>
      </c>
      <c r="AF16" s="132"/>
      <c r="AG16" s="132">
        <v>8</v>
      </c>
      <c r="AH16" s="132">
        <v>8</v>
      </c>
      <c r="AI16" s="132">
        <v>8</v>
      </c>
      <c r="AJ16" s="212"/>
      <c r="AK16" s="251">
        <f>((SUM(F16:AI16))/8)-(SUMIF($F$6:$AI$6,"C.Nhật",F16:AI16)/8)</f>
        <v>26</v>
      </c>
      <c r="AL16" s="251">
        <f>SUM(F17:AI17)/8*1.5</f>
        <v>0</v>
      </c>
      <c r="AM16" s="253">
        <f>SUMIF($F$6:$AI$6,"C.Nhật",$F16:$AI17)/8*2</f>
        <v>0</v>
      </c>
      <c r="AN16" s="241">
        <f t="shared" ref="AN16" si="3">SUM(AK16:AM17)</f>
        <v>26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21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3"/>
    </row>
    <row r="19" spans="1:91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3"/>
    </row>
    <row r="20" spans="1:91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3"/>
    </row>
    <row r="21" spans="1:91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111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113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40</v>
      </c>
      <c r="D26" s="200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113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200" customFormat="1" ht="15" customHeight="1">
      <c r="A29" s="2"/>
      <c r="B29" s="2"/>
      <c r="C29" s="2" t="s">
        <v>43</v>
      </c>
      <c r="E29" s="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  <c r="AI29" s="113"/>
      <c r="AJ29" s="113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44</v>
      </c>
      <c r="E30" s="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3"/>
      <c r="AI30" s="113"/>
      <c r="AJ30" s="113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45</v>
      </c>
      <c r="E31" s="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3"/>
      <c r="AI31" s="113"/>
      <c r="AJ31" s="113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46</v>
      </c>
      <c r="E32" s="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113"/>
      <c r="AJ32" s="113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47</v>
      </c>
      <c r="E33" s="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3"/>
      <c r="AI33" s="113"/>
      <c r="AJ33" s="113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48</v>
      </c>
      <c r="E34" s="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  <c r="AI34" s="113"/>
      <c r="AJ34" s="113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16:A17"/>
    <mergeCell ref="B16:B17"/>
    <mergeCell ref="C16:C17"/>
    <mergeCell ref="D16:D17"/>
    <mergeCell ref="AK16:AK17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</mergeCells>
  <conditionalFormatting sqref="F5:AJ6 F9:AJ10 F12:AI17">
    <cfRule type="expression" dxfId="7" priority="66" stopIfTrue="1">
      <formula>IF(WEEKDAY(F$5)=1,TRUE,FALSE)</formula>
    </cfRule>
  </conditionalFormatting>
  <conditionalFormatting sqref="AJ12:AJ13">
    <cfRule type="expression" dxfId="6" priority="17" stopIfTrue="1">
      <formula>IF(WEEKDAY(AJ$5)=1,TRUE,FALSE)</formula>
    </cfRule>
  </conditionalFormatting>
  <conditionalFormatting sqref="AJ16:AJ17">
    <cfRule type="expression" dxfId="5" priority="9" stopIfTrue="1">
      <formula>IF(WEEKDAY(AJ$5)=1,TRUE,FALSE)</formula>
    </cfRule>
  </conditionalFormatting>
  <conditionalFormatting sqref="AJ16:AJ17">
    <cfRule type="expression" dxfId="4" priority="8" stopIfTrue="1">
      <formula>IF(WEEKDAY(AJ$5)=1,TRUE,FALSE)</formula>
    </cfRule>
  </conditionalFormatting>
  <conditionalFormatting sqref="AJ14:AJ15">
    <cfRule type="expression" dxfId="3" priority="5" stopIfTrue="1">
      <formula>IF(WEEKDAY(AJ$5)=1,TRUE,FALSE)</formula>
    </cfRule>
  </conditionalFormatting>
  <conditionalFormatting sqref="AJ14:AJ15">
    <cfRule type="expression" dxfId="2" priority="4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I20" sqref="I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203"/>
      <c r="C1" s="203"/>
      <c r="D1" s="269" t="str">
        <f>"BẢNG THANH TOÁN LƯƠNG THÁNG"&amp;" "&amp;TEXT($E$4,"mm")&amp;" / "&amp;TEXT($E$4,"yyyy")</f>
        <v>BẢNG THANH TOÁN LƯƠNG THÁNG 11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203"/>
      <c r="C2" s="203"/>
      <c r="D2" s="203"/>
      <c r="E2" s="70"/>
      <c r="F2" s="203"/>
      <c r="G2" s="203"/>
      <c r="H2" s="203"/>
      <c r="I2" s="203"/>
      <c r="J2" s="71"/>
      <c r="K2" s="203"/>
      <c r="L2" s="203"/>
      <c r="M2" s="203"/>
      <c r="N2" s="203"/>
      <c r="O2" s="203"/>
      <c r="P2" s="203"/>
      <c r="Q2" s="203"/>
      <c r="R2" s="203"/>
      <c r="S2" s="203"/>
      <c r="T2" s="48"/>
      <c r="U2" s="69">
        <f>MAX(F10:F18)</f>
        <v>26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203"/>
      <c r="C3" s="203"/>
      <c r="D3" s="203"/>
      <c r="E3" s="70"/>
      <c r="F3" s="203"/>
      <c r="G3" s="203"/>
      <c r="H3" s="203"/>
      <c r="I3" s="203"/>
      <c r="J3" s="71"/>
      <c r="K3" s="203"/>
      <c r="L3" s="203"/>
      <c r="M3" s="203"/>
      <c r="N3" s="203"/>
      <c r="O3" s="203"/>
      <c r="P3" s="203"/>
      <c r="Q3" s="203"/>
      <c r="R3" s="203"/>
      <c r="S3" s="203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-11'!$E$4</f>
        <v>42675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204" t="s">
        <v>34</v>
      </c>
      <c r="G7" s="201" t="s">
        <v>18</v>
      </c>
      <c r="H7" s="204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-11'!$B$8:$AS$17,36,0)</f>
        <v>26</v>
      </c>
      <c r="G10" s="134">
        <f>ROUND(E10/$U$2*F10,0)</f>
        <v>5000000</v>
      </c>
      <c r="H10" s="81">
        <f>(VLOOKUP(B10,'CC -11'!$B$8:$AS$17,37,0)+VLOOKUP(B10,'CC -11'!$B$8:$AS$17,38,0))</f>
        <v>0</v>
      </c>
      <c r="I10" s="134">
        <f t="shared" ref="I10" si="3">ROUND(E10/$U$2*H10,0)</f>
        <v>0</v>
      </c>
      <c r="J10" s="82">
        <f t="shared" ref="J10" si="4">F10+H10</f>
        <v>26</v>
      </c>
      <c r="K10" s="33">
        <f>G10+I10</f>
        <v>5000000</v>
      </c>
      <c r="L10" s="79">
        <f t="shared" ref="L10" si="5">+F10*15000</f>
        <v>390000</v>
      </c>
      <c r="M10" s="34">
        <f t="shared" ref="M10" si="6">K10+L10</f>
        <v>5390000</v>
      </c>
      <c r="N10" s="34">
        <f>IF(VLOOKUP($B10,DS,29,0)="x",$E10*N$4,0)</f>
        <v>0</v>
      </c>
      <c r="O10" s="34">
        <f>IF(VLOOKUP($B10,DS,29,0)="x",$E10*O$4,0)</f>
        <v>0</v>
      </c>
      <c r="P10" s="34">
        <f>IF(VLOOKUP($B10,DS,29,0)="x",$E10*P$4,0)</f>
        <v>0</v>
      </c>
      <c r="Q10" s="33">
        <f t="shared" ref="Q10" si="7">M10-SUM(N10:P10)</f>
        <v>5390000</v>
      </c>
      <c r="R10" s="33">
        <f>VLOOKUP(B10,DS,23,0)</f>
        <v>0</v>
      </c>
      <c r="S10" s="39">
        <f t="shared" ref="S10" si="8">Q10-R10</f>
        <v>5390000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SUM(E9:E11)</f>
        <v>5000000</v>
      </c>
      <c r="F12" s="129"/>
      <c r="G12" s="129">
        <f>SUM(G9:G11)</f>
        <v>5000000</v>
      </c>
      <c r="H12" s="129"/>
      <c r="I12" s="129">
        <f>SUM(I9:I11)</f>
        <v>0</v>
      </c>
      <c r="J12" s="129"/>
      <c r="K12" s="129">
        <f t="shared" ref="K12:S12" si="9">SUM(K9:K11)</f>
        <v>5000000</v>
      </c>
      <c r="L12" s="129">
        <f t="shared" si="9"/>
        <v>390000</v>
      </c>
      <c r="M12" s="129">
        <f t="shared" si="9"/>
        <v>5390000</v>
      </c>
      <c r="N12" s="129">
        <f t="shared" si="9"/>
        <v>0</v>
      </c>
      <c r="O12" s="129">
        <f t="shared" si="9"/>
        <v>0</v>
      </c>
      <c r="P12" s="129">
        <f t="shared" si="9"/>
        <v>0</v>
      </c>
      <c r="Q12" s="129">
        <f t="shared" si="9"/>
        <v>5390000</v>
      </c>
      <c r="R12" s="129">
        <f t="shared" si="9"/>
        <v>0</v>
      </c>
      <c r="S12" s="129">
        <f t="shared" si="9"/>
        <v>5390000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:C16" si="10">VLOOKUP(B14,DS,2,0)</f>
        <v>Bùi Trường Giang</v>
      </c>
      <c r="D14" s="105" t="str">
        <f t="shared" ref="D14:D16" si="11">VLOOKUP(B14,DS,3,0)</f>
        <v>Thợ in</v>
      </c>
      <c r="E14" s="79">
        <f t="shared" ref="E14:E16" si="12">VLOOKUP(B14,DS,4,0)</f>
        <v>5000000</v>
      </c>
      <c r="F14" s="81">
        <f>VLOOKUP(B14,'CC -11'!$B$8:$AS$17,36,0)</f>
        <v>26</v>
      </c>
      <c r="G14" s="134">
        <f t="shared" ref="G14:G16" si="13">ROUND(E14/$U$2*F14,0)</f>
        <v>5000000</v>
      </c>
      <c r="H14" s="81">
        <f>(VLOOKUP(B14,'CC -11'!$B$8:$AS$17,37,0)+VLOOKUP(B14,'CC -11'!$B$8:$AS$17,38,0))</f>
        <v>0</v>
      </c>
      <c r="I14" s="134">
        <f t="shared" ref="I14:I16" si="14">ROUND(E14/$U$2*H14,0)</f>
        <v>0</v>
      </c>
      <c r="J14" s="135">
        <f t="shared" ref="J14:K16" si="15">F14+H14</f>
        <v>26</v>
      </c>
      <c r="K14" s="33">
        <f t="shared" si="15"/>
        <v>5000000</v>
      </c>
      <c r="L14" s="79">
        <f t="shared" ref="L14:L16" si="16">+F14*15000</f>
        <v>390000</v>
      </c>
      <c r="M14" s="34">
        <f t="shared" ref="M14:M16" si="17">K14+L14</f>
        <v>5390000</v>
      </c>
      <c r="N14" s="34">
        <f t="shared" ref="N14:P16" si="18">IF(VLOOKUP($B14,DS,29,0)="x",$E14*N$4,0)</f>
        <v>0</v>
      </c>
      <c r="O14" s="34">
        <f t="shared" si="18"/>
        <v>0</v>
      </c>
      <c r="P14" s="34">
        <f t="shared" si="18"/>
        <v>0</v>
      </c>
      <c r="Q14" s="33">
        <f>M14-SUM(N14:P14)</f>
        <v>5390000</v>
      </c>
      <c r="R14" s="33">
        <f t="shared" ref="R14:R16" si="19">VLOOKUP(B14,DS,23,0)</f>
        <v>0</v>
      </c>
      <c r="S14" s="39">
        <f>Q14-R14</f>
        <v>5390000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" si="20">VLOOKUP(B15,DS,2,0)</f>
        <v>Lý Thanh Hải</v>
      </c>
      <c r="D15" s="105" t="str">
        <f t="shared" ref="D15" si="21">VLOOKUP(B15,DS,3,0)</f>
        <v>Công Đoạn 1</v>
      </c>
      <c r="E15" s="79">
        <f t="shared" ref="E15" si="22">VLOOKUP(B15,DS,4,0)</f>
        <v>5000000</v>
      </c>
      <c r="F15" s="81">
        <f>VLOOKUP(B15,'CC -11'!$B$8:$AS$17,36,0)</f>
        <v>26</v>
      </c>
      <c r="G15" s="134">
        <f t="shared" ref="G15" si="23">ROUND(E15/$U$2*F15,0)</f>
        <v>5000000</v>
      </c>
      <c r="H15" s="81">
        <f>(VLOOKUP(B15,'CC -11'!$B$8:$AS$17,37,0)+VLOOKUP(B15,'CC -11'!$B$8:$AS$17,38,0))</f>
        <v>0</v>
      </c>
      <c r="I15" s="134">
        <f t="shared" ref="I15" si="24">ROUND(E15/$U$2*H15,0)</f>
        <v>0</v>
      </c>
      <c r="J15" s="135">
        <f t="shared" ref="J15" si="25">F15+H15</f>
        <v>26</v>
      </c>
      <c r="K15" s="33">
        <f t="shared" ref="K15" si="26">G15+I15</f>
        <v>5000000</v>
      </c>
      <c r="L15" s="79">
        <f t="shared" ref="L15" si="27">+F15*15000</f>
        <v>390000</v>
      </c>
      <c r="M15" s="34">
        <f t="shared" ref="M15" si="28">K15+L15</f>
        <v>5390000</v>
      </c>
      <c r="N15" s="34">
        <f t="shared" si="18"/>
        <v>0</v>
      </c>
      <c r="O15" s="34">
        <f t="shared" si="18"/>
        <v>0</v>
      </c>
      <c r="P15" s="34">
        <f t="shared" si="18"/>
        <v>0</v>
      </c>
      <c r="Q15" s="33">
        <f t="shared" ref="Q15" si="29">M15-SUM(N15:P15)</f>
        <v>5390000</v>
      </c>
      <c r="R15" s="33">
        <f t="shared" ref="R15" si="30">VLOOKUP(B15,DS,23,0)</f>
        <v>0</v>
      </c>
      <c r="S15" s="39">
        <f t="shared" ref="S15" si="31">Q15-R15</f>
        <v>5390000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10"/>
        <v>Lê Văn Hữu</v>
      </c>
      <c r="D16" s="105" t="str">
        <f t="shared" si="11"/>
        <v>Công Đoạn 2</v>
      </c>
      <c r="E16" s="79">
        <f t="shared" si="12"/>
        <v>5000000</v>
      </c>
      <c r="F16" s="81">
        <f>VLOOKUP(B16,'CC -11'!$B$8:$AS$17,36,0)</f>
        <v>26</v>
      </c>
      <c r="G16" s="134">
        <f t="shared" si="13"/>
        <v>5000000</v>
      </c>
      <c r="H16" s="81">
        <f>(VLOOKUP(B16,'CC -11'!$B$8:$AS$17,37,0)+VLOOKUP(B16,'CC -11'!$B$8:$AS$17,38,0))</f>
        <v>0</v>
      </c>
      <c r="I16" s="134">
        <f t="shared" si="14"/>
        <v>0</v>
      </c>
      <c r="J16" s="135">
        <f t="shared" si="15"/>
        <v>26</v>
      </c>
      <c r="K16" s="33">
        <f t="shared" si="15"/>
        <v>5000000</v>
      </c>
      <c r="L16" s="79">
        <f t="shared" si="16"/>
        <v>390000</v>
      </c>
      <c r="M16" s="34">
        <f t="shared" si="17"/>
        <v>5390000</v>
      </c>
      <c r="N16" s="34">
        <f t="shared" si="18"/>
        <v>0</v>
      </c>
      <c r="O16" s="34">
        <f t="shared" si="18"/>
        <v>0</v>
      </c>
      <c r="P16" s="34">
        <f t="shared" si="18"/>
        <v>0</v>
      </c>
      <c r="Q16" s="33">
        <f t="shared" ref="Q16" si="32">M16-SUM(N16:P16)</f>
        <v>5390000</v>
      </c>
      <c r="R16" s="33">
        <f t="shared" si="19"/>
        <v>0</v>
      </c>
      <c r="S16" s="39">
        <f t="shared" ref="S16" si="33">Q16-R16</f>
        <v>5390000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4">SUM(K13:K17)</f>
        <v>15000000</v>
      </c>
      <c r="L18" s="129">
        <f t="shared" si="34"/>
        <v>1170000</v>
      </c>
      <c r="M18" s="129">
        <f t="shared" si="34"/>
        <v>16170000</v>
      </c>
      <c r="N18" s="129">
        <f t="shared" si="34"/>
        <v>0</v>
      </c>
      <c r="O18" s="129">
        <f t="shared" si="34"/>
        <v>0</v>
      </c>
      <c r="P18" s="129">
        <f t="shared" si="34"/>
        <v>0</v>
      </c>
      <c r="Q18" s="129">
        <f t="shared" si="34"/>
        <v>16170000</v>
      </c>
      <c r="R18" s="129">
        <f t="shared" si="34"/>
        <v>0</v>
      </c>
      <c r="S18" s="129">
        <f t="shared" si="34"/>
        <v>16170000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11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D18 N5:P6 L5 L21 J6:K7 L7 A24:T57 U30:U57 N17:S17 V24:IK57 J17:L17 A58:IK65325 AF13:IK13 V12:IK12 D12 Q10:S11 AF5:IK11 W10:W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X5:AE11 U4:U1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Q14:S16 A14:B16 AF14:IK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8"/>
      <c r="B1" s="43"/>
      <c r="C1" s="43"/>
      <c r="D1" s="47"/>
      <c r="E1" s="43"/>
      <c r="F1" s="47"/>
      <c r="G1" s="47"/>
      <c r="H1" s="47"/>
      <c r="I1" s="47"/>
      <c r="J1" s="47"/>
      <c r="K1" s="108"/>
      <c r="L1" s="108"/>
      <c r="M1" s="108"/>
      <c r="N1" s="108"/>
      <c r="O1" s="108"/>
      <c r="P1" s="108"/>
      <c r="Q1" s="108"/>
      <c r="R1" s="108"/>
      <c r="S1" s="45" t="str">
        <f>CONCATENATE("BẢNG CHẤM CÔNG THÁNG ",TEXT($E$4,"mm")," NĂM ",TEXT($E$4,"yyyy"))</f>
        <v>BẢNG CHẤM CÔNG THÁNG 12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4"/>
      <c r="AL1" s="44"/>
      <c r="AM1" s="257" t="s">
        <v>81</v>
      </c>
      <c r="AN1" s="258"/>
      <c r="AO1" s="258"/>
      <c r="AP1" s="258"/>
      <c r="AQ1" s="258"/>
      <c r="AR1" s="258"/>
      <c r="AS1" s="259"/>
      <c r="AT1" s="46"/>
    </row>
    <row r="2" spans="1:91" ht="20.25">
      <c r="A2" s="128"/>
      <c r="B2" s="47"/>
      <c r="C2" s="47"/>
      <c r="D2" s="47"/>
      <c r="E2" s="47"/>
      <c r="F2" s="47"/>
      <c r="G2" s="47"/>
      <c r="H2" s="47"/>
      <c r="I2" s="47"/>
      <c r="J2" s="4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8"/>
      <c r="B3" s="49"/>
      <c r="C3" s="49"/>
      <c r="D3" s="50"/>
      <c r="E3" s="50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4"/>
      <c r="D4" s="143"/>
      <c r="E4" s="53">
        <v>42705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0" t="s">
        <v>26</v>
      </c>
      <c r="B5" s="260" t="s">
        <v>3</v>
      </c>
      <c r="C5" s="260" t="s">
        <v>1</v>
      </c>
      <c r="D5" s="262" t="s">
        <v>27</v>
      </c>
      <c r="E5" s="260" t="s">
        <v>28</v>
      </c>
      <c r="F5" s="107">
        <f>+E4</f>
        <v>42705</v>
      </c>
      <c r="G5" s="107">
        <f t="shared" ref="G5:AJ5" si="0">F5+1</f>
        <v>42706</v>
      </c>
      <c r="H5" s="107">
        <f t="shared" si="0"/>
        <v>42707</v>
      </c>
      <c r="I5" s="107">
        <f t="shared" si="0"/>
        <v>42708</v>
      </c>
      <c r="J5" s="107">
        <f t="shared" si="0"/>
        <v>42709</v>
      </c>
      <c r="K5" s="107">
        <f t="shared" si="0"/>
        <v>42710</v>
      </c>
      <c r="L5" s="107">
        <f t="shared" si="0"/>
        <v>42711</v>
      </c>
      <c r="M5" s="107">
        <f t="shared" si="0"/>
        <v>42712</v>
      </c>
      <c r="N5" s="107">
        <f t="shared" si="0"/>
        <v>42713</v>
      </c>
      <c r="O5" s="107">
        <f t="shared" si="0"/>
        <v>42714</v>
      </c>
      <c r="P5" s="107">
        <f t="shared" si="0"/>
        <v>42715</v>
      </c>
      <c r="Q5" s="107">
        <f t="shared" si="0"/>
        <v>42716</v>
      </c>
      <c r="R5" s="107">
        <f t="shared" si="0"/>
        <v>42717</v>
      </c>
      <c r="S5" s="107">
        <f t="shared" si="0"/>
        <v>42718</v>
      </c>
      <c r="T5" s="107">
        <f t="shared" si="0"/>
        <v>42719</v>
      </c>
      <c r="U5" s="107">
        <f t="shared" si="0"/>
        <v>42720</v>
      </c>
      <c r="V5" s="107">
        <f t="shared" si="0"/>
        <v>42721</v>
      </c>
      <c r="W5" s="107">
        <f t="shared" si="0"/>
        <v>42722</v>
      </c>
      <c r="X5" s="107">
        <f t="shared" si="0"/>
        <v>42723</v>
      </c>
      <c r="Y5" s="107">
        <f t="shared" si="0"/>
        <v>42724</v>
      </c>
      <c r="Z5" s="107">
        <f t="shared" si="0"/>
        <v>42725</v>
      </c>
      <c r="AA5" s="107">
        <f t="shared" si="0"/>
        <v>42726</v>
      </c>
      <c r="AB5" s="107">
        <f t="shared" si="0"/>
        <v>42727</v>
      </c>
      <c r="AC5" s="107">
        <f t="shared" si="0"/>
        <v>42728</v>
      </c>
      <c r="AD5" s="107">
        <f t="shared" si="0"/>
        <v>42729</v>
      </c>
      <c r="AE5" s="107">
        <f t="shared" si="0"/>
        <v>42730</v>
      </c>
      <c r="AF5" s="107">
        <f t="shared" si="0"/>
        <v>42731</v>
      </c>
      <c r="AG5" s="107">
        <f t="shared" si="0"/>
        <v>42732</v>
      </c>
      <c r="AH5" s="107">
        <f>AG5+1</f>
        <v>42733</v>
      </c>
      <c r="AI5" s="107">
        <f t="shared" si="0"/>
        <v>42734</v>
      </c>
      <c r="AJ5" s="107">
        <f t="shared" si="0"/>
        <v>42735</v>
      </c>
      <c r="AK5" s="263" t="s">
        <v>15</v>
      </c>
      <c r="AL5" s="264"/>
      <c r="AM5" s="265"/>
      <c r="AN5" s="266" t="s">
        <v>39</v>
      </c>
      <c r="AO5" s="266" t="s">
        <v>35</v>
      </c>
      <c r="AP5" s="266" t="s">
        <v>36</v>
      </c>
      <c r="AQ5" s="266" t="s">
        <v>37</v>
      </c>
      <c r="AR5" s="266" t="s">
        <v>38</v>
      </c>
      <c r="AS5" s="262" t="s">
        <v>0</v>
      </c>
      <c r="AT5" s="26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62" t="str">
        <f>CHOOSE(WEEKDAY(F5),"C.Nhật","T.Hai","T.Ba","T.Tư","T.Năm","T.Sáu","T.Bảy")</f>
        <v>T.Năm</v>
      </c>
      <c r="G6" s="162" t="str">
        <f t="shared" ref="G6:AJ6" si="1">CHOOSE(WEEKDAY(G5),"C.Nhật","T.Hai","T.Ba","T.Tư","T.Năm","T.Sáu","T.Bảy")</f>
        <v>T.Sáu</v>
      </c>
      <c r="H6" s="162" t="str">
        <f t="shared" si="1"/>
        <v>T.Bảy</v>
      </c>
      <c r="I6" s="162" t="str">
        <f t="shared" si="1"/>
        <v>C.Nhật</v>
      </c>
      <c r="J6" s="162" t="str">
        <f t="shared" si="1"/>
        <v>T.Hai</v>
      </c>
      <c r="K6" s="162" t="str">
        <f t="shared" si="1"/>
        <v>T.Ba</v>
      </c>
      <c r="L6" s="162" t="str">
        <f t="shared" si="1"/>
        <v>T.Tư</v>
      </c>
      <c r="M6" s="162" t="str">
        <f t="shared" si="1"/>
        <v>T.Năm</v>
      </c>
      <c r="N6" s="162" t="str">
        <f t="shared" si="1"/>
        <v>T.Sáu</v>
      </c>
      <c r="O6" s="162" t="str">
        <f t="shared" si="1"/>
        <v>T.Bảy</v>
      </c>
      <c r="P6" s="162" t="str">
        <f t="shared" si="1"/>
        <v>C.Nhật</v>
      </c>
      <c r="Q6" s="162" t="str">
        <f t="shared" si="1"/>
        <v>T.Hai</v>
      </c>
      <c r="R6" s="162" t="str">
        <f t="shared" si="1"/>
        <v>T.Ba</v>
      </c>
      <c r="S6" s="162" t="str">
        <f t="shared" si="1"/>
        <v>T.Tư</v>
      </c>
      <c r="T6" s="162" t="str">
        <f t="shared" si="1"/>
        <v>T.Năm</v>
      </c>
      <c r="U6" s="162" t="str">
        <f t="shared" si="1"/>
        <v>T.Sáu</v>
      </c>
      <c r="V6" s="162" t="str">
        <f t="shared" si="1"/>
        <v>T.Bảy</v>
      </c>
      <c r="W6" s="162" t="str">
        <f t="shared" si="1"/>
        <v>C.Nhật</v>
      </c>
      <c r="X6" s="162" t="str">
        <f t="shared" si="1"/>
        <v>T.Hai</v>
      </c>
      <c r="Y6" s="162" t="str">
        <f t="shared" si="1"/>
        <v>T.Ba</v>
      </c>
      <c r="Z6" s="162" t="str">
        <f t="shared" si="1"/>
        <v>T.Tư</v>
      </c>
      <c r="AA6" s="162" t="str">
        <f t="shared" si="1"/>
        <v>T.Năm</v>
      </c>
      <c r="AB6" s="162" t="str">
        <f t="shared" si="1"/>
        <v>T.Sáu</v>
      </c>
      <c r="AC6" s="162" t="str">
        <f t="shared" si="1"/>
        <v>T.Bảy</v>
      </c>
      <c r="AD6" s="162" t="str">
        <f t="shared" si="1"/>
        <v>C.Nhật</v>
      </c>
      <c r="AE6" s="162" t="str">
        <f t="shared" si="1"/>
        <v>T.Hai</v>
      </c>
      <c r="AF6" s="162" t="str">
        <f t="shared" si="1"/>
        <v>T.Ba</v>
      </c>
      <c r="AG6" s="162" t="str">
        <f t="shared" si="1"/>
        <v>T.Tư</v>
      </c>
      <c r="AH6" s="162" t="str">
        <f t="shared" si="1"/>
        <v>T.Năm</v>
      </c>
      <c r="AI6" s="162" t="str">
        <f t="shared" si="1"/>
        <v>T.Sáu</v>
      </c>
      <c r="AJ6" s="162" t="str">
        <f t="shared" si="1"/>
        <v>T.Bảy</v>
      </c>
      <c r="AK6" s="163" t="s">
        <v>16</v>
      </c>
      <c r="AL6" s="163" t="s">
        <v>29</v>
      </c>
      <c r="AM6" s="164" t="s">
        <v>17</v>
      </c>
      <c r="AN6" s="267"/>
      <c r="AO6" s="267"/>
      <c r="AP6" s="267"/>
      <c r="AQ6" s="267"/>
      <c r="AR6" s="267"/>
      <c r="AS6" s="261"/>
      <c r="AT6" s="26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5">
        <v>1</v>
      </c>
      <c r="B7" s="165">
        <v>1</v>
      </c>
      <c r="C7" s="165">
        <v>2</v>
      </c>
      <c r="D7" s="165">
        <v>3</v>
      </c>
      <c r="E7" s="165">
        <v>4</v>
      </c>
      <c r="F7" s="165">
        <v>5</v>
      </c>
      <c r="G7" s="165">
        <v>6</v>
      </c>
      <c r="H7" s="165">
        <v>7</v>
      </c>
      <c r="I7" s="165">
        <v>8</v>
      </c>
      <c r="J7" s="165">
        <v>9</v>
      </c>
      <c r="K7" s="165">
        <v>10</v>
      </c>
      <c r="L7" s="165">
        <v>11</v>
      </c>
      <c r="M7" s="165">
        <v>12</v>
      </c>
      <c r="N7" s="165">
        <v>13</v>
      </c>
      <c r="O7" s="165">
        <v>14</v>
      </c>
      <c r="P7" s="165">
        <v>15</v>
      </c>
      <c r="Q7" s="165">
        <v>16</v>
      </c>
      <c r="R7" s="165">
        <v>17</v>
      </c>
      <c r="S7" s="165">
        <v>18</v>
      </c>
      <c r="T7" s="165">
        <v>19</v>
      </c>
      <c r="U7" s="165">
        <v>20</v>
      </c>
      <c r="V7" s="165">
        <v>21</v>
      </c>
      <c r="W7" s="165">
        <v>22</v>
      </c>
      <c r="X7" s="165">
        <v>23</v>
      </c>
      <c r="Y7" s="165">
        <v>24</v>
      </c>
      <c r="Z7" s="165">
        <v>25</v>
      </c>
      <c r="AA7" s="165">
        <v>26</v>
      </c>
      <c r="AB7" s="165">
        <v>27</v>
      </c>
      <c r="AC7" s="165">
        <v>28</v>
      </c>
      <c r="AD7" s="165">
        <v>29</v>
      </c>
      <c r="AE7" s="165">
        <v>30</v>
      </c>
      <c r="AF7" s="165">
        <v>31</v>
      </c>
      <c r="AG7" s="165">
        <v>32</v>
      </c>
      <c r="AH7" s="165">
        <v>33</v>
      </c>
      <c r="AI7" s="165">
        <v>34</v>
      </c>
      <c r="AJ7" s="165">
        <v>35</v>
      </c>
      <c r="AK7" s="165">
        <v>36</v>
      </c>
      <c r="AL7" s="165">
        <v>37</v>
      </c>
      <c r="AM7" s="165">
        <v>38</v>
      </c>
      <c r="AN7" s="165">
        <v>39</v>
      </c>
      <c r="AO7" s="165">
        <v>40</v>
      </c>
      <c r="AP7" s="165">
        <v>41</v>
      </c>
      <c r="AQ7" s="165">
        <v>42</v>
      </c>
      <c r="AR7" s="165">
        <v>43</v>
      </c>
      <c r="AS7" s="165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8" customFormat="1" ht="21" customHeight="1">
      <c r="A8" s="166" t="s">
        <v>68</v>
      </c>
      <c r="B8" s="169" t="s">
        <v>82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1"/>
      <c r="AT8" s="167"/>
    </row>
    <row r="9" spans="1:91" s="56" customFormat="1" ht="18" customHeight="1">
      <c r="A9" s="245">
        <v>1</v>
      </c>
      <c r="B9" s="245" t="s">
        <v>74</v>
      </c>
      <c r="C9" s="247" t="str">
        <f>VLOOKUP(B9,DS,2,0)</f>
        <v>Lê Kim Ngọc Thảo</v>
      </c>
      <c r="D9" s="249" t="str">
        <f>VLOOKUP(B9,DS,3,0)</f>
        <v>Văn Phòng</v>
      </c>
      <c r="E9" s="57" t="s">
        <v>30</v>
      </c>
      <c r="F9" s="132">
        <v>8</v>
      </c>
      <c r="G9" s="132">
        <v>8</v>
      </c>
      <c r="H9" s="132">
        <v>8</v>
      </c>
      <c r="I9" s="132"/>
      <c r="J9" s="132">
        <v>8</v>
      </c>
      <c r="K9" s="132">
        <v>8</v>
      </c>
      <c r="L9" s="132">
        <v>8</v>
      </c>
      <c r="M9" s="132">
        <v>8</v>
      </c>
      <c r="N9" s="132">
        <v>8</v>
      </c>
      <c r="O9" s="132">
        <v>8</v>
      </c>
      <c r="P9" s="132"/>
      <c r="Q9" s="132">
        <v>8</v>
      </c>
      <c r="R9" s="132">
        <v>8</v>
      </c>
      <c r="S9" s="132">
        <v>8</v>
      </c>
      <c r="T9" s="132">
        <v>8</v>
      </c>
      <c r="U9" s="132">
        <v>8</v>
      </c>
      <c r="V9" s="132">
        <v>8</v>
      </c>
      <c r="W9" s="132"/>
      <c r="X9" s="132">
        <v>8</v>
      </c>
      <c r="Y9" s="132">
        <v>8</v>
      </c>
      <c r="Z9" s="132">
        <v>8</v>
      </c>
      <c r="AA9" s="132">
        <v>8</v>
      </c>
      <c r="AB9" s="132">
        <v>8</v>
      </c>
      <c r="AC9" s="132">
        <v>8</v>
      </c>
      <c r="AD9" s="132"/>
      <c r="AE9" s="132">
        <v>8</v>
      </c>
      <c r="AF9" s="132">
        <v>8</v>
      </c>
      <c r="AG9" s="132">
        <v>8</v>
      </c>
      <c r="AH9" s="132">
        <v>8</v>
      </c>
      <c r="AI9" s="132">
        <v>8</v>
      </c>
      <c r="AJ9" s="132">
        <v>8</v>
      </c>
      <c r="AK9" s="251">
        <f>((SUM(F9:AJ9))/8)-(SUMIF($F$6:$AJ$6,"C.Nhật",F9:AJ9)/8)</f>
        <v>27</v>
      </c>
      <c r="AL9" s="251">
        <f>SUM(F10:AJ10)/8*1.5</f>
        <v>0</v>
      </c>
      <c r="AM9" s="253">
        <f>SUMIF($F$6:$AJ$6,"C.Nhật",$F9:$AJ10)/8*2</f>
        <v>0</v>
      </c>
      <c r="AN9" s="241">
        <f>SUM(AK9:AM10)</f>
        <v>27</v>
      </c>
      <c r="AO9" s="255">
        <v>0</v>
      </c>
      <c r="AP9" s="241"/>
      <c r="AQ9" s="241"/>
      <c r="AR9" s="241"/>
      <c r="AS9" s="243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6"/>
      <c r="B10" s="246"/>
      <c r="C10" s="248"/>
      <c r="D10" s="250"/>
      <c r="E10" s="58" t="s">
        <v>29</v>
      </c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252"/>
      <c r="AL10" s="252"/>
      <c r="AM10" s="254"/>
      <c r="AN10" s="242"/>
      <c r="AO10" s="256"/>
      <c r="AP10" s="242"/>
      <c r="AQ10" s="242"/>
      <c r="AR10" s="242"/>
      <c r="AS10" s="244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8" customFormat="1" ht="21" customHeight="1">
      <c r="A11" s="166" t="s">
        <v>69</v>
      </c>
      <c r="B11" s="169" t="s">
        <v>73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1"/>
      <c r="AT11" s="167"/>
    </row>
    <row r="12" spans="1:91" s="56" customFormat="1" ht="18" customHeight="1">
      <c r="A12" s="245">
        <v>1</v>
      </c>
      <c r="B12" s="245" t="s">
        <v>76</v>
      </c>
      <c r="C12" s="247" t="str">
        <f>VLOOKUP(B12,DS,2,0)</f>
        <v>Bùi Trường Giang</v>
      </c>
      <c r="D12" s="249" t="str">
        <f>VLOOKUP(B12,DS,3,0)</f>
        <v>Thợ in</v>
      </c>
      <c r="E12" s="57" t="s">
        <v>30</v>
      </c>
      <c r="F12" s="132">
        <v>8</v>
      </c>
      <c r="G12" s="132">
        <v>8</v>
      </c>
      <c r="H12" s="132">
        <v>8</v>
      </c>
      <c r="I12" s="132"/>
      <c r="J12" s="132">
        <v>8</v>
      </c>
      <c r="K12" s="132">
        <v>8</v>
      </c>
      <c r="L12" s="132">
        <v>8</v>
      </c>
      <c r="M12" s="132">
        <v>8</v>
      </c>
      <c r="N12" s="132">
        <v>8</v>
      </c>
      <c r="O12" s="132">
        <v>8</v>
      </c>
      <c r="P12" s="132"/>
      <c r="Q12" s="132">
        <v>8</v>
      </c>
      <c r="R12" s="132">
        <v>8</v>
      </c>
      <c r="S12" s="132">
        <v>8</v>
      </c>
      <c r="T12" s="132">
        <v>8</v>
      </c>
      <c r="U12" s="132">
        <v>8</v>
      </c>
      <c r="V12" s="132">
        <v>8</v>
      </c>
      <c r="W12" s="132"/>
      <c r="X12" s="132">
        <v>8</v>
      </c>
      <c r="Y12" s="132">
        <v>8</v>
      </c>
      <c r="Z12" s="132">
        <v>8</v>
      </c>
      <c r="AA12" s="132">
        <v>8</v>
      </c>
      <c r="AB12" s="132">
        <v>8</v>
      </c>
      <c r="AC12" s="132">
        <v>8</v>
      </c>
      <c r="AD12" s="132"/>
      <c r="AE12" s="132">
        <v>8</v>
      </c>
      <c r="AF12" s="132">
        <v>8</v>
      </c>
      <c r="AG12" s="132">
        <v>8</v>
      </c>
      <c r="AH12" s="132">
        <v>8</v>
      </c>
      <c r="AI12" s="132">
        <v>8</v>
      </c>
      <c r="AJ12" s="132">
        <v>8</v>
      </c>
      <c r="AK12" s="251">
        <f t="shared" ref="AK12" si="2">((SUM(F12:AJ12))/8)-(SUMIF($F$6:$AJ$6,"C.Nhật",F12:AJ12)/8)</f>
        <v>27</v>
      </c>
      <c r="AL12" s="251">
        <f t="shared" ref="AL12" si="3">SUM(F13:AJ13)/8*1.5</f>
        <v>0</v>
      </c>
      <c r="AM12" s="253">
        <f>SUMIF($F$6:$AJ$6,"C.Nhật",$F12:$AJ13)/8*2</f>
        <v>0</v>
      </c>
      <c r="AN12" s="241">
        <f>SUM(AK12:AM13)</f>
        <v>27</v>
      </c>
      <c r="AO12" s="255">
        <v>0</v>
      </c>
      <c r="AP12" s="241"/>
      <c r="AQ12" s="241"/>
      <c r="AR12" s="241"/>
      <c r="AS12" s="243"/>
      <c r="AT12" s="20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6"/>
      <c r="B13" s="246"/>
      <c r="C13" s="248"/>
      <c r="D13" s="250"/>
      <c r="E13" s="58" t="s">
        <v>29</v>
      </c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252"/>
      <c r="AL13" s="252"/>
      <c r="AM13" s="254"/>
      <c r="AN13" s="242"/>
      <c r="AO13" s="256"/>
      <c r="AP13" s="242"/>
      <c r="AQ13" s="242"/>
      <c r="AR13" s="242"/>
      <c r="AS13" s="244"/>
      <c r="AT13" s="20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>
        <v>2</v>
      </c>
      <c r="B14" s="245" t="s">
        <v>77</v>
      </c>
      <c r="C14" s="247" t="str">
        <f>VLOOKUP(B14,DS,2,0)</f>
        <v>Lý Thanh Hải</v>
      </c>
      <c r="D14" s="249" t="str">
        <f>VLOOKUP(B14,DS,3,0)</f>
        <v>Công Đoạn 1</v>
      </c>
      <c r="E14" s="57" t="s">
        <v>30</v>
      </c>
      <c r="F14" s="132">
        <v>8</v>
      </c>
      <c r="G14" s="132">
        <v>8</v>
      </c>
      <c r="H14" s="132">
        <v>8</v>
      </c>
      <c r="I14" s="132"/>
      <c r="J14" s="132">
        <v>8</v>
      </c>
      <c r="K14" s="132">
        <v>8</v>
      </c>
      <c r="L14" s="132">
        <v>8</v>
      </c>
      <c r="M14" s="132">
        <v>8</v>
      </c>
      <c r="N14" s="132">
        <v>8</v>
      </c>
      <c r="O14" s="132">
        <v>8</v>
      </c>
      <c r="P14" s="132"/>
      <c r="Q14" s="132">
        <v>8</v>
      </c>
      <c r="R14" s="132">
        <v>8</v>
      </c>
      <c r="S14" s="132">
        <v>8</v>
      </c>
      <c r="T14" s="132">
        <v>8</v>
      </c>
      <c r="U14" s="132">
        <v>8</v>
      </c>
      <c r="V14" s="132">
        <v>8</v>
      </c>
      <c r="W14" s="132"/>
      <c r="X14" s="132">
        <v>8</v>
      </c>
      <c r="Y14" s="132">
        <v>8</v>
      </c>
      <c r="Z14" s="132">
        <v>8</v>
      </c>
      <c r="AA14" s="132">
        <v>8</v>
      </c>
      <c r="AB14" s="132">
        <v>8</v>
      </c>
      <c r="AC14" s="132">
        <v>8</v>
      </c>
      <c r="AD14" s="132"/>
      <c r="AE14" s="132">
        <v>8</v>
      </c>
      <c r="AF14" s="132">
        <v>8</v>
      </c>
      <c r="AG14" s="132">
        <v>8</v>
      </c>
      <c r="AH14" s="132">
        <v>8</v>
      </c>
      <c r="AI14" s="132">
        <v>8</v>
      </c>
      <c r="AJ14" s="132">
        <v>8</v>
      </c>
      <c r="AK14" s="251">
        <f t="shared" ref="AK14" si="4">((SUM(F14:AJ14))/8)-(SUMIF($F$6:$AJ$6,"C.Nhật",F14:AJ14)/8)</f>
        <v>27</v>
      </c>
      <c r="AL14" s="251">
        <f t="shared" ref="AL14" si="5">SUM(F15:AJ15)/8*1.5</f>
        <v>0</v>
      </c>
      <c r="AM14" s="253">
        <f>SUMIF($F$6:$AJ$6,"C.Nhật",$F14:$AJ15)/8*2</f>
        <v>0</v>
      </c>
      <c r="AN14" s="241">
        <f t="shared" ref="AN14" si="6">SUM(AK14:AM15)</f>
        <v>27</v>
      </c>
      <c r="AO14" s="255">
        <v>0</v>
      </c>
      <c r="AP14" s="241"/>
      <c r="AQ14" s="241"/>
      <c r="AR14" s="241"/>
      <c r="AS14" s="243"/>
      <c r="AT14" s="21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6"/>
      <c r="B15" s="246"/>
      <c r="C15" s="248"/>
      <c r="D15" s="250"/>
      <c r="E15" s="58" t="s">
        <v>29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252"/>
      <c r="AL15" s="252"/>
      <c r="AM15" s="254"/>
      <c r="AN15" s="242"/>
      <c r="AO15" s="256"/>
      <c r="AP15" s="242"/>
      <c r="AQ15" s="242"/>
      <c r="AR15" s="242"/>
      <c r="AS15" s="244"/>
      <c r="AT15" s="21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6" customFormat="1" ht="18" customHeight="1">
      <c r="A16" s="245">
        <v>3</v>
      </c>
      <c r="B16" s="245" t="s">
        <v>84</v>
      </c>
      <c r="C16" s="247" t="str">
        <f>VLOOKUP(B16,DS,2,0)</f>
        <v>Lê Văn Hữu</v>
      </c>
      <c r="D16" s="249" t="str">
        <f>VLOOKUP(B16,DS,3,0)</f>
        <v>Công Đoạn 2</v>
      </c>
      <c r="E16" s="57" t="s">
        <v>30</v>
      </c>
      <c r="F16" s="132">
        <v>8</v>
      </c>
      <c r="G16" s="132">
        <v>8</v>
      </c>
      <c r="H16" s="132">
        <v>8</v>
      </c>
      <c r="I16" s="132"/>
      <c r="J16" s="132">
        <v>8</v>
      </c>
      <c r="K16" s="132">
        <v>8</v>
      </c>
      <c r="L16" s="132">
        <v>8</v>
      </c>
      <c r="M16" s="132">
        <v>8</v>
      </c>
      <c r="N16" s="132">
        <v>8</v>
      </c>
      <c r="O16" s="132">
        <v>8</v>
      </c>
      <c r="P16" s="132"/>
      <c r="Q16" s="132">
        <v>8</v>
      </c>
      <c r="R16" s="132">
        <v>8</v>
      </c>
      <c r="S16" s="132">
        <v>8</v>
      </c>
      <c r="T16" s="132">
        <v>8</v>
      </c>
      <c r="U16" s="132">
        <v>8</v>
      </c>
      <c r="V16" s="132">
        <v>8</v>
      </c>
      <c r="W16" s="132"/>
      <c r="X16" s="132">
        <v>8</v>
      </c>
      <c r="Y16" s="132">
        <v>8</v>
      </c>
      <c r="Z16" s="132">
        <v>8</v>
      </c>
      <c r="AA16" s="132">
        <v>8</v>
      </c>
      <c r="AB16" s="132">
        <v>8</v>
      </c>
      <c r="AC16" s="132">
        <v>8</v>
      </c>
      <c r="AD16" s="132"/>
      <c r="AE16" s="132">
        <v>8</v>
      </c>
      <c r="AF16" s="132">
        <v>8</v>
      </c>
      <c r="AG16" s="132">
        <v>8</v>
      </c>
      <c r="AH16" s="132">
        <v>8</v>
      </c>
      <c r="AI16" s="132">
        <v>8</v>
      </c>
      <c r="AJ16" s="132">
        <v>8</v>
      </c>
      <c r="AK16" s="251">
        <f t="shared" ref="AK16" si="7">((SUM(F16:AJ16))/8)-(SUMIF($F$6:$AJ$6,"C.Nhật",F16:AJ16)/8)</f>
        <v>27</v>
      </c>
      <c r="AL16" s="251">
        <f t="shared" ref="AL16" si="8">SUM(F17:AJ17)/8*1.5</f>
        <v>0</v>
      </c>
      <c r="AM16" s="253">
        <f>SUMIF($F$6:$AJ$6,"C.Nhật",$F16:$AJ17)/8*2</f>
        <v>0</v>
      </c>
      <c r="AN16" s="241">
        <f t="shared" ref="AN16" si="9">SUM(AK16:AM17)</f>
        <v>27</v>
      </c>
      <c r="AO16" s="255">
        <v>0</v>
      </c>
      <c r="AP16" s="241"/>
      <c r="AQ16" s="241"/>
      <c r="AR16" s="241"/>
      <c r="AS16" s="243"/>
      <c r="AT16" s="21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6"/>
      <c r="B17" s="246"/>
      <c r="C17" s="248"/>
      <c r="D17" s="250"/>
      <c r="E17" s="58" t="s">
        <v>29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252"/>
      <c r="AL17" s="252"/>
      <c r="AM17" s="254"/>
      <c r="AN17" s="242"/>
      <c r="AO17" s="256"/>
      <c r="AP17" s="242"/>
      <c r="AQ17" s="242"/>
      <c r="AR17" s="242"/>
      <c r="AS17" s="244"/>
      <c r="AT17" s="21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2"/>
      <c r="E18" s="4"/>
      <c r="F18" s="64"/>
      <c r="G18" s="64"/>
      <c r="H18" s="61"/>
      <c r="I18" s="61"/>
      <c r="J18" s="109"/>
      <c r="K18" s="64"/>
      <c r="L18" s="61"/>
      <c r="M18" s="64"/>
      <c r="N18" s="64"/>
      <c r="O18" s="64"/>
      <c r="P18" s="64"/>
      <c r="Q18" s="61"/>
      <c r="R18" s="64"/>
      <c r="S18" s="64"/>
      <c r="T18" s="109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3"/>
    </row>
    <row r="19" spans="1:91" s="59" customFormat="1" ht="12.75">
      <c r="A19" s="14"/>
      <c r="B19" s="60"/>
      <c r="C19" s="14" t="s">
        <v>14</v>
      </c>
      <c r="D19" s="102"/>
      <c r="E19" s="4"/>
      <c r="F19" s="64"/>
      <c r="G19" s="64"/>
      <c r="H19" s="61"/>
      <c r="I19" s="61"/>
      <c r="J19" s="109"/>
      <c r="K19" s="64"/>
      <c r="L19" s="61"/>
      <c r="M19" s="64"/>
      <c r="N19" s="64"/>
      <c r="O19" s="64"/>
      <c r="P19" s="64"/>
      <c r="Q19" s="61"/>
      <c r="R19" s="64"/>
      <c r="S19" s="64"/>
      <c r="T19" s="109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3"/>
    </row>
    <row r="20" spans="1:91" s="59" customFormat="1" ht="12.75">
      <c r="A20" s="12"/>
      <c r="B20" s="12"/>
      <c r="C20" s="4"/>
      <c r="D20" s="102"/>
      <c r="E20" s="4"/>
      <c r="F20" s="64"/>
      <c r="G20" s="64"/>
      <c r="H20" s="110"/>
      <c r="I20" s="110"/>
      <c r="J20" s="110"/>
      <c r="K20" s="64"/>
      <c r="L20" s="110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10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3"/>
    </row>
    <row r="21" spans="1:91" s="62" customFormat="1" ht="15" customHeight="1">
      <c r="A21" s="12"/>
      <c r="B21" s="12"/>
      <c r="C21" s="4"/>
      <c r="D21" s="102"/>
      <c r="E21" s="4"/>
      <c r="F21" s="64"/>
      <c r="G21" s="64"/>
      <c r="H21" s="110"/>
      <c r="I21" s="110"/>
      <c r="J21" s="110"/>
      <c r="K21" s="64"/>
      <c r="L21" s="110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10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2"/>
      <c r="E22" s="4"/>
      <c r="F22" s="64"/>
      <c r="G22" s="64"/>
      <c r="H22" s="110"/>
      <c r="I22" s="110"/>
      <c r="J22" s="110"/>
      <c r="K22" s="64"/>
      <c r="L22" s="110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10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2"/>
      <c r="E23" s="4"/>
      <c r="F23" s="64"/>
      <c r="G23" s="64"/>
      <c r="H23" s="110"/>
      <c r="I23" s="110"/>
      <c r="J23" s="110"/>
      <c r="K23" s="64"/>
      <c r="L23" s="110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10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3"/>
      <c r="E24" s="66"/>
      <c r="F24" s="109"/>
      <c r="G24" s="111"/>
      <c r="H24" s="61"/>
      <c r="I24" s="61"/>
      <c r="J24" s="61"/>
      <c r="K24" s="111"/>
      <c r="L24" s="61"/>
      <c r="M24" s="111"/>
      <c r="N24" s="111"/>
      <c r="O24" s="111"/>
      <c r="P24" s="111"/>
      <c r="Q24" s="61"/>
      <c r="R24" s="109"/>
      <c r="S24" s="111"/>
      <c r="T24" s="111"/>
      <c r="U24" s="61"/>
      <c r="V24" s="111"/>
      <c r="W24" s="111"/>
      <c r="X24" s="61"/>
      <c r="Y24" s="111"/>
      <c r="Z24" s="111"/>
      <c r="AA24" s="111"/>
      <c r="AB24" s="111"/>
      <c r="AC24" s="111"/>
      <c r="AD24" s="61"/>
      <c r="AE24" s="111"/>
      <c r="AF24" s="111"/>
      <c r="AG24" s="111"/>
      <c r="AH24" s="111"/>
      <c r="AI24" s="111"/>
      <c r="AJ24" s="111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113"/>
      <c r="AJ25" s="113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40</v>
      </c>
      <c r="D26" s="200"/>
      <c r="E26" s="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3"/>
      <c r="AI26" s="113"/>
      <c r="AJ26" s="113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200" customFormat="1" ht="15" customHeight="1">
      <c r="A29" s="2"/>
      <c r="B29" s="2"/>
      <c r="C29" s="2" t="s">
        <v>43</v>
      </c>
      <c r="E29" s="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  <c r="AI29" s="113"/>
      <c r="AJ29" s="113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44</v>
      </c>
      <c r="E30" s="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3"/>
      <c r="AI30" s="113"/>
      <c r="AJ30" s="113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45</v>
      </c>
      <c r="E31" s="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3"/>
      <c r="AI31" s="113"/>
      <c r="AJ31" s="113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46</v>
      </c>
      <c r="E32" s="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113"/>
      <c r="AJ32" s="113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47</v>
      </c>
      <c r="E33" s="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3"/>
      <c r="AI33" s="113"/>
      <c r="AJ33" s="113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48</v>
      </c>
      <c r="E34" s="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  <c r="AI34" s="113"/>
      <c r="AJ34" s="113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16:A17"/>
    <mergeCell ref="B16:B17"/>
    <mergeCell ref="C16:C17"/>
    <mergeCell ref="D16:D17"/>
    <mergeCell ref="AK16:AK17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</mergeCells>
  <conditionalFormatting sqref="F5:AJ6 F9:AJ10 F12:AJ17">
    <cfRule type="expression" dxfId="1" priority="42" stopIfTrue="1">
      <formula>IF(WEEKDAY(F$5)=1,TRUE,FALSE)</formula>
    </cfRule>
  </conditionalFormatting>
  <conditionalFormatting sqref="F9:AJ10">
    <cfRule type="expression" dxfId="0" priority="4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sqref="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8"/>
      <c r="B1" s="203"/>
      <c r="C1" s="203"/>
      <c r="D1" s="269" t="str">
        <f>"BẢNG THANH TOÁN LƯƠNG THÁNG"&amp;" "&amp;TEXT($E$4,"mm")&amp;" / "&amp;TEXT($E$4,"yyyy")</f>
        <v>BẢNG THANH TOÁN LƯƠNG THÁNG 12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81</v>
      </c>
      <c r="S1" s="272"/>
      <c r="T1" s="273"/>
      <c r="U1" s="119" t="s">
        <v>51</v>
      </c>
      <c r="V1" s="99" t="s">
        <v>33</v>
      </c>
      <c r="W1" s="72"/>
      <c r="X1" s="72"/>
      <c r="Y1" s="5"/>
      <c r="Z1" s="5"/>
    </row>
    <row r="2" spans="1:31" s="4" customFormat="1" ht="15" customHeight="1">
      <c r="A2" s="128"/>
      <c r="B2" s="203"/>
      <c r="C2" s="203"/>
      <c r="D2" s="203"/>
      <c r="E2" s="70"/>
      <c r="F2" s="203"/>
      <c r="G2" s="203"/>
      <c r="H2" s="203"/>
      <c r="I2" s="203"/>
      <c r="J2" s="71"/>
      <c r="K2" s="203"/>
      <c r="L2" s="203"/>
      <c r="M2" s="203"/>
      <c r="N2" s="203"/>
      <c r="O2" s="203"/>
      <c r="P2" s="203"/>
      <c r="Q2" s="203"/>
      <c r="R2" s="203"/>
      <c r="S2" s="203"/>
      <c r="T2" s="48"/>
      <c r="U2" s="69">
        <f>MAX(F10:F18)</f>
        <v>27</v>
      </c>
      <c r="V2" s="100">
        <v>31</v>
      </c>
      <c r="W2" s="72"/>
      <c r="X2" s="72"/>
      <c r="Y2" s="5"/>
      <c r="Z2" s="5"/>
    </row>
    <row r="3" spans="1:31" s="4" customFormat="1" ht="15" customHeight="1">
      <c r="A3" s="128"/>
      <c r="B3" s="203"/>
      <c r="C3" s="203"/>
      <c r="D3" s="203"/>
      <c r="E3" s="70"/>
      <c r="F3" s="203"/>
      <c r="G3" s="203"/>
      <c r="H3" s="203"/>
      <c r="I3" s="203"/>
      <c r="J3" s="71"/>
      <c r="K3" s="203"/>
      <c r="L3" s="203"/>
      <c r="M3" s="203"/>
      <c r="N3" s="203"/>
      <c r="O3" s="203"/>
      <c r="P3" s="203"/>
      <c r="Q3" s="203"/>
      <c r="R3" s="203"/>
      <c r="S3" s="203"/>
      <c r="T3" s="48"/>
      <c r="U3" s="120"/>
      <c r="V3" s="121"/>
      <c r="W3" s="72"/>
      <c r="X3" s="72"/>
      <c r="Y3" s="5"/>
      <c r="Z3" s="5"/>
    </row>
    <row r="4" spans="1:31" s="94" customFormat="1" ht="14.25" customHeight="1">
      <c r="A4" s="92"/>
      <c r="B4" s="93"/>
      <c r="C4" s="93"/>
      <c r="D4" s="93"/>
      <c r="E4" s="177">
        <f>'CC -12'!$E$4</f>
        <v>42705</v>
      </c>
      <c r="F4" s="93"/>
      <c r="G4" s="93"/>
      <c r="H4" s="93"/>
      <c r="I4" s="93"/>
      <c r="J4" s="93"/>
      <c r="K4" s="93"/>
      <c r="L4" s="93"/>
      <c r="M4" s="93"/>
      <c r="N4" s="150">
        <v>0.08</v>
      </c>
      <c r="O4" s="150">
        <v>1.4999999999999999E-2</v>
      </c>
      <c r="P4" s="150">
        <v>0.01</v>
      </c>
      <c r="Q4" s="93"/>
      <c r="R4" s="93"/>
      <c r="S4" s="93"/>
      <c r="T4" s="93"/>
      <c r="U4" s="93"/>
      <c r="V4" s="95"/>
      <c r="W4" s="95"/>
      <c r="X4" s="95"/>
      <c r="Y4" s="95"/>
      <c r="Z4" s="95"/>
    </row>
    <row r="5" spans="1:31" s="22" customFormat="1" ht="24" customHeight="1">
      <c r="A5" s="274" t="s">
        <v>19</v>
      </c>
      <c r="B5" s="274" t="s">
        <v>20</v>
      </c>
      <c r="C5" s="236" t="s">
        <v>1</v>
      </c>
      <c r="D5" s="236" t="s">
        <v>2</v>
      </c>
      <c r="E5" s="239" t="s">
        <v>49</v>
      </c>
      <c r="F5" s="277" t="s">
        <v>24</v>
      </c>
      <c r="G5" s="278"/>
      <c r="H5" s="278"/>
      <c r="I5" s="278"/>
      <c r="J5" s="278"/>
      <c r="K5" s="279"/>
      <c r="L5" s="276" t="s">
        <v>50</v>
      </c>
      <c r="M5" s="276" t="s">
        <v>5</v>
      </c>
      <c r="N5" s="236" t="s">
        <v>6</v>
      </c>
      <c r="O5" s="236"/>
      <c r="P5" s="236"/>
      <c r="Q5" s="276" t="s">
        <v>7</v>
      </c>
      <c r="R5" s="276" t="s">
        <v>8</v>
      </c>
      <c r="S5" s="276" t="s">
        <v>9</v>
      </c>
      <c r="T5" s="237" t="s">
        <v>10</v>
      </c>
      <c r="U5" s="93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75"/>
      <c r="B6" s="275"/>
      <c r="C6" s="236"/>
      <c r="D6" s="236"/>
      <c r="E6" s="239"/>
      <c r="F6" s="277" t="s">
        <v>52</v>
      </c>
      <c r="G6" s="279"/>
      <c r="H6" s="277" t="s">
        <v>71</v>
      </c>
      <c r="I6" s="278"/>
      <c r="J6" s="282" t="s">
        <v>25</v>
      </c>
      <c r="K6" s="276" t="s">
        <v>4</v>
      </c>
      <c r="L6" s="280"/>
      <c r="M6" s="280"/>
      <c r="N6" s="284" t="s">
        <v>12</v>
      </c>
      <c r="O6" s="276" t="s">
        <v>13</v>
      </c>
      <c r="P6" s="276" t="s">
        <v>31</v>
      </c>
      <c r="Q6" s="280"/>
      <c r="R6" s="280"/>
      <c r="S6" s="280"/>
      <c r="T6" s="238"/>
      <c r="U6" s="93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75"/>
      <c r="B7" s="275"/>
      <c r="C7" s="276"/>
      <c r="D7" s="276"/>
      <c r="E7" s="239"/>
      <c r="F7" s="204" t="s">
        <v>34</v>
      </c>
      <c r="G7" s="201" t="s">
        <v>18</v>
      </c>
      <c r="H7" s="204" t="s">
        <v>34</v>
      </c>
      <c r="I7" s="117" t="s">
        <v>18</v>
      </c>
      <c r="J7" s="283"/>
      <c r="K7" s="280"/>
      <c r="L7" s="281"/>
      <c r="M7" s="281"/>
      <c r="N7" s="285"/>
      <c r="O7" s="280"/>
      <c r="P7" s="280"/>
      <c r="Q7" s="280"/>
      <c r="R7" s="280"/>
      <c r="S7" s="280"/>
      <c r="T7" s="238"/>
      <c r="U7" s="93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73">
        <v>18</v>
      </c>
      <c r="T8" s="73">
        <v>19</v>
      </c>
      <c r="U8" s="93"/>
      <c r="V8" s="75"/>
      <c r="W8" s="75"/>
      <c r="X8" s="76"/>
      <c r="Y8" s="76"/>
      <c r="Z8" s="76"/>
      <c r="AA8" s="77"/>
      <c r="AB8" s="77"/>
      <c r="AC8" s="77"/>
      <c r="AD8" s="77"/>
      <c r="AE8" s="77"/>
    </row>
    <row r="9" spans="1:31" s="74" customFormat="1" ht="24" customHeight="1">
      <c r="A9" s="176" t="s">
        <v>68</v>
      </c>
      <c r="B9" s="175" t="s">
        <v>82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93"/>
      <c r="V9" s="75"/>
      <c r="W9" s="75"/>
      <c r="X9" s="76"/>
      <c r="Y9" s="76"/>
      <c r="Z9" s="76"/>
      <c r="AA9" s="77"/>
      <c r="AB9" s="77"/>
      <c r="AC9" s="77"/>
      <c r="AD9" s="77"/>
      <c r="AE9" s="77"/>
    </row>
    <row r="10" spans="1:31" s="30" customFormat="1" ht="24" customHeight="1">
      <c r="A10" s="32">
        <v>1</v>
      </c>
      <c r="B10" s="130" t="s">
        <v>74</v>
      </c>
      <c r="C10" s="78" t="str">
        <f t="shared" ref="C10" si="0">VLOOKUP(B10,DS,2,0)</f>
        <v>Lê Kim Ngọc Thảo</v>
      </c>
      <c r="D10" s="105" t="str">
        <f t="shared" ref="D10" si="1">VLOOKUP(B10,DS,3,0)</f>
        <v>Văn Phòng</v>
      </c>
      <c r="E10" s="79">
        <f t="shared" ref="E10" si="2">VLOOKUP(B10,DS,4,0)</f>
        <v>5000000</v>
      </c>
      <c r="F10" s="81">
        <f>VLOOKUP(B10,'CC -12'!$B$8:$AS$17,36,0)</f>
        <v>27</v>
      </c>
      <c r="G10" s="134">
        <f t="shared" ref="G10" si="3">ROUND(E10/$U$2*F10,0)</f>
        <v>5000000</v>
      </c>
      <c r="H10" s="81">
        <f>(VLOOKUP(B10,'CC -12'!$B$8:$AS$17,37,0)+VLOOKUP(B10,'CC -12'!$B$8:$AS$17,38,0))</f>
        <v>0</v>
      </c>
      <c r="I10" s="134">
        <f t="shared" ref="I10" si="4">ROUND(E10/$U$2*H10,0)</f>
        <v>0</v>
      </c>
      <c r="J10" s="82">
        <f t="shared" ref="J10" si="5">F10+H10</f>
        <v>27</v>
      </c>
      <c r="K10" s="33">
        <f>G10+I10</f>
        <v>5000000</v>
      </c>
      <c r="L10" s="79">
        <f t="shared" ref="L10" si="6">+F10*15000</f>
        <v>405000</v>
      </c>
      <c r="M10" s="34">
        <f t="shared" ref="M10" si="7">K10+L10</f>
        <v>5405000</v>
      </c>
      <c r="N10" s="34">
        <f>IF(VLOOKUP($B10,DS,31,0)="x",$E10*N$4,0)</f>
        <v>0</v>
      </c>
      <c r="O10" s="34">
        <f>IF(VLOOKUP($B10,DS,31,0)="x",$E10*O$4,0)</f>
        <v>0</v>
      </c>
      <c r="P10" s="34">
        <f>IF(VLOOKUP($B10,DS,31,0)="x",$E10*P$4,0)</f>
        <v>0</v>
      </c>
      <c r="Q10" s="33">
        <f t="shared" ref="Q10" si="8">M10-SUM(N10:P10)</f>
        <v>5405000</v>
      </c>
      <c r="R10" s="33">
        <f>VLOOKUP(B10,DS,23,0)</f>
        <v>0</v>
      </c>
      <c r="S10" s="39">
        <f t="shared" ref="S10" si="9">Q10-R10</f>
        <v>5405000</v>
      </c>
      <c r="T10" s="33"/>
      <c r="U10" s="93"/>
      <c r="V10" s="31"/>
      <c r="W10" s="23"/>
      <c r="X10" s="5"/>
      <c r="Y10" s="5"/>
      <c r="Z10" s="5"/>
      <c r="AA10" s="4"/>
      <c r="AB10" s="4"/>
      <c r="AC10" s="4"/>
      <c r="AD10" s="4"/>
      <c r="AE10" s="4"/>
    </row>
    <row r="11" spans="1:31" s="30" customFormat="1" ht="24" customHeight="1">
      <c r="A11" s="189"/>
      <c r="B11" s="190"/>
      <c r="C11" s="191"/>
      <c r="D11" s="192"/>
      <c r="E11" s="193"/>
      <c r="F11" s="194"/>
      <c r="G11" s="195"/>
      <c r="H11" s="194"/>
      <c r="I11" s="195"/>
      <c r="J11" s="196"/>
      <c r="K11" s="197"/>
      <c r="L11" s="193"/>
      <c r="M11" s="198"/>
      <c r="N11" s="198"/>
      <c r="O11" s="198"/>
      <c r="P11" s="198"/>
      <c r="Q11" s="197"/>
      <c r="R11" s="197"/>
      <c r="S11" s="199"/>
      <c r="T11" s="197"/>
      <c r="U11" s="93"/>
      <c r="V11" s="31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25" t="s">
        <v>23</v>
      </c>
      <c r="B12" s="226"/>
      <c r="C12" s="226"/>
      <c r="D12" s="227"/>
      <c r="E12" s="129">
        <f>SUM(E9:E11)</f>
        <v>5000000</v>
      </c>
      <c r="F12" s="129"/>
      <c r="G12" s="129">
        <f>SUM(G9:G11)</f>
        <v>5000000</v>
      </c>
      <c r="H12" s="129"/>
      <c r="I12" s="129">
        <f>SUM(I9:I11)</f>
        <v>0</v>
      </c>
      <c r="J12" s="129"/>
      <c r="K12" s="129">
        <f t="shared" ref="K12:S12" si="10">SUM(K9:K11)</f>
        <v>5000000</v>
      </c>
      <c r="L12" s="129">
        <f t="shared" si="10"/>
        <v>405000</v>
      </c>
      <c r="M12" s="129">
        <f t="shared" si="10"/>
        <v>5405000</v>
      </c>
      <c r="N12" s="129">
        <f t="shared" si="10"/>
        <v>0</v>
      </c>
      <c r="O12" s="129">
        <f t="shared" si="10"/>
        <v>0</v>
      </c>
      <c r="P12" s="129">
        <f t="shared" si="10"/>
        <v>0</v>
      </c>
      <c r="Q12" s="129">
        <f t="shared" si="10"/>
        <v>5405000</v>
      </c>
      <c r="R12" s="129">
        <f t="shared" si="10"/>
        <v>0</v>
      </c>
      <c r="S12" s="129">
        <f t="shared" si="10"/>
        <v>5405000</v>
      </c>
      <c r="T12" s="21"/>
      <c r="U12" s="93"/>
      <c r="V12" s="27"/>
      <c r="W12" s="27"/>
      <c r="X12" s="27"/>
      <c r="Y12" s="27"/>
      <c r="Z12" s="27"/>
    </row>
    <row r="13" spans="1:31" s="74" customFormat="1" ht="24" customHeight="1">
      <c r="A13" s="176" t="s">
        <v>69</v>
      </c>
      <c r="B13" s="175" t="s">
        <v>70</v>
      </c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93"/>
      <c r="V13" s="75"/>
      <c r="W13" s="75"/>
      <c r="X13" s="76"/>
      <c r="Y13" s="76"/>
      <c r="Z13" s="76"/>
      <c r="AA13" s="77"/>
      <c r="AB13" s="77"/>
      <c r="AC13" s="77"/>
      <c r="AD13" s="77"/>
      <c r="AE13" s="77"/>
    </row>
    <row r="14" spans="1:31" s="30" customFormat="1" ht="24" customHeight="1">
      <c r="A14" s="32">
        <v>1</v>
      </c>
      <c r="B14" s="130" t="s">
        <v>76</v>
      </c>
      <c r="C14" s="78" t="str">
        <f t="shared" ref="C14:C16" si="11">VLOOKUP(B14,DS,2,0)</f>
        <v>Bùi Trường Giang</v>
      </c>
      <c r="D14" s="105" t="str">
        <f t="shared" ref="D14:D16" si="12">VLOOKUP(B14,DS,3,0)</f>
        <v>Thợ in</v>
      </c>
      <c r="E14" s="79">
        <f t="shared" ref="E14:E16" si="13">VLOOKUP(B14,DS,4,0)</f>
        <v>5000000</v>
      </c>
      <c r="F14" s="81">
        <f>VLOOKUP(B14,'CC -12'!$B$8:$AS$17,36,0)</f>
        <v>27</v>
      </c>
      <c r="G14" s="134">
        <f t="shared" ref="G14:G16" si="14">ROUND(E14/$U$2*F14,0)</f>
        <v>5000000</v>
      </c>
      <c r="H14" s="81">
        <f>(VLOOKUP(B14,'CC -12'!$B$8:$AS$17,37,0)+VLOOKUP(B14,'CC -12'!$B$8:$AS$17,38,0))</f>
        <v>0</v>
      </c>
      <c r="I14" s="134">
        <f t="shared" ref="I14:I16" si="15">ROUND(E14/$U$2*H14,0)</f>
        <v>0</v>
      </c>
      <c r="J14" s="135">
        <f t="shared" ref="J14:K16" si="16">F14+H14</f>
        <v>27</v>
      </c>
      <c r="K14" s="33">
        <f t="shared" si="16"/>
        <v>5000000</v>
      </c>
      <c r="L14" s="79">
        <f t="shared" ref="L14:L16" si="17">+F14*15000</f>
        <v>405000</v>
      </c>
      <c r="M14" s="34">
        <f t="shared" ref="M14:M16" si="18">K14+L14</f>
        <v>5405000</v>
      </c>
      <c r="N14" s="34">
        <f t="shared" ref="N14:P16" si="19">IF(VLOOKUP($B14,DS,31,0)="x",$E14*N$4,0)</f>
        <v>0</v>
      </c>
      <c r="O14" s="34">
        <f t="shared" si="19"/>
        <v>0</v>
      </c>
      <c r="P14" s="34">
        <f t="shared" si="19"/>
        <v>0</v>
      </c>
      <c r="Q14" s="33">
        <f>M14-SUM(N14:P14)</f>
        <v>5405000</v>
      </c>
      <c r="R14" s="33">
        <f t="shared" ref="R14:R16" si="20">VLOOKUP(B14,DS,23,0)</f>
        <v>0</v>
      </c>
      <c r="S14" s="39">
        <f>Q14-R14</f>
        <v>5405000</v>
      </c>
      <c r="T14" s="33"/>
      <c r="U14" s="93"/>
      <c r="V14" s="31"/>
      <c r="W14" s="23"/>
      <c r="X14" s="5"/>
      <c r="Y14" s="5"/>
      <c r="Z14" s="5"/>
      <c r="AA14" s="4"/>
      <c r="AB14" s="4"/>
      <c r="AC14" s="4"/>
      <c r="AD14" s="4"/>
      <c r="AE14" s="4"/>
    </row>
    <row r="15" spans="1:31" s="30" customFormat="1" ht="24" customHeight="1">
      <c r="A15" s="32">
        <v>2</v>
      </c>
      <c r="B15" s="130" t="s">
        <v>77</v>
      </c>
      <c r="C15" s="78" t="str">
        <f t="shared" ref="C15" si="21">VLOOKUP(B15,DS,2,0)</f>
        <v>Lý Thanh Hải</v>
      </c>
      <c r="D15" s="105" t="str">
        <f t="shared" ref="D15" si="22">VLOOKUP(B15,DS,3,0)</f>
        <v>Công Đoạn 1</v>
      </c>
      <c r="E15" s="79">
        <f t="shared" ref="E15" si="23">VLOOKUP(B15,DS,4,0)</f>
        <v>5000000</v>
      </c>
      <c r="F15" s="81">
        <f>VLOOKUP(B15,'CC -12'!$B$8:$AS$17,36,0)</f>
        <v>27</v>
      </c>
      <c r="G15" s="134">
        <f t="shared" ref="G15" si="24">ROUND(E15/$U$2*F15,0)</f>
        <v>5000000</v>
      </c>
      <c r="H15" s="81">
        <f>(VLOOKUP(B15,'CC -12'!$B$8:$AS$17,37,0)+VLOOKUP(B15,'CC -12'!$B$8:$AS$17,38,0))</f>
        <v>0</v>
      </c>
      <c r="I15" s="134">
        <f t="shared" ref="I15" si="25">ROUND(E15/$U$2*H15,0)</f>
        <v>0</v>
      </c>
      <c r="J15" s="135">
        <f t="shared" ref="J15" si="26">F15+H15</f>
        <v>27</v>
      </c>
      <c r="K15" s="33">
        <f t="shared" ref="K15" si="27">G15+I15</f>
        <v>5000000</v>
      </c>
      <c r="L15" s="79">
        <f t="shared" ref="L15" si="28">+F15*15000</f>
        <v>405000</v>
      </c>
      <c r="M15" s="34">
        <f t="shared" ref="M15" si="29">K15+L15</f>
        <v>5405000</v>
      </c>
      <c r="N15" s="34">
        <f t="shared" si="19"/>
        <v>0</v>
      </c>
      <c r="O15" s="34">
        <f t="shared" si="19"/>
        <v>0</v>
      </c>
      <c r="P15" s="34">
        <f t="shared" si="19"/>
        <v>0</v>
      </c>
      <c r="Q15" s="33">
        <f t="shared" ref="Q15" si="30">M15-SUM(N15:P15)</f>
        <v>5405000</v>
      </c>
      <c r="R15" s="33">
        <f t="shared" ref="R15" si="31">VLOOKUP(B15,DS,23,0)</f>
        <v>0</v>
      </c>
      <c r="S15" s="39">
        <f t="shared" ref="S15" si="32">Q15-R15</f>
        <v>5405000</v>
      </c>
      <c r="T15" s="33"/>
      <c r="U15" s="93"/>
      <c r="V15" s="31"/>
      <c r="W15" s="23"/>
      <c r="X15" s="5"/>
      <c r="Y15" s="5"/>
      <c r="Z15" s="5"/>
      <c r="AA15" s="4"/>
      <c r="AB15" s="4"/>
      <c r="AC15" s="4"/>
      <c r="AD15" s="4"/>
      <c r="AE15" s="4"/>
    </row>
    <row r="16" spans="1:31" s="30" customFormat="1" ht="24" customHeight="1">
      <c r="A16" s="32">
        <v>3</v>
      </c>
      <c r="B16" s="130" t="s">
        <v>84</v>
      </c>
      <c r="C16" s="78" t="str">
        <f t="shared" si="11"/>
        <v>Lê Văn Hữu</v>
      </c>
      <c r="D16" s="105" t="str">
        <f t="shared" si="12"/>
        <v>Công Đoạn 2</v>
      </c>
      <c r="E16" s="79">
        <f t="shared" si="13"/>
        <v>5000000</v>
      </c>
      <c r="F16" s="81">
        <f>VLOOKUP(B16,'CC -12'!$B$8:$AS$17,36,0)</f>
        <v>27</v>
      </c>
      <c r="G16" s="134">
        <f t="shared" si="14"/>
        <v>5000000</v>
      </c>
      <c r="H16" s="81">
        <f>(VLOOKUP(B16,'CC -12'!$B$8:$AS$17,37,0)+VLOOKUP(B16,'CC -12'!$B$8:$AS$17,38,0))</f>
        <v>0</v>
      </c>
      <c r="I16" s="134">
        <f t="shared" si="15"/>
        <v>0</v>
      </c>
      <c r="J16" s="135">
        <f t="shared" si="16"/>
        <v>27</v>
      </c>
      <c r="K16" s="33">
        <f t="shared" si="16"/>
        <v>5000000</v>
      </c>
      <c r="L16" s="79">
        <f t="shared" si="17"/>
        <v>405000</v>
      </c>
      <c r="M16" s="34">
        <f t="shared" si="18"/>
        <v>5405000</v>
      </c>
      <c r="N16" s="34">
        <f t="shared" si="19"/>
        <v>0</v>
      </c>
      <c r="O16" s="34">
        <f t="shared" si="19"/>
        <v>0</v>
      </c>
      <c r="P16" s="34">
        <f t="shared" si="19"/>
        <v>0</v>
      </c>
      <c r="Q16" s="33">
        <f t="shared" ref="Q16" si="33">M16-SUM(N16:P16)</f>
        <v>5405000</v>
      </c>
      <c r="R16" s="33">
        <f t="shared" si="20"/>
        <v>0</v>
      </c>
      <c r="S16" s="39">
        <f t="shared" ref="S16" si="34">Q16-R16</f>
        <v>5405000</v>
      </c>
      <c r="T16" s="33"/>
      <c r="U16" s="93"/>
      <c r="V16" s="31"/>
      <c r="W16" s="23"/>
      <c r="X16" s="5"/>
      <c r="Y16" s="5"/>
      <c r="Z16" s="5"/>
      <c r="AA16" s="4"/>
      <c r="AB16" s="4"/>
      <c r="AC16" s="4"/>
      <c r="AD16" s="4"/>
      <c r="AE16" s="4"/>
    </row>
    <row r="17" spans="1:26" s="30" customFormat="1" ht="22.5" customHeight="1">
      <c r="A17" s="35"/>
      <c r="B17" s="173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172"/>
      <c r="N17" s="37"/>
      <c r="O17" s="37"/>
      <c r="P17" s="37"/>
      <c r="Q17" s="37"/>
      <c r="R17" s="37"/>
      <c r="S17" s="37"/>
      <c r="T17" s="33"/>
      <c r="U17" s="93"/>
      <c r="V17" s="31"/>
      <c r="W17" s="31"/>
      <c r="X17" s="31"/>
      <c r="Y17" s="31"/>
      <c r="Z17" s="31"/>
    </row>
    <row r="18" spans="1:26" s="26" customFormat="1" ht="21" customHeight="1">
      <c r="A18" s="225" t="s">
        <v>23</v>
      </c>
      <c r="B18" s="226"/>
      <c r="C18" s="226"/>
      <c r="D18" s="227"/>
      <c r="E18" s="129">
        <f>SUM(E13:E17)</f>
        <v>15000000</v>
      </c>
      <c r="F18" s="129"/>
      <c r="G18" s="129">
        <f>SUM(G13:G17)</f>
        <v>15000000</v>
      </c>
      <c r="H18" s="129"/>
      <c r="I18" s="129">
        <f>SUM(I13:I17)</f>
        <v>0</v>
      </c>
      <c r="J18" s="129"/>
      <c r="K18" s="129">
        <f t="shared" ref="K18:S18" si="35">SUM(K13:K17)</f>
        <v>15000000</v>
      </c>
      <c r="L18" s="129">
        <f t="shared" si="35"/>
        <v>1215000</v>
      </c>
      <c r="M18" s="129">
        <f t="shared" si="35"/>
        <v>16215000</v>
      </c>
      <c r="N18" s="129">
        <f t="shared" si="35"/>
        <v>0</v>
      </c>
      <c r="O18" s="129">
        <f t="shared" si="35"/>
        <v>0</v>
      </c>
      <c r="P18" s="129">
        <f t="shared" si="35"/>
        <v>0</v>
      </c>
      <c r="Q18" s="129">
        <f t="shared" si="35"/>
        <v>16215000</v>
      </c>
      <c r="R18" s="129">
        <f t="shared" si="35"/>
        <v>0</v>
      </c>
      <c r="S18" s="129">
        <f t="shared" si="35"/>
        <v>16215000</v>
      </c>
      <c r="T18" s="21"/>
      <c r="U18" s="93"/>
      <c r="V18" s="27"/>
      <c r="W18" s="27"/>
      <c r="X18" s="27"/>
      <c r="Y18" s="27"/>
      <c r="Z18" s="27"/>
    </row>
    <row r="19" spans="1:26" ht="11.25" customHeight="1">
      <c r="A19" s="8"/>
      <c r="B19" s="8"/>
      <c r="C19" s="9"/>
      <c r="D19" s="106"/>
      <c r="E19" s="83"/>
      <c r="F19" s="9"/>
      <c r="G19" s="9"/>
      <c r="H19" s="9"/>
      <c r="I19" s="9"/>
      <c r="K19" s="9"/>
      <c r="L19" s="9"/>
      <c r="M19" s="91"/>
      <c r="N19" s="9"/>
      <c r="O19" s="9"/>
      <c r="P19" s="9"/>
      <c r="Q19" s="9"/>
      <c r="R19" s="9"/>
      <c r="S19" s="9"/>
      <c r="T19" s="9"/>
      <c r="U19" s="93"/>
    </row>
    <row r="20" spans="1:26" s="30" customFormat="1" ht="11.25" customHeight="1">
      <c r="A20" s="67"/>
      <c r="B20" s="67"/>
      <c r="C20" s="67"/>
      <c r="D20" s="122"/>
      <c r="E20" s="123"/>
      <c r="F20" s="67"/>
      <c r="G20" s="67"/>
      <c r="H20" s="67"/>
      <c r="I20" s="67"/>
      <c r="J20" s="124"/>
      <c r="K20" s="123"/>
      <c r="L20" s="67"/>
      <c r="M20" s="67"/>
      <c r="N20" s="67"/>
      <c r="O20" s="67"/>
      <c r="P20" s="67"/>
      <c r="Q20" s="67"/>
      <c r="R20" s="67"/>
      <c r="S20" s="97" t="str">
        <f>"Bình Chánh, ngày  "&amp;$V$2&amp;"   tháng   "&amp;TEXT($E$4,"mm")&amp;"   năm "&amp;TEXT($E$4,"yyyy")</f>
        <v>Bình Chánh, ngày  31   tháng   12   năm 2016</v>
      </c>
      <c r="T20" s="67"/>
      <c r="U20" s="125"/>
      <c r="V20" s="31"/>
      <c r="W20" s="31"/>
      <c r="X20" s="31"/>
      <c r="Y20" s="31"/>
      <c r="Z20" s="31"/>
    </row>
    <row r="21" spans="1:26" s="30" customFormat="1" ht="12.75">
      <c r="A21" s="24"/>
      <c r="B21" s="24"/>
      <c r="C21" s="24" t="s">
        <v>53</v>
      </c>
      <c r="D21" s="126"/>
      <c r="E21" s="68"/>
      <c r="F21" s="125"/>
      <c r="G21" s="68"/>
      <c r="H21" s="68"/>
      <c r="I21" s="68"/>
      <c r="J21" s="127"/>
      <c r="K21" s="31"/>
      <c r="L21" s="24"/>
      <c r="M21" s="136"/>
      <c r="N21" s="20"/>
      <c r="O21" s="20"/>
      <c r="P21" s="20"/>
      <c r="Q21" s="20"/>
      <c r="S21" s="125" t="s">
        <v>21</v>
      </c>
      <c r="T21" s="125"/>
      <c r="U21" s="125"/>
      <c r="V21" s="31"/>
      <c r="W21" s="31"/>
      <c r="X21" s="31"/>
      <c r="Y21" s="31"/>
      <c r="Z21" s="31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3"/>
    </row>
    <row r="23" spans="1:26" ht="12">
      <c r="C23" s="15"/>
      <c r="L23" s="15"/>
      <c r="T23" s="15"/>
      <c r="U23" s="93"/>
    </row>
    <row r="24" spans="1:26" ht="12">
      <c r="U24" s="93"/>
    </row>
    <row r="25" spans="1:26" ht="12">
      <c r="U25" s="93"/>
    </row>
    <row r="26" spans="1:26" ht="12">
      <c r="U26" s="93"/>
    </row>
    <row r="27" spans="1:26" ht="12">
      <c r="U27" s="93"/>
    </row>
    <row r="28" spans="1:26" ht="12">
      <c r="U28" s="93"/>
    </row>
    <row r="29" spans="1:26" ht="12">
      <c r="U29" s="93"/>
    </row>
  </sheetData>
  <protectedRanges>
    <protectedRange password="CC78" sqref="V17:IK18 C5:D7 B21:C21 V5:W9 A17:A22 B17:B20 B22 V13:W13 Q5:T7 E5:I6 D18 N5:P6 L5 L21 J6:K7 L7 A24:T57 U30:U57 N17:S17 V24:IK57 J17:L17 A58:IK65325 AF13:IK13 V12:IK12 D12 Q10:S11 AF5:IK11 W10:W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X5:AE11 U4:U1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User1</cp:lastModifiedBy>
  <cp:lastPrinted>2016-05-23T07:13:11Z</cp:lastPrinted>
  <dcterms:created xsi:type="dcterms:W3CDTF">2011-06-27T04:19:15Z</dcterms:created>
  <dcterms:modified xsi:type="dcterms:W3CDTF">2017-04-01T07:21:34Z</dcterms:modified>
</cp:coreProperties>
</file>