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KDP---KNA\0310686815\2017\"/>
    </mc:Choice>
  </mc:AlternateContent>
  <bookViews>
    <workbookView xWindow="120" yWindow="450" windowWidth="15150" windowHeight="834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TH!$A$9:$AL$11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TH!$B$10:$AJ$17</definedName>
    <definedName name="DS_01">'L - 1'!$B$9:$T$18</definedName>
    <definedName name="DS_02">'L - 2'!$B$9:$T$18</definedName>
    <definedName name="DS_03">'L - 3'!$B$9:$T$18</definedName>
    <definedName name="DS_04">'L - 4'!$B$9:$T$18</definedName>
    <definedName name="DS_05">'L - 5'!$B$9:$T$18</definedName>
    <definedName name="DS_06">'L - 6'!$B$9:$T$18</definedName>
    <definedName name="DS_07">'L - 7'!$B$9:$T$18</definedName>
    <definedName name="DS_08">'L - 8'!$B$9:$T$18</definedName>
    <definedName name="DS_09">'L - 9'!$B$9:$T$18</definedName>
    <definedName name="DS_10">'L - 10'!$B$9:$T$18</definedName>
    <definedName name="DS_11">'L - 11'!$B$9:$T$18</definedName>
    <definedName name="DS_12">'L - 12'!$B$9:$T$18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-1'!$A$1:$AS$39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-2'!$A$1:$AQ$39</definedName>
    <definedName name="_xlnm.Print_Area" localSheetId="5">'CC -3'!$A$1:$AS$39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62913"/>
</workbook>
</file>

<file path=xl/calcChain.xml><?xml version="1.0" encoding="utf-8"?>
<calcChain xmlns="http://schemas.openxmlformats.org/spreadsheetml/2006/main">
  <c r="AH5" i="49" l="1"/>
  <c r="AH6" i="49" s="1"/>
  <c r="AK14" i="45"/>
  <c r="AL14" i="45"/>
  <c r="AM14" i="45"/>
  <c r="AK16" i="45"/>
  <c r="AL16" i="45"/>
  <c r="AM16" i="45"/>
  <c r="A11" i="15" l="1"/>
  <c r="A12" i="15"/>
  <c r="A10" i="15"/>
  <c r="S14" i="15"/>
  <c r="Q14" i="15"/>
  <c r="O14" i="15"/>
  <c r="M14" i="15"/>
  <c r="K14" i="15"/>
  <c r="U14" i="15"/>
  <c r="W14" i="15"/>
  <c r="AA14" i="15"/>
  <c r="Y14" i="15"/>
  <c r="AC14" i="15"/>
  <c r="AE14" i="15"/>
  <c r="AG14" i="15"/>
  <c r="N16" i="48"/>
  <c r="O16" i="48"/>
  <c r="P16" i="48"/>
  <c r="P15" i="48"/>
  <c r="O15" i="48"/>
  <c r="N15" i="48"/>
  <c r="P14" i="48"/>
  <c r="O14" i="48"/>
  <c r="N14" i="48"/>
  <c r="O10" i="48"/>
  <c r="P10" i="48"/>
  <c r="N10" i="48"/>
  <c r="N16" i="50"/>
  <c r="O16" i="50"/>
  <c r="P16" i="50"/>
  <c r="P15" i="50"/>
  <c r="O15" i="50"/>
  <c r="N15" i="50"/>
  <c r="P14" i="50"/>
  <c r="O14" i="50"/>
  <c r="N14" i="50"/>
  <c r="O10" i="50"/>
  <c r="P10" i="50"/>
  <c r="N10" i="50"/>
  <c r="N16" i="52"/>
  <c r="O16" i="52"/>
  <c r="P16" i="52"/>
  <c r="P15" i="52"/>
  <c r="O15" i="52"/>
  <c r="N15" i="52"/>
  <c r="P14" i="52"/>
  <c r="O14" i="52"/>
  <c r="N14" i="52"/>
  <c r="O10" i="52"/>
  <c r="P10" i="52"/>
  <c r="N10" i="52"/>
  <c r="N15" i="54"/>
  <c r="O15" i="54"/>
  <c r="P15" i="54"/>
  <c r="N16" i="54"/>
  <c r="O16" i="54"/>
  <c r="P16" i="54"/>
  <c r="P14" i="54"/>
  <c r="O14" i="54"/>
  <c r="N14" i="54"/>
  <c r="O10" i="54"/>
  <c r="P10" i="54"/>
  <c r="N10" i="54"/>
  <c r="N15" i="16"/>
  <c r="O15" i="16"/>
  <c r="P15" i="16"/>
  <c r="N16" i="16"/>
  <c r="O16" i="16"/>
  <c r="P16" i="16"/>
  <c r="P14" i="16"/>
  <c r="O14" i="16"/>
  <c r="N14" i="16"/>
  <c r="O10" i="16"/>
  <c r="P10" i="16"/>
  <c r="N10" i="16"/>
  <c r="N15" i="34"/>
  <c r="O15" i="34"/>
  <c r="P15" i="34"/>
  <c r="N16" i="34"/>
  <c r="O16" i="34"/>
  <c r="P16" i="34"/>
  <c r="P14" i="34"/>
  <c r="O14" i="34"/>
  <c r="N14" i="34"/>
  <c r="O10" i="34"/>
  <c r="P10" i="34"/>
  <c r="N10" i="34"/>
  <c r="N15" i="36"/>
  <c r="O15" i="36"/>
  <c r="P15" i="36"/>
  <c r="N16" i="36"/>
  <c r="O16" i="36"/>
  <c r="P16" i="36"/>
  <c r="P14" i="36"/>
  <c r="O14" i="36"/>
  <c r="N14" i="36"/>
  <c r="O10" i="36"/>
  <c r="P10" i="36"/>
  <c r="N10" i="36"/>
  <c r="N15" i="38"/>
  <c r="O15" i="38"/>
  <c r="P15" i="38"/>
  <c r="N16" i="38"/>
  <c r="O16" i="38"/>
  <c r="P16" i="38"/>
  <c r="P14" i="38"/>
  <c r="O14" i="38"/>
  <c r="N14" i="38"/>
  <c r="O10" i="38"/>
  <c r="P10" i="38"/>
  <c r="N10" i="38"/>
  <c r="N15" i="40"/>
  <c r="O15" i="40"/>
  <c r="P15" i="40"/>
  <c r="N16" i="40"/>
  <c r="O16" i="40"/>
  <c r="P16" i="40"/>
  <c r="P14" i="40"/>
  <c r="O14" i="40"/>
  <c r="N14" i="40"/>
  <c r="O10" i="40"/>
  <c r="P10" i="40"/>
  <c r="N10" i="40"/>
  <c r="N15" i="42"/>
  <c r="O15" i="42"/>
  <c r="P15" i="42"/>
  <c r="N16" i="42"/>
  <c r="O16" i="42"/>
  <c r="P16" i="42"/>
  <c r="P14" i="42"/>
  <c r="O14" i="42"/>
  <c r="N14" i="42"/>
  <c r="O10" i="42"/>
  <c r="P10" i="42"/>
  <c r="N10" i="42"/>
  <c r="N15" i="44"/>
  <c r="O15" i="44"/>
  <c r="P15" i="44"/>
  <c r="N16" i="44"/>
  <c r="O16" i="44"/>
  <c r="P16" i="44"/>
  <c r="P14" i="44"/>
  <c r="O14" i="44"/>
  <c r="N14" i="44"/>
  <c r="O10" i="44"/>
  <c r="P10" i="44"/>
  <c r="N10" i="44"/>
  <c r="N15" i="46"/>
  <c r="O15" i="46"/>
  <c r="P15" i="46"/>
  <c r="N16" i="46"/>
  <c r="O16" i="46"/>
  <c r="P16" i="46"/>
  <c r="P14" i="46"/>
  <c r="O14" i="46"/>
  <c r="N14" i="46"/>
  <c r="O10" i="46"/>
  <c r="P10" i="46"/>
  <c r="N10" i="46"/>
  <c r="AF16" i="15" a="1"/>
  <c r="AF16" i="15" s="1"/>
  <c r="AD16" i="15" a="1"/>
  <c r="AD16" i="15" s="1"/>
  <c r="AB16" i="15" a="1"/>
  <c r="AB16" i="15" s="1"/>
  <c r="Z16" i="15" a="1"/>
  <c r="Z16" i="15" s="1"/>
  <c r="X16" i="15" a="1"/>
  <c r="X16" i="15" s="1"/>
  <c r="V16" i="15" a="1"/>
  <c r="V16" i="15" s="1"/>
  <c r="T16" i="15" a="1"/>
  <c r="T16" i="15" s="1"/>
  <c r="R16" i="15" a="1"/>
  <c r="R16" i="15" s="1"/>
  <c r="P16" i="15" a="1"/>
  <c r="P16" i="15" s="1"/>
  <c r="N16" i="15" a="1"/>
  <c r="N16" i="15" s="1"/>
  <c r="L16" i="15" a="1"/>
  <c r="L16" i="15" s="1"/>
  <c r="K15" i="15"/>
  <c r="AG15" i="15"/>
  <c r="M15" i="15"/>
  <c r="O15" i="15"/>
  <c r="Q15" i="15"/>
  <c r="S15" i="15"/>
  <c r="U15" i="15"/>
  <c r="W15" i="15"/>
  <c r="Y15" i="15"/>
  <c r="AA15" i="15"/>
  <c r="AC15" i="15"/>
  <c r="AE15" i="15"/>
  <c r="AH15" i="15" l="1"/>
  <c r="AH14" i="15"/>
  <c r="R15" i="46" l="1"/>
  <c r="E15" i="46"/>
  <c r="D15" i="46"/>
  <c r="C15" i="46"/>
  <c r="R16" i="46"/>
  <c r="E16" i="46"/>
  <c r="D16" i="46"/>
  <c r="C16" i="46"/>
  <c r="D14" i="45"/>
  <c r="C14" i="45"/>
  <c r="D16" i="45"/>
  <c r="C16" i="45"/>
  <c r="R15" i="44"/>
  <c r="E15" i="44"/>
  <c r="D15" i="44"/>
  <c r="C15" i="44"/>
  <c r="R16" i="44"/>
  <c r="E16" i="44"/>
  <c r="D16" i="44"/>
  <c r="C16" i="44"/>
  <c r="AL14" i="43"/>
  <c r="D14" i="43"/>
  <c r="C14" i="43"/>
  <c r="AL16" i="43"/>
  <c r="D16" i="43"/>
  <c r="C16" i="43"/>
  <c r="R15" i="42"/>
  <c r="E15" i="42"/>
  <c r="D15" i="42"/>
  <c r="C15" i="42"/>
  <c r="R16" i="42"/>
  <c r="E16" i="42"/>
  <c r="D16" i="42"/>
  <c r="C16" i="42"/>
  <c r="AL14" i="41"/>
  <c r="D14" i="41"/>
  <c r="C14" i="41"/>
  <c r="AL16" i="41"/>
  <c r="D16" i="41"/>
  <c r="C16" i="41"/>
  <c r="R15" i="40"/>
  <c r="E15" i="40"/>
  <c r="D15" i="40"/>
  <c r="C15" i="40"/>
  <c r="R16" i="40"/>
  <c r="E16" i="40"/>
  <c r="D16" i="40"/>
  <c r="C16" i="40"/>
  <c r="AL14" i="39"/>
  <c r="D14" i="39"/>
  <c r="C14" i="39"/>
  <c r="AL16" i="39"/>
  <c r="D16" i="39"/>
  <c r="C16" i="39"/>
  <c r="R15" i="38"/>
  <c r="E15" i="38"/>
  <c r="D15" i="38"/>
  <c r="C15" i="38"/>
  <c r="R16" i="38"/>
  <c r="E16" i="38"/>
  <c r="D16" i="38"/>
  <c r="C16" i="38"/>
  <c r="AL14" i="37"/>
  <c r="D14" i="37"/>
  <c r="C14" i="37"/>
  <c r="AL16" i="37"/>
  <c r="D16" i="37"/>
  <c r="C16" i="37"/>
  <c r="R15" i="36"/>
  <c r="E15" i="36"/>
  <c r="D15" i="36"/>
  <c r="C15" i="36"/>
  <c r="R16" i="36"/>
  <c r="E16" i="36"/>
  <c r="D16" i="36"/>
  <c r="C16" i="36"/>
  <c r="AL14" i="35"/>
  <c r="D14" i="35"/>
  <c r="C14" i="35"/>
  <c r="AL16" i="35"/>
  <c r="D16" i="35"/>
  <c r="C16" i="35"/>
  <c r="R15" i="34"/>
  <c r="E15" i="34"/>
  <c r="D15" i="34"/>
  <c r="C15" i="34"/>
  <c r="R16" i="34"/>
  <c r="E16" i="34"/>
  <c r="D16" i="34"/>
  <c r="C16" i="34"/>
  <c r="AL14" i="33"/>
  <c r="D14" i="33"/>
  <c r="C14" i="33"/>
  <c r="AL16" i="33"/>
  <c r="D16" i="33"/>
  <c r="C16" i="33"/>
  <c r="R15" i="16"/>
  <c r="E15" i="16"/>
  <c r="D15" i="16"/>
  <c r="C15" i="16"/>
  <c r="R16" i="16"/>
  <c r="E16" i="16"/>
  <c r="D16" i="16"/>
  <c r="C16" i="16"/>
  <c r="AL14" i="14"/>
  <c r="D14" i="14"/>
  <c r="C14" i="14"/>
  <c r="AL16" i="14"/>
  <c r="D16" i="14"/>
  <c r="C16" i="14"/>
  <c r="C15" i="54" l="1"/>
  <c r="D15" i="54"/>
  <c r="E15" i="54"/>
  <c r="R15" i="54"/>
  <c r="C16" i="54"/>
  <c r="D16" i="54"/>
  <c r="E16" i="54"/>
  <c r="R16" i="54"/>
  <c r="AK14" i="53"/>
  <c r="D14" i="53"/>
  <c r="C14" i="53"/>
  <c r="AK16" i="53"/>
  <c r="D16" i="53"/>
  <c r="C16" i="53"/>
  <c r="C15" i="52"/>
  <c r="D15" i="52"/>
  <c r="E15" i="52"/>
  <c r="R15" i="52"/>
  <c r="C16" i="52"/>
  <c r="D16" i="52"/>
  <c r="E16" i="52"/>
  <c r="R16" i="52"/>
  <c r="AL14" i="51"/>
  <c r="D14" i="51"/>
  <c r="C14" i="51"/>
  <c r="AL16" i="51"/>
  <c r="D16" i="51"/>
  <c r="C16" i="51"/>
  <c r="C15" i="50"/>
  <c r="D15" i="50"/>
  <c r="E15" i="50"/>
  <c r="R15" i="50"/>
  <c r="C16" i="50"/>
  <c r="D16" i="50"/>
  <c r="E16" i="50"/>
  <c r="R16" i="50"/>
  <c r="AJ14" i="49"/>
  <c r="D14" i="49"/>
  <c r="C14" i="49"/>
  <c r="AJ16" i="49"/>
  <c r="D16" i="49"/>
  <c r="C16" i="49"/>
  <c r="R16" i="48"/>
  <c r="E16" i="48"/>
  <c r="D16" i="48"/>
  <c r="C16" i="48"/>
  <c r="R15" i="48"/>
  <c r="E15" i="48"/>
  <c r="D15" i="48"/>
  <c r="C15" i="48"/>
  <c r="R14" i="48"/>
  <c r="E14" i="48"/>
  <c r="D14" i="48"/>
  <c r="C14" i="48"/>
  <c r="AL14" i="47"/>
  <c r="D14" i="47"/>
  <c r="C14" i="47"/>
  <c r="AL16" i="47"/>
  <c r="D16" i="47"/>
  <c r="C16" i="47"/>
  <c r="A13" i="15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AL12" i="33"/>
  <c r="D12" i="33"/>
  <c r="C12" i="33"/>
  <c r="AL12" i="14"/>
  <c r="D12" i="14"/>
  <c r="C12" i="14"/>
  <c r="AK12" i="53"/>
  <c r="D12" i="53"/>
  <c r="C12" i="53"/>
  <c r="AL12" i="51"/>
  <c r="D12" i="51"/>
  <c r="C12" i="51"/>
  <c r="R14" i="54"/>
  <c r="O18" i="54"/>
  <c r="E14" i="54"/>
  <c r="D14" i="54"/>
  <c r="C14" i="54"/>
  <c r="R10" i="54"/>
  <c r="E10" i="54"/>
  <c r="D10" i="54"/>
  <c r="C10" i="54"/>
  <c r="E4" i="54"/>
  <c r="S20" i="54" s="1"/>
  <c r="AK9" i="53"/>
  <c r="D9" i="53"/>
  <c r="C9" i="53"/>
  <c r="F5" i="53"/>
  <c r="F6" i="53" s="1"/>
  <c r="S1" i="53"/>
  <c r="R14" i="52"/>
  <c r="R18" i="52" s="1"/>
  <c r="P18" i="52"/>
  <c r="E14" i="52"/>
  <c r="E18" i="52" s="1"/>
  <c r="D14" i="52"/>
  <c r="C14" i="52"/>
  <c r="R10" i="52"/>
  <c r="E10" i="52"/>
  <c r="D10" i="52"/>
  <c r="C10" i="52"/>
  <c r="E4" i="52"/>
  <c r="S20" i="52" s="1"/>
  <c r="AL9" i="51"/>
  <c r="D9" i="51"/>
  <c r="C9" i="51"/>
  <c r="F5" i="51"/>
  <c r="F6" i="51" s="1"/>
  <c r="S1" i="51"/>
  <c r="R14" i="50"/>
  <c r="E14" i="50"/>
  <c r="D14" i="50"/>
  <c r="C14" i="50"/>
  <c r="R10" i="50"/>
  <c r="E10" i="50"/>
  <c r="D10" i="50"/>
  <c r="C10" i="50"/>
  <c r="E4" i="50"/>
  <c r="S20" i="50" s="1"/>
  <c r="AJ12" i="49"/>
  <c r="D12" i="49"/>
  <c r="C12" i="49"/>
  <c r="AJ9" i="49"/>
  <c r="D9" i="49"/>
  <c r="C9" i="49"/>
  <c r="F5" i="49"/>
  <c r="F6" i="49" s="1"/>
  <c r="S1" i="49"/>
  <c r="R10" i="48"/>
  <c r="R12" i="48" s="1"/>
  <c r="P12" i="48"/>
  <c r="O12" i="48"/>
  <c r="E10" i="48"/>
  <c r="E12" i="48" s="1"/>
  <c r="D10" i="48"/>
  <c r="C10" i="48"/>
  <c r="E4" i="48"/>
  <c r="S20" i="48" s="1"/>
  <c r="AL12" i="47"/>
  <c r="D12" i="47"/>
  <c r="C12" i="47"/>
  <c r="AL9" i="47"/>
  <c r="D9" i="47"/>
  <c r="C9" i="47"/>
  <c r="F5" i="47"/>
  <c r="F6" i="47" s="1"/>
  <c r="S1" i="47"/>
  <c r="N12" i="48" l="1"/>
  <c r="E18" i="48"/>
  <c r="E18" i="50"/>
  <c r="R18" i="50"/>
  <c r="E18" i="54"/>
  <c r="R18" i="54"/>
  <c r="N18" i="54"/>
  <c r="D1" i="50"/>
  <c r="R12" i="52"/>
  <c r="N12" i="50"/>
  <c r="P12" i="54"/>
  <c r="N12" i="52"/>
  <c r="O12" i="54"/>
  <c r="N12" i="54"/>
  <c r="R12" i="54"/>
  <c r="P18" i="54"/>
  <c r="D1" i="52"/>
  <c r="D1" i="48"/>
  <c r="D1" i="54"/>
  <c r="O12" i="52"/>
  <c r="N18" i="52"/>
  <c r="G5" i="53"/>
  <c r="E12" i="54"/>
  <c r="R18" i="48"/>
  <c r="R12" i="50"/>
  <c r="P18" i="50"/>
  <c r="P12" i="52"/>
  <c r="O18" i="52"/>
  <c r="O12" i="50"/>
  <c r="N18" i="50"/>
  <c r="G5" i="51"/>
  <c r="E12" i="52"/>
  <c r="P18" i="48"/>
  <c r="P12" i="50"/>
  <c r="O18" i="50"/>
  <c r="N18" i="48"/>
  <c r="G5" i="49"/>
  <c r="E12" i="50"/>
  <c r="O18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R14" i="46"/>
  <c r="E14" i="46"/>
  <c r="D14" i="46"/>
  <c r="C14" i="46"/>
  <c r="R10" i="46"/>
  <c r="E10" i="46"/>
  <c r="D10" i="46"/>
  <c r="C10" i="46"/>
  <c r="E4" i="46"/>
  <c r="S20" i="46" s="1"/>
  <c r="AL9" i="45"/>
  <c r="D9" i="45"/>
  <c r="C9" i="45"/>
  <c r="F5" i="45"/>
  <c r="G5" i="45" s="1"/>
  <c r="S1" i="45"/>
  <c r="R14" i="44"/>
  <c r="E14" i="44"/>
  <c r="D14" i="44"/>
  <c r="C14" i="44"/>
  <c r="R10" i="44"/>
  <c r="E10" i="44"/>
  <c r="D10" i="44"/>
  <c r="C10" i="44"/>
  <c r="E4" i="44"/>
  <c r="S20" i="44" s="1"/>
  <c r="AL9" i="43"/>
  <c r="D9" i="43"/>
  <c r="C9" i="43"/>
  <c r="F5" i="43"/>
  <c r="G5" i="43" s="1"/>
  <c r="S1" i="43"/>
  <c r="R14" i="42"/>
  <c r="E14" i="42"/>
  <c r="D14" i="42"/>
  <c r="C14" i="42"/>
  <c r="R10" i="42"/>
  <c r="E10" i="42"/>
  <c r="D10" i="42"/>
  <c r="C10" i="42"/>
  <c r="E4" i="42"/>
  <c r="S20" i="42" s="1"/>
  <c r="AL9" i="41"/>
  <c r="D9" i="41"/>
  <c r="C9" i="41"/>
  <c r="F5" i="41"/>
  <c r="G5" i="41" s="1"/>
  <c r="S1" i="41"/>
  <c r="O12" i="42" l="1"/>
  <c r="O12" i="46"/>
  <c r="N12" i="42"/>
  <c r="E12" i="46"/>
  <c r="R12" i="46"/>
  <c r="J5" i="53"/>
  <c r="I6" i="53"/>
  <c r="J5" i="51"/>
  <c r="I6" i="51"/>
  <c r="E12" i="44"/>
  <c r="R12" i="44"/>
  <c r="N12" i="46"/>
  <c r="P12" i="44"/>
  <c r="J5" i="49"/>
  <c r="I6" i="49"/>
  <c r="O12" i="44"/>
  <c r="P12" i="46"/>
  <c r="N12" i="44"/>
  <c r="I6" i="47"/>
  <c r="J5" i="47"/>
  <c r="F6" i="43"/>
  <c r="E18" i="42"/>
  <c r="R18" i="42"/>
  <c r="E18" i="44"/>
  <c r="R18" i="44"/>
  <c r="F6" i="45"/>
  <c r="F6" i="41"/>
  <c r="E18" i="46"/>
  <c r="P18" i="42"/>
  <c r="D1" i="42"/>
  <c r="P18" i="44"/>
  <c r="D1" i="44"/>
  <c r="O18" i="46"/>
  <c r="P18" i="46"/>
  <c r="N18" i="46"/>
  <c r="R18" i="46"/>
  <c r="D1" i="46"/>
  <c r="G6" i="45"/>
  <c r="H5" i="45"/>
  <c r="N18" i="44"/>
  <c r="O18" i="44"/>
  <c r="G6" i="43"/>
  <c r="H5" i="43"/>
  <c r="N18" i="42"/>
  <c r="P12" i="42"/>
  <c r="R12" i="42"/>
  <c r="O18" i="42"/>
  <c r="G6" i="41"/>
  <c r="H5" i="41"/>
  <c r="E12" i="42"/>
  <c r="R14" i="40"/>
  <c r="E14" i="40"/>
  <c r="D14" i="40"/>
  <c r="C14" i="40"/>
  <c r="R10" i="40"/>
  <c r="E10" i="40"/>
  <c r="D10" i="40"/>
  <c r="C10" i="40"/>
  <c r="E4" i="40"/>
  <c r="S20" i="40" s="1"/>
  <c r="AL9" i="39"/>
  <c r="D9" i="39"/>
  <c r="C9" i="39"/>
  <c r="F5" i="39"/>
  <c r="G5" i="39" s="1"/>
  <c r="S1" i="39"/>
  <c r="R14" i="38"/>
  <c r="E14" i="38"/>
  <c r="D14" i="38"/>
  <c r="C14" i="38"/>
  <c r="R10" i="38"/>
  <c r="E10" i="38"/>
  <c r="D10" i="38"/>
  <c r="C10" i="38"/>
  <c r="E4" i="38"/>
  <c r="S20" i="38" s="1"/>
  <c r="AL9" i="37"/>
  <c r="D9" i="37"/>
  <c r="C9" i="37"/>
  <c r="F5" i="37"/>
  <c r="F6" i="37" s="1"/>
  <c r="S1" i="37"/>
  <c r="R14" i="36"/>
  <c r="E14" i="36"/>
  <c r="D14" i="36"/>
  <c r="C14" i="36"/>
  <c r="R10" i="36"/>
  <c r="E10" i="36"/>
  <c r="D10" i="36"/>
  <c r="C10" i="36"/>
  <c r="E4" i="36"/>
  <c r="S20" i="36" s="1"/>
  <c r="AL9" i="35"/>
  <c r="D9" i="35"/>
  <c r="C9" i="35"/>
  <c r="F5" i="35"/>
  <c r="F6" i="35" s="1"/>
  <c r="S1" i="35"/>
  <c r="N12" i="40" l="1"/>
  <c r="O12" i="36"/>
  <c r="O12" i="38"/>
  <c r="O12" i="40"/>
  <c r="N12" i="38"/>
  <c r="D1" i="36"/>
  <c r="J6" i="53"/>
  <c r="K5" i="53"/>
  <c r="J6" i="51"/>
  <c r="K5" i="51"/>
  <c r="J6" i="49"/>
  <c r="K5" i="49"/>
  <c r="J6" i="47"/>
  <c r="K5" i="47"/>
  <c r="D1" i="38"/>
  <c r="P18" i="40"/>
  <c r="I5" i="45"/>
  <c r="H6" i="45"/>
  <c r="R12" i="38"/>
  <c r="P18" i="38"/>
  <c r="N18" i="40"/>
  <c r="I5" i="43"/>
  <c r="H6" i="43"/>
  <c r="E18" i="40"/>
  <c r="R18" i="40"/>
  <c r="I5" i="41"/>
  <c r="H6" i="41"/>
  <c r="R12" i="36"/>
  <c r="P18" i="36"/>
  <c r="E18" i="38"/>
  <c r="R18" i="38"/>
  <c r="P12" i="40"/>
  <c r="R12" i="40"/>
  <c r="O18" i="40"/>
  <c r="F6" i="39"/>
  <c r="D1" i="40"/>
  <c r="G6" i="39"/>
  <c r="H5" i="39"/>
  <c r="E12" i="40"/>
  <c r="N12" i="36"/>
  <c r="E18" i="36"/>
  <c r="R18" i="36"/>
  <c r="N18" i="38"/>
  <c r="P12" i="38"/>
  <c r="O18" i="38"/>
  <c r="G5" i="37"/>
  <c r="E12" i="38"/>
  <c r="N18" i="36"/>
  <c r="P12" i="36"/>
  <c r="O18" i="36"/>
  <c r="G5" i="35"/>
  <c r="E12" i="36"/>
  <c r="C14" i="16"/>
  <c r="D14" i="16"/>
  <c r="E14" i="16"/>
  <c r="R14" i="16"/>
  <c r="C10" i="16"/>
  <c r="D10" i="16"/>
  <c r="E10" i="16"/>
  <c r="R10" i="16"/>
  <c r="P12" i="16" l="1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2" i="16"/>
  <c r="G6" i="37"/>
  <c r="H5" i="37"/>
  <c r="P18" i="16"/>
  <c r="O18" i="16"/>
  <c r="E18" i="16"/>
  <c r="R18" i="16"/>
  <c r="N18" i="16"/>
  <c r="N12" i="16"/>
  <c r="R12" i="16"/>
  <c r="G6" i="35"/>
  <c r="H5" i="35"/>
  <c r="O12" i="16"/>
  <c r="A14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4" i="34"/>
  <c r="E14" i="34"/>
  <c r="D14" i="34"/>
  <c r="C14" i="34"/>
  <c r="R10" i="34"/>
  <c r="R12" i="34" s="1"/>
  <c r="E10" i="34"/>
  <c r="E12" i="34" s="1"/>
  <c r="D10" i="34"/>
  <c r="C10" i="34"/>
  <c r="E4" i="34"/>
  <c r="S20" i="34" s="1"/>
  <c r="AL9" i="33"/>
  <c r="D9" i="33"/>
  <c r="C9" i="33"/>
  <c r="F5" i="33"/>
  <c r="G5" i="33" s="1"/>
  <c r="S1" i="33"/>
  <c r="N12" i="34" l="1"/>
  <c r="O12" i="34"/>
  <c r="P12" i="34"/>
  <c r="N5" i="53"/>
  <c r="M6" i="53"/>
  <c r="N5" i="51"/>
  <c r="M6" i="51"/>
  <c r="M6" i="49"/>
  <c r="N5" i="49"/>
  <c r="N5" i="47"/>
  <c r="M6" i="47"/>
  <c r="K6" i="45"/>
  <c r="L5" i="45"/>
  <c r="K6" i="43"/>
  <c r="L5" i="43"/>
  <c r="N18" i="34"/>
  <c r="K6" i="41"/>
  <c r="L5" i="41"/>
  <c r="J6" i="39"/>
  <c r="K5" i="39"/>
  <c r="O18" i="34"/>
  <c r="J5" i="37"/>
  <c r="I6" i="37"/>
  <c r="P18" i="34"/>
  <c r="E18" i="34"/>
  <c r="R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F15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S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6" i="15" a="1"/>
  <c r="J16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15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16" i="49" l="1"/>
  <c r="AI14" i="49"/>
  <c r="AK16" i="49"/>
  <c r="AK14" i="49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L16" i="53" l="1"/>
  <c r="H16" i="54" s="1"/>
  <c r="AJ14" i="53"/>
  <c r="AJ16" i="53"/>
  <c r="AL14" i="53"/>
  <c r="H15" i="54" s="1"/>
  <c r="AK14" i="51"/>
  <c r="AM14" i="51"/>
  <c r="H15" i="52" s="1"/>
  <c r="AK16" i="51"/>
  <c r="AM16" i="51"/>
  <c r="H16" i="52" s="1"/>
  <c r="AL16" i="49"/>
  <c r="H16" i="50" s="1"/>
  <c r="F16" i="50"/>
  <c r="AL14" i="49"/>
  <c r="H15" i="50" s="1"/>
  <c r="F15" i="50"/>
  <c r="AM14" i="47"/>
  <c r="H15" i="48" s="1"/>
  <c r="AK14" i="47"/>
  <c r="AM16" i="47"/>
  <c r="H16" i="48" s="1"/>
  <c r="AK16" i="47"/>
  <c r="AM12" i="51"/>
  <c r="AK12" i="51"/>
  <c r="AL12" i="53"/>
  <c r="H14" i="54" s="1"/>
  <c r="AJ12" i="53"/>
  <c r="AJ9" i="53"/>
  <c r="AL9" i="53"/>
  <c r="AM9" i="51"/>
  <c r="H10" i="52" s="1"/>
  <c r="AK9" i="51"/>
  <c r="AK9" i="49"/>
  <c r="AI9" i="49"/>
  <c r="AI12" i="49"/>
  <c r="F14" i="50" s="1"/>
  <c r="AK12" i="49"/>
  <c r="AK9" i="47"/>
  <c r="F10" i="48" s="1"/>
  <c r="AM12" i="47"/>
  <c r="H14" i="48" s="1"/>
  <c r="AM9" i="47"/>
  <c r="AK12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F16" i="54" l="1"/>
  <c r="AM16" i="53"/>
  <c r="AM14" i="53"/>
  <c r="F15" i="54"/>
  <c r="F16" i="52"/>
  <c r="AN16" i="51"/>
  <c r="AN14" i="51"/>
  <c r="F15" i="52"/>
  <c r="L16" i="50"/>
  <c r="J16" i="50"/>
  <c r="L15" i="50"/>
  <c r="J15" i="50"/>
  <c r="F16" i="48"/>
  <c r="AN16" i="47"/>
  <c r="AN14" i="47"/>
  <c r="F15" i="48"/>
  <c r="F14" i="48"/>
  <c r="AN12" i="51"/>
  <c r="H10" i="54"/>
  <c r="F10" i="54"/>
  <c r="H10" i="50"/>
  <c r="F10" i="50"/>
  <c r="AM12" i="53"/>
  <c r="F14" i="54"/>
  <c r="H14" i="52"/>
  <c r="H10" i="48"/>
  <c r="AM9" i="53"/>
  <c r="F14" i="52"/>
  <c r="AN9" i="51"/>
  <c r="F10" i="52"/>
  <c r="AL12" i="49"/>
  <c r="H14" i="50" s="1"/>
  <c r="AL9" i="49"/>
  <c r="AN12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H16" i="46" l="1"/>
  <c r="H15" i="46"/>
  <c r="AM16" i="43"/>
  <c r="H16" i="44" s="1"/>
  <c r="AM14" i="43"/>
  <c r="H15" i="44" s="1"/>
  <c r="AK14" i="43"/>
  <c r="AK16" i="43"/>
  <c r="AM14" i="41"/>
  <c r="H15" i="42" s="1"/>
  <c r="AM16" i="41"/>
  <c r="H16" i="42" s="1"/>
  <c r="AK14" i="41"/>
  <c r="AK16" i="41"/>
  <c r="L15" i="54"/>
  <c r="J15" i="54"/>
  <c r="L16" i="54"/>
  <c r="J16" i="54"/>
  <c r="L16" i="52"/>
  <c r="J16" i="52"/>
  <c r="L15" i="52"/>
  <c r="J15" i="52"/>
  <c r="J14" i="48"/>
  <c r="L14" i="48"/>
  <c r="L15" i="48"/>
  <c r="J15" i="48"/>
  <c r="J16" i="48"/>
  <c r="L16" i="48"/>
  <c r="AM12" i="45"/>
  <c r="AK12" i="45"/>
  <c r="AM12" i="43"/>
  <c r="AK12" i="43"/>
  <c r="AK12" i="41"/>
  <c r="AM12" i="41"/>
  <c r="U2" i="54"/>
  <c r="U2" i="50"/>
  <c r="U2" i="48"/>
  <c r="U2" i="52"/>
  <c r="L10" i="54"/>
  <c r="J10" i="54"/>
  <c r="J14" i="54"/>
  <c r="L14" i="54"/>
  <c r="L10" i="52"/>
  <c r="J10" i="52"/>
  <c r="J14" i="52"/>
  <c r="L14" i="52"/>
  <c r="L10" i="50"/>
  <c r="J10" i="50"/>
  <c r="J14" i="50"/>
  <c r="L14" i="50"/>
  <c r="L10" i="48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L12" i="48" l="1"/>
  <c r="AN12" i="45"/>
  <c r="F16" i="46"/>
  <c r="AN16" i="45"/>
  <c r="F15" i="46"/>
  <c r="AN14" i="45"/>
  <c r="AN16" i="43"/>
  <c r="F16" i="44"/>
  <c r="F15" i="44"/>
  <c r="AN14" i="43"/>
  <c r="AN16" i="41"/>
  <c r="F16" i="42"/>
  <c r="AN14" i="41"/>
  <c r="F15" i="42"/>
  <c r="AM14" i="39"/>
  <c r="H15" i="40" s="1"/>
  <c r="AM16" i="39"/>
  <c r="H16" i="40" s="1"/>
  <c r="AK16" i="39"/>
  <c r="AK14" i="39"/>
  <c r="G15" i="54"/>
  <c r="I16" i="54"/>
  <c r="I15" i="54"/>
  <c r="G16" i="54"/>
  <c r="G15" i="52"/>
  <c r="G16" i="52"/>
  <c r="I15" i="52"/>
  <c r="I16" i="52"/>
  <c r="G16" i="50"/>
  <c r="I15" i="50"/>
  <c r="I16" i="50"/>
  <c r="G15" i="50"/>
  <c r="G15" i="48"/>
  <c r="G16" i="48"/>
  <c r="G14" i="48"/>
  <c r="I14" i="48"/>
  <c r="I15" i="48"/>
  <c r="I16" i="48"/>
  <c r="AN12" i="41"/>
  <c r="AN12" i="43"/>
  <c r="L18" i="54"/>
  <c r="G10" i="54"/>
  <c r="I10" i="54"/>
  <c r="I14" i="54"/>
  <c r="G14" i="54"/>
  <c r="AM12" i="39"/>
  <c r="AK12" i="39"/>
  <c r="G14" i="50"/>
  <c r="G10" i="50"/>
  <c r="I10" i="50"/>
  <c r="I14" i="50"/>
  <c r="G10" i="48"/>
  <c r="I10" i="48"/>
  <c r="G10" i="52"/>
  <c r="G14" i="52"/>
  <c r="L12" i="52"/>
  <c r="I10" i="52"/>
  <c r="I14" i="52"/>
  <c r="H14" i="46"/>
  <c r="H14" i="44"/>
  <c r="H14" i="42"/>
  <c r="L12" i="54"/>
  <c r="L18" i="50"/>
  <c r="L18" i="52"/>
  <c r="L12" i="50"/>
  <c r="L18" i="48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K16" i="54" l="1"/>
  <c r="M16" i="54" s="1"/>
  <c r="Q16" i="54" s="1"/>
  <c r="S16" i="54" s="1"/>
  <c r="AN12" i="39"/>
  <c r="L15" i="46"/>
  <c r="J15" i="46"/>
  <c r="L16" i="46"/>
  <c r="J16" i="46"/>
  <c r="L16" i="44"/>
  <c r="J16" i="44"/>
  <c r="J15" i="44"/>
  <c r="L15" i="44"/>
  <c r="L15" i="42"/>
  <c r="J15" i="42"/>
  <c r="L16" i="42"/>
  <c r="J16" i="42"/>
  <c r="F15" i="40"/>
  <c r="AN14" i="39"/>
  <c r="F16" i="40"/>
  <c r="AN16" i="39"/>
  <c r="AK14" i="37"/>
  <c r="AM14" i="37"/>
  <c r="H15" i="38" s="1"/>
  <c r="AK16" i="37"/>
  <c r="AM16" i="37"/>
  <c r="H16" i="38" s="1"/>
  <c r="AK16" i="35"/>
  <c r="AK14" i="35"/>
  <c r="AM16" i="35"/>
  <c r="H16" i="36" s="1"/>
  <c r="AM14" i="35"/>
  <c r="H15" i="36" s="1"/>
  <c r="K15" i="50"/>
  <c r="M15" i="50" s="1"/>
  <c r="Q15" i="50" s="1"/>
  <c r="S15" i="50" s="1"/>
  <c r="G12" i="48"/>
  <c r="I12" i="48"/>
  <c r="K14" i="48"/>
  <c r="M14" i="48" s="1"/>
  <c r="Q14" i="48" s="1"/>
  <c r="S14" i="48" s="1"/>
  <c r="K11" i="15" s="1"/>
  <c r="K15" i="54"/>
  <c r="M15" i="54" s="1"/>
  <c r="Q15" i="54" s="1"/>
  <c r="S15" i="54" s="1"/>
  <c r="K16" i="52"/>
  <c r="M16" i="52" s="1"/>
  <c r="Q16" i="52" s="1"/>
  <c r="S16" i="52" s="1"/>
  <c r="O13" i="15" s="1"/>
  <c r="K15" i="52"/>
  <c r="M15" i="52" s="1"/>
  <c r="Q15" i="52" s="1"/>
  <c r="S15" i="52" s="1"/>
  <c r="K16" i="50"/>
  <c r="M16" i="50" s="1"/>
  <c r="Q16" i="50" s="1"/>
  <c r="S16" i="50" s="1"/>
  <c r="M13" i="15" s="1"/>
  <c r="K16" i="48"/>
  <c r="M16" i="48" s="1"/>
  <c r="Q16" i="48" s="1"/>
  <c r="S16" i="48" s="1"/>
  <c r="K13" i="15" s="1"/>
  <c r="K15" i="48"/>
  <c r="M15" i="48" s="1"/>
  <c r="Q15" i="48" s="1"/>
  <c r="S15" i="48" s="1"/>
  <c r="K10" i="50"/>
  <c r="M10" i="50" s="1"/>
  <c r="K10" i="48"/>
  <c r="K14" i="54"/>
  <c r="M14" i="54" s="1"/>
  <c r="U2" i="44"/>
  <c r="G18" i="50"/>
  <c r="K14" i="50"/>
  <c r="M14" i="50" s="1"/>
  <c r="I12" i="54"/>
  <c r="K10" i="54"/>
  <c r="I18" i="54"/>
  <c r="G12" i="54"/>
  <c r="G18" i="54"/>
  <c r="G18" i="52"/>
  <c r="AM12" i="37"/>
  <c r="AK12" i="37"/>
  <c r="I12" i="50"/>
  <c r="I18" i="50"/>
  <c r="G12" i="50"/>
  <c r="AM12" i="35"/>
  <c r="AK12" i="35"/>
  <c r="K10" i="52"/>
  <c r="M10" i="52" s="1"/>
  <c r="G18" i="48"/>
  <c r="I18" i="48"/>
  <c r="G12" i="52"/>
  <c r="K14" i="52"/>
  <c r="M14" i="52" s="1"/>
  <c r="I12" i="52"/>
  <c r="I18" i="52"/>
  <c r="U2" i="46"/>
  <c r="U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Q12" i="15" l="1"/>
  <c r="Q13" i="15"/>
  <c r="O12" i="15"/>
  <c r="M12" i="15"/>
  <c r="L15" i="40"/>
  <c r="J15" i="40"/>
  <c r="L16" i="40"/>
  <c r="J16" i="40"/>
  <c r="F16" i="38"/>
  <c r="AN16" i="37"/>
  <c r="F15" i="38"/>
  <c r="AN14" i="37"/>
  <c r="AN16" i="35"/>
  <c r="F16" i="36"/>
  <c r="AN14" i="35"/>
  <c r="F15" i="36"/>
  <c r="M10" i="48"/>
  <c r="K12" i="48"/>
  <c r="G15" i="46"/>
  <c r="I15" i="46"/>
  <c r="I16" i="46"/>
  <c r="G16" i="46"/>
  <c r="I15" i="44"/>
  <c r="G15" i="44"/>
  <c r="G16" i="44"/>
  <c r="I16" i="44"/>
  <c r="G10" i="44"/>
  <c r="G15" i="42"/>
  <c r="I15" i="42"/>
  <c r="G16" i="42"/>
  <c r="I16" i="42"/>
  <c r="AN12" i="37"/>
  <c r="K12" i="50"/>
  <c r="K12" i="54"/>
  <c r="K18" i="50"/>
  <c r="K18" i="54"/>
  <c r="AN12" i="35"/>
  <c r="M10" i="54"/>
  <c r="M12" i="54" s="1"/>
  <c r="K12" i="52"/>
  <c r="G10" i="42"/>
  <c r="K18" i="48"/>
  <c r="I10" i="42"/>
  <c r="G14" i="42"/>
  <c r="I14" i="42"/>
  <c r="K18" i="52"/>
  <c r="I14" i="46"/>
  <c r="G14" i="46"/>
  <c r="G10" i="46"/>
  <c r="I10" i="46"/>
  <c r="I10" i="44"/>
  <c r="I14" i="44"/>
  <c r="G14" i="44"/>
  <c r="U2" i="40"/>
  <c r="H14" i="38"/>
  <c r="H14" i="36"/>
  <c r="L12" i="44"/>
  <c r="Q14" i="54"/>
  <c r="M18" i="54"/>
  <c r="Q14" i="52"/>
  <c r="M18" i="52"/>
  <c r="Q10" i="52"/>
  <c r="M12" i="52"/>
  <c r="Q10" i="50"/>
  <c r="M12" i="50"/>
  <c r="Q14" i="50"/>
  <c r="M18" i="50"/>
  <c r="M18" i="48"/>
  <c r="L12" i="46"/>
  <c r="L18" i="46"/>
  <c r="L18" i="44"/>
  <c r="L12" i="42"/>
  <c r="L18" i="42"/>
  <c r="L10" i="40"/>
  <c r="J10" i="40"/>
  <c r="J14" i="40"/>
  <c r="L14" i="40"/>
  <c r="F14" i="38"/>
  <c r="AN9" i="37"/>
  <c r="F10" i="38"/>
  <c r="F14" i="36"/>
  <c r="AN9" i="35"/>
  <c r="F10" i="36"/>
  <c r="AI6" i="33"/>
  <c r="AJ5" i="33"/>
  <c r="AJ6" i="33" s="1"/>
  <c r="Y5" i="14"/>
  <c r="X6" i="14"/>
  <c r="L15" i="38" l="1"/>
  <c r="J15" i="38"/>
  <c r="J16" i="38"/>
  <c r="L16" i="38"/>
  <c r="L15" i="36"/>
  <c r="J15" i="36"/>
  <c r="L16" i="36"/>
  <c r="J16" i="36"/>
  <c r="AK16" i="33"/>
  <c r="AM14" i="33"/>
  <c r="H15" i="34" s="1"/>
  <c r="AM16" i="33"/>
  <c r="H16" i="34" s="1"/>
  <c r="AK14" i="33"/>
  <c r="K15" i="44"/>
  <c r="M15" i="44" s="1"/>
  <c r="Q15" i="44" s="1"/>
  <c r="S15" i="44" s="1"/>
  <c r="Q10" i="48"/>
  <c r="M12" i="48"/>
  <c r="K15" i="46"/>
  <c r="M15" i="46" s="1"/>
  <c r="Q15" i="46" s="1"/>
  <c r="S15" i="46" s="1"/>
  <c r="K16" i="46"/>
  <c r="M16" i="46" s="1"/>
  <c r="Q16" i="46" s="1"/>
  <c r="S16" i="46" s="1"/>
  <c r="K16" i="44"/>
  <c r="M16" i="44" s="1"/>
  <c r="Q16" i="44" s="1"/>
  <c r="S16" i="44" s="1"/>
  <c r="K10" i="44"/>
  <c r="M10" i="44" s="1"/>
  <c r="K15" i="42"/>
  <c r="M15" i="42" s="1"/>
  <c r="Q15" i="42" s="1"/>
  <c r="S15" i="42" s="1"/>
  <c r="K16" i="42"/>
  <c r="M16" i="42" s="1"/>
  <c r="Q16" i="42" s="1"/>
  <c r="S16" i="42" s="1"/>
  <c r="G15" i="40"/>
  <c r="I15" i="40"/>
  <c r="G16" i="40"/>
  <c r="I16" i="40"/>
  <c r="Q10" i="54"/>
  <c r="Q12" i="54" s="1"/>
  <c r="K14" i="46"/>
  <c r="M14" i="46" s="1"/>
  <c r="G12" i="42"/>
  <c r="K10" i="46"/>
  <c r="M10" i="46" s="1"/>
  <c r="K14" i="42"/>
  <c r="M14" i="42" s="1"/>
  <c r="K10" i="42"/>
  <c r="M10" i="42" s="1"/>
  <c r="I12" i="42"/>
  <c r="AK12" i="33"/>
  <c r="AM12" i="33"/>
  <c r="K14" i="44"/>
  <c r="M14" i="44" s="1"/>
  <c r="G12" i="46"/>
  <c r="G18" i="46"/>
  <c r="I18" i="46"/>
  <c r="I12" i="46"/>
  <c r="I18" i="44"/>
  <c r="G18" i="44"/>
  <c r="I12" i="44"/>
  <c r="G12" i="44"/>
  <c r="I18" i="42"/>
  <c r="G18" i="42"/>
  <c r="I10" i="40"/>
  <c r="I14" i="40"/>
  <c r="G14" i="40"/>
  <c r="G10" i="40"/>
  <c r="U2" i="38"/>
  <c r="U2" i="36"/>
  <c r="Q18" i="54"/>
  <c r="S14" i="54"/>
  <c r="Q11" i="15" s="1"/>
  <c r="Q12" i="52"/>
  <c r="S10" i="52"/>
  <c r="O10" i="15" s="1"/>
  <c r="Q18" i="52"/>
  <c r="S14" i="52"/>
  <c r="O11" i="15" s="1"/>
  <c r="Q18" i="50"/>
  <c r="S14" i="50"/>
  <c r="M11" i="15" s="1"/>
  <c r="Q12" i="50"/>
  <c r="S10" i="50"/>
  <c r="M10" i="15" s="1"/>
  <c r="Q18" i="48"/>
  <c r="K12" i="15"/>
  <c r="L18" i="40"/>
  <c r="L12" i="40"/>
  <c r="L10" i="38"/>
  <c r="J10" i="38"/>
  <c r="J14" i="38"/>
  <c r="L14" i="38"/>
  <c r="L10" i="36"/>
  <c r="J10" i="36"/>
  <c r="J14" i="36"/>
  <c r="L14" i="36"/>
  <c r="AM9" i="33"/>
  <c r="H10" i="34" s="1"/>
  <c r="AK9" i="33"/>
  <c r="Z5" i="14"/>
  <c r="Y6" i="14"/>
  <c r="AC12" i="15" l="1"/>
  <c r="AC13" i="15"/>
  <c r="AG12" i="15"/>
  <c r="AG13" i="15"/>
  <c r="AE12" i="15"/>
  <c r="AE13" i="15"/>
  <c r="S18" i="54"/>
  <c r="S18" i="52"/>
  <c r="S12" i="52"/>
  <c r="S18" i="50"/>
  <c r="S12" i="50"/>
  <c r="S18" i="48"/>
  <c r="AN14" i="33"/>
  <c r="F15" i="34"/>
  <c r="F16" i="34"/>
  <c r="AN16" i="33"/>
  <c r="S10" i="48"/>
  <c r="K10" i="15" s="1"/>
  <c r="Q12" i="48"/>
  <c r="K12" i="46"/>
  <c r="M12" i="46"/>
  <c r="K15" i="40"/>
  <c r="M15" i="40" s="1"/>
  <c r="Q15" i="40" s="1"/>
  <c r="S15" i="40" s="1"/>
  <c r="K16" i="40"/>
  <c r="M16" i="40" s="1"/>
  <c r="Q16" i="40" s="1"/>
  <c r="S16" i="40" s="1"/>
  <c r="G15" i="38"/>
  <c r="I15" i="38"/>
  <c r="G16" i="38"/>
  <c r="I16" i="38"/>
  <c r="G15" i="36"/>
  <c r="I15" i="36"/>
  <c r="G16" i="36"/>
  <c r="I16" i="36"/>
  <c r="AN12" i="33"/>
  <c r="S10" i="54"/>
  <c r="Q10" i="15" s="1"/>
  <c r="K12" i="42"/>
  <c r="K18" i="46"/>
  <c r="K18" i="44"/>
  <c r="K12" i="44"/>
  <c r="M12" i="44"/>
  <c r="K18" i="42"/>
  <c r="K14" i="40"/>
  <c r="M14" i="40" s="1"/>
  <c r="G12" i="40"/>
  <c r="G18" i="40"/>
  <c r="K10" i="40"/>
  <c r="M10" i="40" s="1"/>
  <c r="I18" i="40"/>
  <c r="I12" i="40"/>
  <c r="G10" i="38"/>
  <c r="G14" i="38"/>
  <c r="I10" i="38"/>
  <c r="I14" i="38"/>
  <c r="I10" i="36"/>
  <c r="I14" i="36"/>
  <c r="G14" i="36"/>
  <c r="G10" i="36"/>
  <c r="H14" i="34"/>
  <c r="Q10" i="46"/>
  <c r="Q12" i="46" s="1"/>
  <c r="Q14" i="46"/>
  <c r="M18" i="46"/>
  <c r="Q14" i="44"/>
  <c r="M18" i="44"/>
  <c r="Q10" i="44"/>
  <c r="Q12" i="44" s="1"/>
  <c r="Q14" i="42"/>
  <c r="M18" i="42"/>
  <c r="Q10" i="42"/>
  <c r="M12" i="42"/>
  <c r="L18" i="38"/>
  <c r="L12" i="38"/>
  <c r="L18" i="36"/>
  <c r="L12" i="36"/>
  <c r="F14" i="34"/>
  <c r="F10" i="34"/>
  <c r="AN9" i="33"/>
  <c r="AA5" i="14"/>
  <c r="Z6" i="14"/>
  <c r="AA12" i="15" l="1"/>
  <c r="AA13" i="15"/>
  <c r="O17" i="15"/>
  <c r="S12" i="54"/>
  <c r="Q17" i="15"/>
  <c r="M17" i="15"/>
  <c r="S12" i="48"/>
  <c r="J15" i="34"/>
  <c r="L15" i="34"/>
  <c r="L16" i="34"/>
  <c r="J16" i="34"/>
  <c r="K15" i="38"/>
  <c r="M15" i="38" s="1"/>
  <c r="Q15" i="38" s="1"/>
  <c r="S15" i="38" s="1"/>
  <c r="K16" i="38"/>
  <c r="M16" i="38" s="1"/>
  <c r="Q16" i="38" s="1"/>
  <c r="S16" i="38" s="1"/>
  <c r="K15" i="36"/>
  <c r="M15" i="36" s="1"/>
  <c r="Q15" i="36" s="1"/>
  <c r="S15" i="36" s="1"/>
  <c r="K16" i="36"/>
  <c r="M16" i="36" s="1"/>
  <c r="Q16" i="36" s="1"/>
  <c r="S16" i="36" s="1"/>
  <c r="K10" i="36"/>
  <c r="M10" i="36" s="1"/>
  <c r="G12" i="38"/>
  <c r="K12" i="40"/>
  <c r="K18" i="40"/>
  <c r="K10" i="38"/>
  <c r="M10" i="38" s="1"/>
  <c r="K14" i="38"/>
  <c r="M14" i="38" s="1"/>
  <c r="I18" i="38"/>
  <c r="G18" i="38"/>
  <c r="I12" i="38"/>
  <c r="G12" i="36"/>
  <c r="K14" i="36"/>
  <c r="M14" i="36" s="1"/>
  <c r="I12" i="36"/>
  <c r="G18" i="36"/>
  <c r="I18" i="36"/>
  <c r="U2" i="34"/>
  <c r="Q18" i="46"/>
  <c r="S14" i="46"/>
  <c r="S10" i="46"/>
  <c r="S10" i="44"/>
  <c r="AE10" i="15" s="1"/>
  <c r="Q18" i="44"/>
  <c r="S14" i="44"/>
  <c r="AE11" i="15" s="1"/>
  <c r="Q12" i="42"/>
  <c r="S10" i="42"/>
  <c r="AC10" i="15" s="1"/>
  <c r="Q18" i="42"/>
  <c r="S14" i="42"/>
  <c r="AC11" i="15" s="1"/>
  <c r="Q14" i="40"/>
  <c r="M18" i="40"/>
  <c r="Q10" i="40"/>
  <c r="M12" i="40"/>
  <c r="L14" i="34"/>
  <c r="J14" i="34"/>
  <c r="J10" i="34"/>
  <c r="L10" i="34"/>
  <c r="AB5" i="14"/>
  <c r="AA6" i="14"/>
  <c r="W12" i="15" l="1"/>
  <c r="W13" i="15"/>
  <c r="Y12" i="15"/>
  <c r="Y13" i="15"/>
  <c r="S18" i="46"/>
  <c r="AG11" i="15"/>
  <c r="S12" i="46"/>
  <c r="AG10" i="15"/>
  <c r="S18" i="44"/>
  <c r="S12" i="44"/>
  <c r="S18" i="42"/>
  <c r="S12" i="42"/>
  <c r="K17" i="15"/>
  <c r="G15" i="34"/>
  <c r="I15" i="34"/>
  <c r="G16" i="34"/>
  <c r="I16" i="34"/>
  <c r="I10" i="34"/>
  <c r="K12" i="38"/>
  <c r="I14" i="34"/>
  <c r="G10" i="34"/>
  <c r="G14" i="34"/>
  <c r="K18" i="38"/>
  <c r="K18" i="36"/>
  <c r="K12" i="36"/>
  <c r="L12" i="34"/>
  <c r="L18" i="34"/>
  <c r="Q12" i="40"/>
  <c r="S10" i="40"/>
  <c r="AA10" i="15" s="1"/>
  <c r="Q18" i="40"/>
  <c r="S14" i="40"/>
  <c r="AA11" i="15" s="1"/>
  <c r="Q14" i="38"/>
  <c r="M18" i="38"/>
  <c r="Q10" i="38"/>
  <c r="M12" i="38"/>
  <c r="Q14" i="36"/>
  <c r="M18" i="36"/>
  <c r="Q10" i="36"/>
  <c r="M12" i="36"/>
  <c r="AB6" i="14"/>
  <c r="AC5" i="14"/>
  <c r="AG17" i="15" l="1"/>
  <c r="AE17" i="15"/>
  <c r="AC17" i="15"/>
  <c r="S18" i="40"/>
  <c r="S12" i="40"/>
  <c r="K15" i="34"/>
  <c r="M15" i="34" s="1"/>
  <c r="Q15" i="34" s="1"/>
  <c r="S15" i="34" s="1"/>
  <c r="K10" i="34"/>
  <c r="M10" i="34" s="1"/>
  <c r="K16" i="34"/>
  <c r="M16" i="34" s="1"/>
  <c r="Q16" i="34" s="1"/>
  <c r="S16" i="34" s="1"/>
  <c r="G12" i="34"/>
  <c r="K14" i="34"/>
  <c r="M14" i="34" s="1"/>
  <c r="G18" i="34"/>
  <c r="I18" i="34"/>
  <c r="I12" i="34"/>
  <c r="Q12" i="38"/>
  <c r="S10" i="38"/>
  <c r="Y10" i="15" s="1"/>
  <c r="Q18" i="38"/>
  <c r="S14" i="38"/>
  <c r="Y11" i="15" s="1"/>
  <c r="Q12" i="36"/>
  <c r="S10" i="36"/>
  <c r="W10" i="15" s="1"/>
  <c r="Q18" i="36"/>
  <c r="S14" i="36"/>
  <c r="W11" i="15" s="1"/>
  <c r="AC6" i="14"/>
  <c r="AD5" i="14"/>
  <c r="U12" i="15" l="1"/>
  <c r="U13" i="15"/>
  <c r="AA17" i="15"/>
  <c r="S18" i="38"/>
  <c r="S12" i="38"/>
  <c r="S18" i="36"/>
  <c r="S12" i="36"/>
  <c r="K12" i="34"/>
  <c r="M12" i="34"/>
  <c r="M18" i="34"/>
  <c r="K18" i="34"/>
  <c r="Q14" i="34"/>
  <c r="S14" i="34" s="1"/>
  <c r="U11" i="15" s="1"/>
  <c r="Q10" i="34"/>
  <c r="Q12" i="34" s="1"/>
  <c r="AD6" i="14"/>
  <c r="AE5" i="14"/>
  <c r="Y17" i="15" l="1"/>
  <c r="S18" i="34"/>
  <c r="Q18" i="34"/>
  <c r="S10" i="34"/>
  <c r="AF5" i="14"/>
  <c r="AE6" i="14"/>
  <c r="W17" i="15" l="1"/>
  <c r="U10" i="15"/>
  <c r="S12" i="34"/>
  <c r="AF6" i="14"/>
  <c r="AG5" i="14"/>
  <c r="AH5" i="14" l="1"/>
  <c r="AG6" i="14"/>
  <c r="AI5" i="14" l="1"/>
  <c r="AH6" i="14"/>
  <c r="AJ5" i="14" l="1"/>
  <c r="AJ6" i="14" s="1"/>
  <c r="AI6" i="14"/>
  <c r="AM16" i="14" l="1"/>
  <c r="H16" i="16" s="1"/>
  <c r="AK16" i="14"/>
  <c r="AK14" i="14"/>
  <c r="AM14" i="14"/>
  <c r="H15" i="16" s="1"/>
  <c r="AM12" i="14"/>
  <c r="AK12" i="14"/>
  <c r="AK9" i="14"/>
  <c r="F10" i="16" s="1"/>
  <c r="AM9" i="14"/>
  <c r="H10" i="16" s="1"/>
  <c r="F16" i="16" l="1"/>
  <c r="AN16" i="14"/>
  <c r="AN14" i="14"/>
  <c r="F15" i="16"/>
  <c r="AN12" i="14"/>
  <c r="H14" i="16"/>
  <c r="F14" i="16"/>
  <c r="L14" i="16" s="1"/>
  <c r="L10" i="16"/>
  <c r="J10" i="16"/>
  <c r="AN9" i="14"/>
  <c r="J15" i="16" l="1"/>
  <c r="L15" i="16"/>
  <c r="L16" i="16"/>
  <c r="J16" i="16"/>
  <c r="L12" i="16"/>
  <c r="J14" i="16"/>
  <c r="U2" i="16"/>
  <c r="I15" i="16" l="1"/>
  <c r="G15" i="16"/>
  <c r="G16" i="16"/>
  <c r="I16" i="16"/>
  <c r="L18" i="16"/>
  <c r="I10" i="16"/>
  <c r="G10" i="16"/>
  <c r="I14" i="16"/>
  <c r="G14" i="16"/>
  <c r="K15" i="16" l="1"/>
  <c r="M15" i="16" s="1"/>
  <c r="Q15" i="16" s="1"/>
  <c r="S15" i="16" s="1"/>
  <c r="K16" i="16"/>
  <c r="M16" i="16" s="1"/>
  <c r="Q16" i="16" s="1"/>
  <c r="S16" i="16" s="1"/>
  <c r="S13" i="15" s="1"/>
  <c r="AH13" i="15" s="1"/>
  <c r="I18" i="16"/>
  <c r="G12" i="16"/>
  <c r="K10" i="16"/>
  <c r="I12" i="16"/>
  <c r="K14" i="16"/>
  <c r="G18" i="16"/>
  <c r="S12" i="15" l="1"/>
  <c r="AH12" i="15" s="1"/>
  <c r="M10" i="16"/>
  <c r="K12" i="16"/>
  <c r="M14" i="16"/>
  <c r="K18" i="16"/>
  <c r="M18" i="16" l="1"/>
  <c r="Q14" i="16"/>
  <c r="M12" i="16"/>
  <c r="Q10" i="16"/>
  <c r="S10" i="16" l="1"/>
  <c r="Q12" i="16"/>
  <c r="Q18" i="16"/>
  <c r="S14" i="16"/>
  <c r="S11" i="15" s="1"/>
  <c r="U17" i="15" l="1"/>
  <c r="S10" i="15"/>
  <c r="S18" i="16"/>
  <c r="AH11" i="15"/>
  <c r="S12" i="16"/>
  <c r="S17" i="15" l="1"/>
  <c r="AH17" i="15" s="1"/>
  <c r="AH10" i="15"/>
</calcChain>
</file>

<file path=xl/sharedStrings.xml><?xml version="1.0" encoding="utf-8"?>
<sst xmlns="http://schemas.openxmlformats.org/spreadsheetml/2006/main" count="1060" uniqueCount="107">
  <si>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</si>
  <si>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</si>
  <si>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</si>
  <si>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</si>
  <si>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</si>
  <si>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</si>
  <si>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</si>
  <si>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</si>
  <si>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</si>
  <si>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</si>
  <si>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</si>
  <si>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</si>
  <si>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</si>
  <si>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</si>
  <si>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</si>
  <si>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</si>
  <si>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</si>
  <si>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</si>
  <si>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</si>
  <si>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</si>
  <si>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</si>
  <si>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</si>
  <si>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</si>
  <si>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</si>
  <si>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</si>
  <si>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</si>
  <si>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</si>
  <si>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</si>
  <si>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</si>
  <si>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</si>
  <si>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</si>
  <si>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</si>
  <si>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</si>
  <si>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</si>
  <si>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</si>
  <si>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</si>
  <si>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</si>
  <si>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</si>
  <si>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</si>
  <si>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</si>
  <si>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</si>
  <si>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</si>
  <si>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</si>
  <si>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</si>
  <si>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</si>
  <si>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</si>
  <si>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</si>
  <si>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</si>
  <si>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</si>
  <si>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</si>
  <si>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</si>
  <si>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</si>
  <si>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</si>
  <si>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</si>
  <si>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</si>
  <si>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</si>
  <si>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</si>
  <si>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</si>
  <si>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</si>
  <si>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</si>
  <si>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</si>
  <si>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</si>
  <si>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</si>
  <si>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</si>
  <si>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</si>
  <si>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</si>
  <si>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</si>
  <si>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</si>
  <si>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</si>
  <si>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</si>
  <si>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</si>
  <si>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</si>
  <si>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</si>
  <si>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</si>
  <si>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</si>
  <si>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CN01</t>
  </si>
  <si>
    <t>CN02</t>
  </si>
  <si>
    <t>CN03</t>
  </si>
  <si>
    <t>Thợ in</t>
  </si>
  <si>
    <t>BP: Quản lý :</t>
  </si>
  <si>
    <t>BP: Quản lý &amp; CN Trực Tiếp SX</t>
  </si>
  <si>
    <t>BP: Quản lý:</t>
  </si>
  <si>
    <t>Công Đoạn 1</t>
  </si>
  <si>
    <t>Lê Văn Hữu</t>
  </si>
  <si>
    <t>Công Đoạn 2</t>
  </si>
  <si>
    <t>Thông tin cá nhân</t>
  </si>
  <si>
    <t>MST</t>
  </si>
  <si>
    <t>CMND</t>
  </si>
  <si>
    <t>Lê Kim Ngọc Thảo</t>
  </si>
  <si>
    <t>Văn Phòng</t>
  </si>
  <si>
    <t>8028334832</t>
  </si>
  <si>
    <t>024404476</t>
  </si>
  <si>
    <t>8267360022</t>
  </si>
  <si>
    <t>260747892</t>
  </si>
  <si>
    <t>TL</t>
  </si>
  <si>
    <t>BH</t>
  </si>
  <si>
    <t>Tổng TL</t>
  </si>
  <si>
    <t>TQL-BHXH</t>
  </si>
  <si>
    <t>Công Ty TNHH Sản Xuất Thương Mại Kim Dung Phát</t>
  </si>
  <si>
    <t>Địa chỉ: 1A227/1 ấp 1 - Xã Phạm Văn Hai - Huyện Bình Chánh - TP Hồ Chí Minh</t>
  </si>
  <si>
    <t>MST:0310686815 (Ngày DKT ban đầu: 14/03/2011)</t>
  </si>
  <si>
    <t>8335363169</t>
  </si>
  <si>
    <t>334485020</t>
  </si>
  <si>
    <t>Bùi Trường Giang</t>
  </si>
  <si>
    <t>Phan Thị Sương</t>
  </si>
  <si>
    <t>8287423263</t>
  </si>
  <si>
    <t>301022774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</si>
</sst>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4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8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18"/>
  <sheetViews>
    <sheetView tabSelected="1" workbookViewId="0">
      <selection activeCell="B11" sqref="B11:B13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20" t="s">
        <v>98</v>
      </c>
      <c r="E1" s="40"/>
      <c r="F1" s="24"/>
      <c r="G1" s="24"/>
      <c r="H1" s="24"/>
      <c r="AI1" s="40"/>
      <c r="AJ1" s="40"/>
      <c r="AK1" s="40"/>
      <c r="AL1" s="40"/>
    </row>
    <row r="2" spans="1:38" s="2" customFormat="1">
      <c r="A2" s="221" t="s">
        <v>99</v>
      </c>
      <c r="E2" s="40"/>
      <c r="F2" s="24"/>
      <c r="G2" s="24"/>
      <c r="H2" s="24"/>
      <c r="AI2" s="40"/>
      <c r="AJ2" s="40"/>
      <c r="AK2" s="40"/>
      <c r="AL2" s="40"/>
    </row>
    <row r="3" spans="1:38" s="2" customFormat="1">
      <c r="A3" s="219"/>
      <c r="B3" s="96"/>
      <c r="E3" s="40"/>
      <c r="F3" s="24"/>
      <c r="G3" s="24"/>
      <c r="H3" s="24"/>
      <c r="AI3" s="40"/>
      <c r="AJ3" s="40"/>
      <c r="AK3" s="40"/>
      <c r="AL3" s="40"/>
    </row>
    <row r="4" spans="1:38" s="2" customFormat="1" ht="23.25" customHeight="1"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 t="s">
        <v>32</v>
      </c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40"/>
      <c r="AL4" s="40"/>
    </row>
    <row r="5" spans="1:38" s="2" customFormat="1" ht="23.25" customHeight="1">
      <c r="B5" s="214"/>
      <c r="C5" s="214"/>
      <c r="D5" s="214"/>
      <c r="E5" s="214"/>
      <c r="F5" s="214"/>
      <c r="G5" s="214"/>
      <c r="H5" s="214"/>
      <c r="I5" s="214"/>
      <c r="J5" s="214"/>
      <c r="K5" s="214"/>
      <c r="L5" s="214"/>
      <c r="M5" s="214" t="s">
        <v>100</v>
      </c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40"/>
      <c r="AL5" s="40"/>
    </row>
    <row r="6" spans="1:38" s="114" customFormat="1" ht="19.5" customHeight="1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3"/>
      <c r="AL6" s="113"/>
    </row>
    <row r="7" spans="1:38" s="1" customFormat="1" ht="20.25" customHeight="1">
      <c r="A7" s="233" t="s">
        <v>19</v>
      </c>
      <c r="B7" s="233" t="s">
        <v>3</v>
      </c>
      <c r="C7" s="233" t="s">
        <v>1</v>
      </c>
      <c r="D7" s="233" t="s">
        <v>2</v>
      </c>
      <c r="E7" s="236" t="s">
        <v>49</v>
      </c>
      <c r="F7" s="236"/>
      <c r="G7" s="225" t="s">
        <v>85</v>
      </c>
      <c r="H7" s="237"/>
      <c r="I7" s="226"/>
      <c r="J7" s="225" t="s">
        <v>54</v>
      </c>
      <c r="K7" s="226"/>
      <c r="L7" s="225" t="s">
        <v>55</v>
      </c>
      <c r="M7" s="226"/>
      <c r="N7" s="225" t="s">
        <v>56</v>
      </c>
      <c r="O7" s="226"/>
      <c r="P7" s="225" t="s">
        <v>57</v>
      </c>
      <c r="Q7" s="226"/>
      <c r="R7" s="225" t="s">
        <v>58</v>
      </c>
      <c r="S7" s="226"/>
      <c r="T7" s="225" t="s">
        <v>59</v>
      </c>
      <c r="U7" s="226"/>
      <c r="V7" s="225" t="s">
        <v>60</v>
      </c>
      <c r="W7" s="226"/>
      <c r="X7" s="225" t="s">
        <v>61</v>
      </c>
      <c r="Y7" s="226"/>
      <c r="Z7" s="225" t="s">
        <v>62</v>
      </c>
      <c r="AA7" s="226"/>
      <c r="AB7" s="225" t="s">
        <v>63</v>
      </c>
      <c r="AC7" s="226"/>
      <c r="AD7" s="225" t="s">
        <v>64</v>
      </c>
      <c r="AE7" s="226"/>
      <c r="AF7" s="225" t="s">
        <v>65</v>
      </c>
      <c r="AG7" s="226"/>
      <c r="AH7" s="234" t="s">
        <v>96</v>
      </c>
      <c r="AI7" s="234" t="s">
        <v>22</v>
      </c>
      <c r="AJ7" s="234" t="s">
        <v>11</v>
      </c>
      <c r="AK7" s="94"/>
      <c r="AL7" s="94"/>
    </row>
    <row r="8" spans="1:38" s="1" customFormat="1" ht="20.25" customHeight="1">
      <c r="A8" s="233"/>
      <c r="B8" s="233"/>
      <c r="C8" s="233"/>
      <c r="D8" s="233"/>
      <c r="E8" s="158" t="s">
        <v>72</v>
      </c>
      <c r="F8" s="158">
        <v>2015</v>
      </c>
      <c r="G8" s="215" t="s">
        <v>86</v>
      </c>
      <c r="H8" s="215" t="s">
        <v>87</v>
      </c>
      <c r="I8" s="215"/>
      <c r="J8" s="157" t="s">
        <v>95</v>
      </c>
      <c r="K8" s="215" t="s">
        <v>94</v>
      </c>
      <c r="L8" s="215" t="s">
        <v>95</v>
      </c>
      <c r="M8" s="215" t="s">
        <v>94</v>
      </c>
      <c r="N8" s="215" t="s">
        <v>95</v>
      </c>
      <c r="O8" s="215" t="s">
        <v>94</v>
      </c>
      <c r="P8" s="215" t="s">
        <v>95</v>
      </c>
      <c r="Q8" s="215" t="s">
        <v>94</v>
      </c>
      <c r="R8" s="215" t="s">
        <v>95</v>
      </c>
      <c r="S8" s="215" t="s">
        <v>94</v>
      </c>
      <c r="T8" s="215" t="s">
        <v>95</v>
      </c>
      <c r="U8" s="215" t="s">
        <v>94</v>
      </c>
      <c r="V8" s="215" t="s">
        <v>95</v>
      </c>
      <c r="W8" s="215" t="s">
        <v>94</v>
      </c>
      <c r="X8" s="215" t="s">
        <v>95</v>
      </c>
      <c r="Y8" s="215" t="s">
        <v>94</v>
      </c>
      <c r="Z8" s="215" t="s">
        <v>95</v>
      </c>
      <c r="AA8" s="215" t="s">
        <v>94</v>
      </c>
      <c r="AB8" s="215" t="s">
        <v>95</v>
      </c>
      <c r="AC8" s="215" t="s">
        <v>94</v>
      </c>
      <c r="AD8" s="215" t="s">
        <v>95</v>
      </c>
      <c r="AE8" s="215" t="s">
        <v>94</v>
      </c>
      <c r="AF8" s="215" t="s">
        <v>95</v>
      </c>
      <c r="AG8" s="215" t="s">
        <v>94</v>
      </c>
      <c r="AH8" s="235"/>
      <c r="AI8" s="235"/>
      <c r="AJ8" s="235"/>
      <c r="AK8" s="94"/>
      <c r="AL8" s="94"/>
    </row>
    <row r="9" spans="1:38" s="2" customFormat="1" ht="14.25" customHeight="1">
      <c r="A9" s="116">
        <v>1</v>
      </c>
      <c r="B9" s="116">
        <v>1</v>
      </c>
      <c r="C9" s="116">
        <v>2</v>
      </c>
      <c r="D9" s="116">
        <v>3</v>
      </c>
      <c r="E9" s="116">
        <v>4</v>
      </c>
      <c r="F9" s="116">
        <v>5</v>
      </c>
      <c r="G9" s="116">
        <v>6</v>
      </c>
      <c r="H9" s="116">
        <v>7</v>
      </c>
      <c r="I9" s="116">
        <v>8</v>
      </c>
      <c r="J9" s="116">
        <v>9</v>
      </c>
      <c r="K9" s="116">
        <v>10</v>
      </c>
      <c r="L9" s="116">
        <v>11</v>
      </c>
      <c r="M9" s="116">
        <v>12</v>
      </c>
      <c r="N9" s="116">
        <v>13</v>
      </c>
      <c r="O9" s="116">
        <v>14</v>
      </c>
      <c r="P9" s="116">
        <v>15</v>
      </c>
      <c r="Q9" s="116">
        <v>16</v>
      </c>
      <c r="R9" s="116">
        <v>17</v>
      </c>
      <c r="S9" s="116">
        <v>18</v>
      </c>
      <c r="T9" s="116">
        <v>19</v>
      </c>
      <c r="U9" s="116">
        <v>20</v>
      </c>
      <c r="V9" s="116">
        <v>21</v>
      </c>
      <c r="W9" s="116">
        <v>22</v>
      </c>
      <c r="X9" s="116">
        <v>23</v>
      </c>
      <c r="Y9" s="116">
        <v>24</v>
      </c>
      <c r="Z9" s="116">
        <v>25</v>
      </c>
      <c r="AA9" s="116">
        <v>26</v>
      </c>
      <c r="AB9" s="116">
        <v>27</v>
      </c>
      <c r="AC9" s="116">
        <v>28</v>
      </c>
      <c r="AD9" s="116">
        <v>29</v>
      </c>
      <c r="AE9" s="116">
        <v>30</v>
      </c>
      <c r="AF9" s="116">
        <v>31</v>
      </c>
      <c r="AG9" s="116">
        <v>32</v>
      </c>
      <c r="AH9" s="116">
        <v>33</v>
      </c>
      <c r="AI9" s="116">
        <v>34</v>
      </c>
      <c r="AJ9" s="116">
        <v>35</v>
      </c>
      <c r="AK9" s="40"/>
      <c r="AL9" s="40"/>
    </row>
    <row r="10" spans="1:38" s="146" customFormat="1" ht="21.75" customHeight="1">
      <c r="A10" s="143">
        <f>IF(B10&lt;&gt;"",ROW()-9,"")</f>
        <v>1</v>
      </c>
      <c r="B10" s="143" t="s">
        <v>74</v>
      </c>
      <c r="C10" s="147" t="s">
        <v>88</v>
      </c>
      <c r="D10" s="143" t="s">
        <v>89</v>
      </c>
      <c r="E10" s="176">
        <v>5000000</v>
      </c>
      <c r="F10" s="176">
        <v>5000000</v>
      </c>
      <c r="G10" s="216" t="s">
        <v>90</v>
      </c>
      <c r="H10" s="217" t="s">
        <v>91</v>
      </c>
      <c r="I10" s="139"/>
      <c r="J10" s="139"/>
      <c r="K10" s="139">
        <f t="shared" ref="K10:K14" si="0">IF(ISNA(VLOOKUP($B10,DS_01,18,0)),0,VLOOKUP($B10,DS_01,18,0))</f>
        <v>5375000</v>
      </c>
      <c r="L10" s="139"/>
      <c r="M10" s="139">
        <f t="shared" ref="M10:M14" si="1">IF(ISNA(VLOOKUP($B10,DS_02,18,0)),0,VLOOKUP($B10,DS_02,18,0))</f>
        <v>5360000</v>
      </c>
      <c r="N10" s="139"/>
      <c r="O10" s="139">
        <f t="shared" ref="O10:O14" si="2">IF(ISNA(VLOOKUP($B10,DS_03,18,0)),0,VLOOKUP($B10,DS_03,18,0))</f>
        <v>5405000</v>
      </c>
      <c r="P10" s="139"/>
      <c r="Q10" s="139">
        <f t="shared" ref="Q10:Q14" si="3">IF(ISNA(VLOOKUP($B10,DS_04,18,0)),0,VLOOKUP($B10,DS_04,18,0))</f>
        <v>5375000</v>
      </c>
      <c r="R10" s="139"/>
      <c r="S10" s="139">
        <f t="shared" ref="S10:S14" si="4">IF(ISNA(VLOOKUP($B10,DS_05,18,0)),0,VLOOKUP($B10,DS_05,18,0))</f>
        <v>5375000</v>
      </c>
      <c r="T10" s="139"/>
      <c r="U10" s="139">
        <f t="shared" ref="U10:U14" si="5">IF(ISNA(VLOOKUP($B10,DS_06,18,0)),0,VLOOKUP($B10,DS_06,18,0))</f>
        <v>5390000</v>
      </c>
      <c r="V10" s="139"/>
      <c r="W10" s="139">
        <f t="shared" ref="W10:W14" si="6">IF(ISNA(VLOOKUP($B10,DS_07,18,0)),0,VLOOKUP($B10,DS_07,18,0))</f>
        <v>5390000</v>
      </c>
      <c r="X10" s="139"/>
      <c r="Y10" s="139">
        <f t="shared" ref="Y10:Y14" si="7">IF(ISNA(VLOOKUP($B10,DS_08,18,0)),0,VLOOKUP($B10,DS_08,18,0))</f>
        <v>5405000</v>
      </c>
      <c r="Z10" s="139"/>
      <c r="AA10" s="139">
        <f t="shared" ref="AA10:AA14" si="8">IF(ISNA(VLOOKUP($B10,DS_09,18,0)),0,VLOOKUP($B10,DS_09,18,0))</f>
        <v>5375000</v>
      </c>
      <c r="AB10" s="139"/>
      <c r="AC10" s="139">
        <f t="shared" ref="AC10:AC14" si="9">IF(ISNA(VLOOKUP($B10,DS_10,18,0)),0,VLOOKUP($B10,DS_10,18,0))</f>
        <v>5390000</v>
      </c>
      <c r="AD10" s="139"/>
      <c r="AE10" s="139">
        <f t="shared" ref="AE10:AE14" si="10">IF(ISNA(VLOOKUP($B10,DS_11,18,0)),0,VLOOKUP($B10,DS_11,18,0))</f>
        <v>5390000</v>
      </c>
      <c r="AF10" s="139"/>
      <c r="AG10" s="139">
        <f t="shared" ref="AG10:AG14" si="11">IF(ISNA(VLOOKUP($B10,DS_12,18,0)),0,VLOOKUP($B10,DS_12,18,0))</f>
        <v>5390000</v>
      </c>
      <c r="AH10" s="139">
        <f t="shared" ref="AH10:AH13" si="12">K10+M10+O10+Q10+S10+U10+W10+Y10+AA10+AC10+AE10+AG10</f>
        <v>64620000</v>
      </c>
      <c r="AI10" s="139"/>
      <c r="AJ10" s="139"/>
      <c r="AK10" s="144"/>
      <c r="AL10" s="145"/>
    </row>
    <row r="11" spans="1:38" s="155" customFormat="1" ht="21.75" customHeight="1">
      <c r="A11" s="143">
        <f t="shared" ref="A11:A12" si="13">IF(B11&lt;&gt;"",ROW()-9,"")</f>
        <v>2</v>
      </c>
      <c r="B11" s="150" t="s">
        <v>75</v>
      </c>
      <c r="C11" s="151" t="s">
        <v>103</v>
      </c>
      <c r="D11" s="149" t="s">
        <v>78</v>
      </c>
      <c r="E11" s="152">
        <v>5000000</v>
      </c>
      <c r="F11" s="152">
        <v>5000000</v>
      </c>
      <c r="G11" s="218" t="s">
        <v>101</v>
      </c>
      <c r="H11" s="218" t="s">
        <v>102</v>
      </c>
      <c r="I11" s="152"/>
      <c r="J11" s="152"/>
      <c r="K11" s="139">
        <f t="shared" si="0"/>
        <v>5375000</v>
      </c>
      <c r="L11" s="152"/>
      <c r="M11" s="139">
        <f t="shared" si="1"/>
        <v>5360000</v>
      </c>
      <c r="N11" s="152"/>
      <c r="O11" s="139">
        <f t="shared" si="2"/>
        <v>5405000</v>
      </c>
      <c r="P11" s="152"/>
      <c r="Q11" s="139">
        <f t="shared" si="3"/>
        <v>5375000</v>
      </c>
      <c r="R11" s="152"/>
      <c r="S11" s="139">
        <f t="shared" si="4"/>
        <v>5375000</v>
      </c>
      <c r="T11" s="152"/>
      <c r="U11" s="139">
        <f t="shared" si="5"/>
        <v>5390000</v>
      </c>
      <c r="V11" s="152"/>
      <c r="W11" s="139">
        <f t="shared" si="6"/>
        <v>5390000</v>
      </c>
      <c r="X11" s="152"/>
      <c r="Y11" s="139">
        <f t="shared" si="7"/>
        <v>5405000</v>
      </c>
      <c r="Z11" s="152"/>
      <c r="AA11" s="139">
        <f t="shared" si="8"/>
        <v>5375000</v>
      </c>
      <c r="AB11" s="152"/>
      <c r="AC11" s="139">
        <f t="shared" si="9"/>
        <v>5390000</v>
      </c>
      <c r="AD11" s="152"/>
      <c r="AE11" s="139">
        <f t="shared" si="10"/>
        <v>5390000</v>
      </c>
      <c r="AF11" s="152"/>
      <c r="AG11" s="139">
        <f t="shared" si="11"/>
        <v>5390000</v>
      </c>
      <c r="AH11" s="139">
        <f t="shared" si="12"/>
        <v>64620000</v>
      </c>
      <c r="AI11" s="152"/>
      <c r="AJ11" s="152"/>
      <c r="AK11" s="153"/>
      <c r="AL11" s="154"/>
    </row>
    <row r="12" spans="1:38" s="155" customFormat="1" ht="21.75" customHeight="1">
      <c r="A12" s="143">
        <f t="shared" si="13"/>
        <v>3</v>
      </c>
      <c r="B12" s="150" t="s">
        <v>76</v>
      </c>
      <c r="C12" s="151" t="s">
        <v>83</v>
      </c>
      <c r="D12" s="149" t="s">
        <v>84</v>
      </c>
      <c r="E12" s="152">
        <v>5000000</v>
      </c>
      <c r="F12" s="152">
        <v>5000000</v>
      </c>
      <c r="G12" s="218" t="s">
        <v>92</v>
      </c>
      <c r="H12" s="218" t="s">
        <v>93</v>
      </c>
      <c r="I12" s="152"/>
      <c r="J12" s="152"/>
      <c r="K12" s="139">
        <f t="shared" si="0"/>
        <v>5375000</v>
      </c>
      <c r="L12" s="152"/>
      <c r="M12" s="139">
        <f t="shared" si="1"/>
        <v>5360000</v>
      </c>
      <c r="N12" s="152"/>
      <c r="O12" s="139">
        <f t="shared" si="2"/>
        <v>5405000</v>
      </c>
      <c r="P12" s="152"/>
      <c r="Q12" s="139">
        <f t="shared" si="3"/>
        <v>5375000</v>
      </c>
      <c r="R12" s="152"/>
      <c r="S12" s="139">
        <f t="shared" si="4"/>
        <v>5375000</v>
      </c>
      <c r="T12" s="152"/>
      <c r="U12" s="139">
        <f t="shared" si="5"/>
        <v>5390000</v>
      </c>
      <c r="V12" s="152"/>
      <c r="W12" s="139">
        <f t="shared" si="6"/>
        <v>5390000</v>
      </c>
      <c r="X12" s="152"/>
      <c r="Y12" s="139">
        <f t="shared" si="7"/>
        <v>5405000</v>
      </c>
      <c r="Z12" s="152"/>
      <c r="AA12" s="139">
        <f t="shared" si="8"/>
        <v>5375000</v>
      </c>
      <c r="AB12" s="152"/>
      <c r="AC12" s="139">
        <f t="shared" si="9"/>
        <v>5390000</v>
      </c>
      <c r="AD12" s="152"/>
      <c r="AE12" s="139">
        <f t="shared" si="10"/>
        <v>5390000</v>
      </c>
      <c r="AF12" s="152"/>
      <c r="AG12" s="139">
        <f t="shared" si="11"/>
        <v>5390000</v>
      </c>
      <c r="AH12" s="139">
        <f t="shared" si="12"/>
        <v>64620000</v>
      </c>
      <c r="AI12" s="152"/>
      <c r="AJ12" s="152"/>
      <c r="AK12" s="153"/>
      <c r="AL12" s="154"/>
    </row>
    <row r="13" spans="1:38" s="2" customFormat="1" ht="21.75" customHeight="1">
      <c r="A13" s="149">
        <f t="shared" ref="A13:A14" si="14">IF(B13&lt;&gt;"",ROW()-10,"")</f>
        <v>3</v>
      </c>
      <c r="B13" s="150" t="s">
        <v>77</v>
      </c>
      <c r="C13" s="283" t="s">
        <v>104</v>
      </c>
      <c r="D13" s="150" t="s">
        <v>82</v>
      </c>
      <c r="E13" s="152">
        <v>3000000</v>
      </c>
      <c r="F13" s="152">
        <v>3000000</v>
      </c>
      <c r="G13" s="218" t="s">
        <v>105</v>
      </c>
      <c r="H13" s="218" t="s">
        <v>106</v>
      </c>
      <c r="I13" s="17"/>
      <c r="J13" s="17"/>
      <c r="K13" s="139">
        <f t="shared" si="0"/>
        <v>3375000</v>
      </c>
      <c r="L13" s="17"/>
      <c r="M13" s="139">
        <f t="shared" si="1"/>
        <v>3360000</v>
      </c>
      <c r="N13" s="17"/>
      <c r="O13" s="139">
        <f t="shared" si="2"/>
        <v>3405000</v>
      </c>
      <c r="P13" s="17"/>
      <c r="Q13" s="139">
        <f t="shared" si="3"/>
        <v>3375000</v>
      </c>
      <c r="R13" s="17"/>
      <c r="S13" s="139">
        <f t="shared" si="4"/>
        <v>3375000</v>
      </c>
      <c r="T13" s="17"/>
      <c r="U13" s="139">
        <f t="shared" si="5"/>
        <v>3390000</v>
      </c>
      <c r="V13" s="17"/>
      <c r="W13" s="139">
        <f t="shared" si="6"/>
        <v>3390000</v>
      </c>
      <c r="X13" s="17"/>
      <c r="Y13" s="139">
        <f t="shared" si="7"/>
        <v>3405000</v>
      </c>
      <c r="Z13" s="17"/>
      <c r="AA13" s="139">
        <f t="shared" si="8"/>
        <v>3375000</v>
      </c>
      <c r="AB13" s="17"/>
      <c r="AC13" s="139">
        <f t="shared" si="9"/>
        <v>3390000</v>
      </c>
      <c r="AD13" s="17"/>
      <c r="AE13" s="139">
        <f t="shared" si="10"/>
        <v>3390000</v>
      </c>
      <c r="AF13" s="17"/>
      <c r="AG13" s="139">
        <f t="shared" si="11"/>
        <v>3390000</v>
      </c>
      <c r="AH13" s="139">
        <f t="shared" si="12"/>
        <v>40620000</v>
      </c>
      <c r="AI13" s="17"/>
      <c r="AJ13" s="17"/>
      <c r="AK13" s="94"/>
      <c r="AL13" s="40"/>
    </row>
    <row r="14" spans="1:38" s="2" customFormat="1" ht="21.75" customHeight="1">
      <c r="A14" s="143" t="str">
        <f t="shared" si="14"/>
        <v/>
      </c>
      <c r="B14" s="129"/>
      <c r="C14" s="136"/>
      <c r="D14" s="135"/>
      <c r="E14" s="137"/>
      <c r="F14" s="137"/>
      <c r="G14" s="137"/>
      <c r="H14" s="137"/>
      <c r="I14" s="137"/>
      <c r="J14" s="137"/>
      <c r="K14" s="139">
        <f t="shared" si="0"/>
        <v>0</v>
      </c>
      <c r="L14" s="137"/>
      <c r="M14" s="139">
        <f t="shared" si="1"/>
        <v>0</v>
      </c>
      <c r="N14" s="137"/>
      <c r="O14" s="139">
        <f t="shared" si="2"/>
        <v>0</v>
      </c>
      <c r="P14" s="137"/>
      <c r="Q14" s="139">
        <f t="shared" si="3"/>
        <v>0</v>
      </c>
      <c r="R14" s="137"/>
      <c r="S14" s="139">
        <f t="shared" si="4"/>
        <v>0</v>
      </c>
      <c r="T14" s="137"/>
      <c r="U14" s="139">
        <f t="shared" si="5"/>
        <v>0</v>
      </c>
      <c r="V14" s="137"/>
      <c r="W14" s="139">
        <f t="shared" si="6"/>
        <v>0</v>
      </c>
      <c r="X14" s="137"/>
      <c r="Y14" s="139">
        <f t="shared" si="7"/>
        <v>0</v>
      </c>
      <c r="Z14" s="137"/>
      <c r="AA14" s="139">
        <f t="shared" si="8"/>
        <v>0</v>
      </c>
      <c r="AB14" s="137"/>
      <c r="AC14" s="139">
        <f t="shared" si="9"/>
        <v>0</v>
      </c>
      <c r="AD14" s="137"/>
      <c r="AE14" s="139">
        <f t="shared" si="10"/>
        <v>0</v>
      </c>
      <c r="AF14" s="137"/>
      <c r="AG14" s="139">
        <f t="shared" si="11"/>
        <v>0</v>
      </c>
      <c r="AH14" s="139">
        <f>K14+M14+O14+Q14+S14+U14+W14+Y14+AA14+AC14+AE14+AG14</f>
        <v>0</v>
      </c>
      <c r="AI14" s="137"/>
      <c r="AJ14" s="137"/>
      <c r="AK14" s="94"/>
      <c r="AL14" s="40"/>
    </row>
    <row r="15" spans="1:38" s="2" customFormat="1" ht="21.75" customHeight="1">
      <c r="A15" s="227" t="s">
        <v>23</v>
      </c>
      <c r="B15" s="228"/>
      <c r="C15" s="228"/>
      <c r="D15" s="140" t="s">
        <v>97</v>
      </c>
      <c r="E15" s="138">
        <f>SUM(E10:E14)</f>
        <v>18000000</v>
      </c>
      <c r="F15" s="138">
        <f>SUM(F10:F14)</f>
        <v>18000000</v>
      </c>
      <c r="G15" s="138"/>
      <c r="H15" s="138"/>
      <c r="I15" s="138"/>
      <c r="J15" s="138"/>
      <c r="K15" s="138">
        <f>SUMIF(J$10:J$14,"x",$E$10:$E$14)</f>
        <v>0</v>
      </c>
      <c r="L15" s="138"/>
      <c r="M15" s="138">
        <f>SUMIF(L$10:L$14,"x",$E$10:$E$14)</f>
        <v>0</v>
      </c>
      <c r="N15" s="138"/>
      <c r="O15" s="138">
        <f>SUMIF(N$10:N$14,"x",$E$10:$E$14)</f>
        <v>0</v>
      </c>
      <c r="P15" s="138"/>
      <c r="Q15" s="138">
        <f>SUMIF(P$10:P$14,"x",$E$10:$E$14)</f>
        <v>0</v>
      </c>
      <c r="R15" s="138"/>
      <c r="S15" s="138">
        <f>SUMIF(R$10:R$14,"x",$E$10:$E$14)</f>
        <v>0</v>
      </c>
      <c r="T15" s="138"/>
      <c r="U15" s="138">
        <f>SUMIF(T$10:T$14,"x",$E$10:$E$14)</f>
        <v>0</v>
      </c>
      <c r="V15" s="138"/>
      <c r="W15" s="138">
        <f>SUMIF(V$10:V$14,"x",$E$10:$E$14)</f>
        <v>0</v>
      </c>
      <c r="X15" s="138"/>
      <c r="Y15" s="138">
        <f>SUMIF(X$10:X$14,"x",$E$10:$E$14)</f>
        <v>0</v>
      </c>
      <c r="Z15" s="138"/>
      <c r="AA15" s="138">
        <f>SUMIF(Z$10:Z$14,"x",$E$10:$E$14)</f>
        <v>0</v>
      </c>
      <c r="AB15" s="138"/>
      <c r="AC15" s="138">
        <f>SUMIF(AB$10:AB$14,"x",$E$10:$E$14)</f>
        <v>0</v>
      </c>
      <c r="AD15" s="138"/>
      <c r="AE15" s="138">
        <f>SUMIF(AD$10:AD$14,"x",$E$10:$E$14)</f>
        <v>0</v>
      </c>
      <c r="AF15" s="138"/>
      <c r="AG15" s="138">
        <f>SUMIF(AF$10:AF$14,"x",$E$10:$E$14)</f>
        <v>0</v>
      </c>
      <c r="AH15" s="138">
        <f t="shared" ref="AH15:AH17" si="15">K15+M15+O15+Q15+S15+U15+W15+Y15+AA15+AC15+AE15+AG15</f>
        <v>0</v>
      </c>
      <c r="AI15" s="138"/>
      <c r="AJ15" s="138"/>
      <c r="AK15" s="94"/>
      <c r="AL15" s="40"/>
    </row>
    <row r="16" spans="1:38" s="2" customFormat="1" ht="21.75" customHeight="1">
      <c r="A16" s="229"/>
      <c r="B16" s="230"/>
      <c r="C16" s="230"/>
      <c r="D16" s="140" t="s">
        <v>66</v>
      </c>
      <c r="E16" s="138"/>
      <c r="F16" s="138"/>
      <c r="G16" s="138"/>
      <c r="H16" s="138"/>
      <c r="I16" s="138"/>
      <c r="J16" s="138">
        <f t="array" ref="J16">SUM((J$10:J$14="x")*1)</f>
        <v>0</v>
      </c>
      <c r="K16" s="138"/>
      <c r="L16" s="138">
        <f t="array" ref="L16">SUM((L$10:L$14="x")*1)</f>
        <v>0</v>
      </c>
      <c r="M16" s="138"/>
      <c r="N16" s="138">
        <f t="array" ref="N16">SUM((N$10:N$14="x")*1)</f>
        <v>0</v>
      </c>
      <c r="O16" s="138"/>
      <c r="P16" s="138">
        <f t="array" ref="P16">SUM((P$10:P$14="x")*1)</f>
        <v>0</v>
      </c>
      <c r="Q16" s="138"/>
      <c r="R16" s="138">
        <f t="array" ref="R16">SUM((R$10:R$14="x")*1)</f>
        <v>0</v>
      </c>
      <c r="S16" s="138"/>
      <c r="T16" s="138">
        <f t="array" ref="T16">SUM((T$10:T$14="x")*1)</f>
        <v>0</v>
      </c>
      <c r="U16" s="138"/>
      <c r="V16" s="138">
        <f t="array" ref="V16">SUM((V$10:V$14="x")*1)</f>
        <v>0</v>
      </c>
      <c r="W16" s="138"/>
      <c r="X16" s="138">
        <f t="array" ref="X16">SUM((X$10:X$14="x")*1)</f>
        <v>0</v>
      </c>
      <c r="Y16" s="138"/>
      <c r="Z16" s="138">
        <f t="array" ref="Z16">SUM((Z$10:Z$14="x")*1)</f>
        <v>0</v>
      </c>
      <c r="AA16" s="138"/>
      <c r="AB16" s="138">
        <f t="array" ref="AB16">SUM((AB$10:AB$14="x")*1)</f>
        <v>0</v>
      </c>
      <c r="AC16" s="138"/>
      <c r="AD16" s="138">
        <f t="array" ref="AD16">SUM((AD$10:AD$14="x")*1)</f>
        <v>0</v>
      </c>
      <c r="AE16" s="138"/>
      <c r="AF16" s="138">
        <f t="array" ref="AF16">SUM((AF$10:AF$14="x")*1)</f>
        <v>0</v>
      </c>
      <c r="AG16" s="138"/>
      <c r="AH16" s="138"/>
      <c r="AI16" s="138"/>
      <c r="AJ16" s="138"/>
      <c r="AK16" s="94"/>
      <c r="AL16" s="40"/>
    </row>
    <row r="17" spans="1:38" s="2" customFormat="1" ht="21.75" customHeight="1">
      <c r="A17" s="231"/>
      <c r="B17" s="232"/>
      <c r="C17" s="232"/>
      <c r="D17" s="140" t="s">
        <v>67</v>
      </c>
      <c r="E17" s="138"/>
      <c r="F17" s="138"/>
      <c r="G17" s="138"/>
      <c r="H17" s="138"/>
      <c r="I17" s="138"/>
      <c r="J17" s="138"/>
      <c r="K17" s="138">
        <f>SUM(K10:K14)</f>
        <v>19500000</v>
      </c>
      <c r="L17" s="138"/>
      <c r="M17" s="138">
        <f>SUM(M10:M14)</f>
        <v>19440000</v>
      </c>
      <c r="N17" s="138"/>
      <c r="O17" s="138">
        <f t="shared" ref="O17:AG17" si="16">SUM(O10:O14)</f>
        <v>19620000</v>
      </c>
      <c r="P17" s="138"/>
      <c r="Q17" s="138">
        <f t="shared" si="16"/>
        <v>19500000</v>
      </c>
      <c r="R17" s="138"/>
      <c r="S17" s="138">
        <f t="shared" si="16"/>
        <v>19500000</v>
      </c>
      <c r="T17" s="138"/>
      <c r="U17" s="138">
        <f t="shared" si="16"/>
        <v>19560000</v>
      </c>
      <c r="V17" s="138"/>
      <c r="W17" s="138">
        <f t="shared" si="16"/>
        <v>19560000</v>
      </c>
      <c r="X17" s="138"/>
      <c r="Y17" s="138">
        <f t="shared" si="16"/>
        <v>19620000</v>
      </c>
      <c r="Z17" s="138"/>
      <c r="AA17" s="138">
        <f t="shared" si="16"/>
        <v>19500000</v>
      </c>
      <c r="AB17" s="138"/>
      <c r="AC17" s="138">
        <f t="shared" si="16"/>
        <v>19560000</v>
      </c>
      <c r="AD17" s="138"/>
      <c r="AE17" s="138">
        <f t="shared" si="16"/>
        <v>19560000</v>
      </c>
      <c r="AF17" s="138"/>
      <c r="AG17" s="138">
        <f t="shared" si="16"/>
        <v>19560000</v>
      </c>
      <c r="AH17" s="138">
        <f t="shared" si="15"/>
        <v>234480000</v>
      </c>
      <c r="AI17" s="138"/>
      <c r="AJ17" s="138"/>
      <c r="AK17" s="94"/>
      <c r="AL17" s="40"/>
    </row>
    <row r="18" spans="1:38" s="2" customFormat="1" ht="11.25" customHeight="1">
      <c r="A18" s="18"/>
      <c r="B18" s="18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40"/>
      <c r="AL18" s="40"/>
    </row>
  </sheetData>
  <protectedRanges>
    <protectedRange password="CC78" sqref="B7:D8 AI7:AI8 J15:AG17 F7:H7 C14:H17 C19:JS65162 AH13:JS17 B18:B65162 B9:AJ9 J13:J14 L13:L14 N13:N14 P13:P14 T13:T14 V13:V14 R13:R14 X13:X14 Z13:Z14 AB13:AB14 AD13:AD14 J10:AJ10 AF13:AG14 AK7:JS10 AC11:AC14 Y11:Y14 AA11:AA14 W11:W14 U11:U14 K11:K14 M11:M14 O11:O14 Q11:Q14 S11:S14 A7:A65162 AE11:AE14 AG11:JS12" name="Range1"/>
    <protectedRange password="CC78" sqref="O4:JS6 A6:N6 B4:N5" name="Range1_2"/>
    <protectedRange password="CC78" sqref="I7:AH8 I10:I17" name="Range1_3"/>
    <protectedRange password="CC78" sqref="B14:B17" name="Range1_1"/>
    <protectedRange password="CC78" sqref="E7:E8 F8" name="Range1_4"/>
    <protectedRange password="CC78" sqref="AG13:AG14 AE13:AE14 AC13:AC14 Y13:Y14 AA13:AA14 W13:W14 U13:U14 K13:K14 M13:M14 O13:O14 Q13:Q14 S13:S14 J10:AG12" name="Range1_11"/>
    <protectedRange password="CC78" sqref="B11:B13" name="Range1_6_1"/>
    <protectedRange password="CC78" sqref="E10:F12" name="Range1_8"/>
    <protectedRange password="CC78" sqref="D11:D12" name="Range1_7_1_1"/>
    <protectedRange password="CC78" sqref="H11" name="Range1_3_2"/>
    <protectedRange password="CC78" sqref="G11:G12" name="Range1_11_1"/>
    <protectedRange password="CC78" sqref="H10" name="Range1_6"/>
    <protectedRange password="CC78" sqref="H10" name="Range1_11_2"/>
    <protectedRange password="CC78" sqref="G10" name="Range1_8_1"/>
    <protectedRange password="CC78" sqref="H12" name="Range1_3_3"/>
    <protectedRange password="CC78" sqref="C13:D13" name="Range1_5_1_1_1"/>
    <protectedRange password="CC78" sqref="E13:F13" name="Range1_7_1"/>
    <protectedRange password="CC78" sqref="G13" name="Range1_11_3_1"/>
    <protectedRange password="CC78" sqref="H13" name="Range1_11_1_2_1"/>
  </protectedRanges>
  <autoFilter ref="A9:AL11"/>
  <mergeCells count="22">
    <mergeCell ref="A15:C17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  <mergeCell ref="AF7:AG7"/>
    <mergeCell ref="V7:W7"/>
    <mergeCell ref="X7:Y7"/>
    <mergeCell ref="Z7:AA7"/>
    <mergeCell ref="AB7:AC7"/>
    <mergeCell ref="AD7:AE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2" sqref="F12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42736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42736</v>
      </c>
      <c r="G5" s="105">
        <f t="shared" ref="G5:AJ5" si="0">F5+1</f>
        <v>42737</v>
      </c>
      <c r="H5" s="105">
        <f t="shared" si="0"/>
        <v>42738</v>
      </c>
      <c r="I5" s="105">
        <f t="shared" si="0"/>
        <v>42739</v>
      </c>
      <c r="J5" s="105">
        <f t="shared" si="0"/>
        <v>42740</v>
      </c>
      <c r="K5" s="105">
        <f t="shared" si="0"/>
        <v>42741</v>
      </c>
      <c r="L5" s="105">
        <f t="shared" si="0"/>
        <v>42742</v>
      </c>
      <c r="M5" s="105">
        <f t="shared" si="0"/>
        <v>42743</v>
      </c>
      <c r="N5" s="105">
        <f t="shared" si="0"/>
        <v>42744</v>
      </c>
      <c r="O5" s="105">
        <f t="shared" si="0"/>
        <v>42745</v>
      </c>
      <c r="P5" s="105">
        <f t="shared" si="0"/>
        <v>42746</v>
      </c>
      <c r="Q5" s="105">
        <f t="shared" si="0"/>
        <v>42747</v>
      </c>
      <c r="R5" s="105">
        <f t="shared" si="0"/>
        <v>42748</v>
      </c>
      <c r="S5" s="105">
        <f t="shared" si="0"/>
        <v>42749</v>
      </c>
      <c r="T5" s="105">
        <f t="shared" si="0"/>
        <v>42750</v>
      </c>
      <c r="U5" s="105">
        <f t="shared" si="0"/>
        <v>42751</v>
      </c>
      <c r="V5" s="105">
        <f t="shared" si="0"/>
        <v>42752</v>
      </c>
      <c r="W5" s="105">
        <f t="shared" si="0"/>
        <v>42753</v>
      </c>
      <c r="X5" s="105">
        <f t="shared" si="0"/>
        <v>42754</v>
      </c>
      <c r="Y5" s="105">
        <f t="shared" si="0"/>
        <v>42755</v>
      </c>
      <c r="Z5" s="105">
        <f t="shared" si="0"/>
        <v>42756</v>
      </c>
      <c r="AA5" s="105">
        <f t="shared" si="0"/>
        <v>42757</v>
      </c>
      <c r="AB5" s="105">
        <f t="shared" si="0"/>
        <v>42758</v>
      </c>
      <c r="AC5" s="105">
        <f t="shared" si="0"/>
        <v>42759</v>
      </c>
      <c r="AD5" s="105">
        <f t="shared" si="0"/>
        <v>42760</v>
      </c>
      <c r="AE5" s="105">
        <f t="shared" si="0"/>
        <v>42761</v>
      </c>
      <c r="AF5" s="105">
        <f t="shared" si="0"/>
        <v>42762</v>
      </c>
      <c r="AG5" s="105">
        <f t="shared" si="0"/>
        <v>42763</v>
      </c>
      <c r="AH5" s="105">
        <f>AG5+1</f>
        <v>42764</v>
      </c>
      <c r="AI5" s="105">
        <f t="shared" si="0"/>
        <v>42765</v>
      </c>
      <c r="AJ5" s="105">
        <f t="shared" si="0"/>
        <v>42766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C.Nhật</v>
      </c>
      <c r="G6" s="160" t="str">
        <f t="shared" ref="G6:AJ6" si="1">CHOOSE(WEEKDAY(G5),"C.Nhật","T.Hai","T.Ba","T.Tư","T.Năm","T.Sáu","T.Bảy")</f>
        <v>T.Hai</v>
      </c>
      <c r="H6" s="160" t="str">
        <f t="shared" si="1"/>
        <v>T.Ba</v>
      </c>
      <c r="I6" s="160" t="str">
        <f t="shared" si="1"/>
        <v>T.Tư</v>
      </c>
      <c r="J6" s="160" t="str">
        <f t="shared" si="1"/>
        <v>T.Năm</v>
      </c>
      <c r="K6" s="160" t="str">
        <f t="shared" si="1"/>
        <v>T.Sáu</v>
      </c>
      <c r="L6" s="160" t="str">
        <f t="shared" si="1"/>
        <v>T.Bảy</v>
      </c>
      <c r="M6" s="160" t="str">
        <f t="shared" si="1"/>
        <v>C.Nhật</v>
      </c>
      <c r="N6" s="160" t="str">
        <f t="shared" si="1"/>
        <v>T.Hai</v>
      </c>
      <c r="O6" s="160" t="str">
        <f t="shared" si="1"/>
        <v>T.Ba</v>
      </c>
      <c r="P6" s="160" t="str">
        <f t="shared" si="1"/>
        <v>T.Tư</v>
      </c>
      <c r="Q6" s="160" t="str">
        <f t="shared" si="1"/>
        <v>T.Năm</v>
      </c>
      <c r="R6" s="160" t="str">
        <f t="shared" si="1"/>
        <v>T.Sáu</v>
      </c>
      <c r="S6" s="160" t="str">
        <f t="shared" si="1"/>
        <v>T.Bảy</v>
      </c>
      <c r="T6" s="160" t="str">
        <f t="shared" si="1"/>
        <v>C.Nhật</v>
      </c>
      <c r="U6" s="160" t="str">
        <f t="shared" si="1"/>
        <v>T.Hai</v>
      </c>
      <c r="V6" s="160" t="str">
        <f t="shared" si="1"/>
        <v>T.Ba</v>
      </c>
      <c r="W6" s="160" t="str">
        <f t="shared" si="1"/>
        <v>T.Tư</v>
      </c>
      <c r="X6" s="160" t="str">
        <f t="shared" si="1"/>
        <v>T.Năm</v>
      </c>
      <c r="Y6" s="160" t="str">
        <f t="shared" si="1"/>
        <v>T.Sáu</v>
      </c>
      <c r="Z6" s="160" t="str">
        <f t="shared" si="1"/>
        <v>T.Bảy</v>
      </c>
      <c r="AA6" s="160" t="str">
        <f t="shared" si="1"/>
        <v>C.Nhật</v>
      </c>
      <c r="AB6" s="160" t="str">
        <f t="shared" si="1"/>
        <v>T.Hai</v>
      </c>
      <c r="AC6" s="160" t="str">
        <f t="shared" si="1"/>
        <v>T.Ba</v>
      </c>
      <c r="AD6" s="160" t="str">
        <f t="shared" si="1"/>
        <v>T.Tư</v>
      </c>
      <c r="AE6" s="160" t="str">
        <f t="shared" si="1"/>
        <v>T.Năm</v>
      </c>
      <c r="AF6" s="160" t="str">
        <f t="shared" si="1"/>
        <v>T.Sáu</v>
      </c>
      <c r="AG6" s="160" t="str">
        <f t="shared" si="1"/>
        <v>T.Bảy</v>
      </c>
      <c r="AH6" s="160" t="str">
        <f t="shared" si="1"/>
        <v>C.Nhật</v>
      </c>
      <c r="AI6" s="160" t="str">
        <f t="shared" si="1"/>
        <v>T.Hai</v>
      </c>
      <c r="AJ6" s="160" t="str">
        <f t="shared" si="1"/>
        <v>T.Ba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79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/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/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/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/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/>
      <c r="AI9" s="130">
        <v>8</v>
      </c>
      <c r="AJ9" s="130">
        <v>8</v>
      </c>
      <c r="AK9" s="244">
        <f t="shared" ref="AK9" si="2">((SUM(F9:AJ9))/8)-(SUMIF($F$6:$AJ$6,"C.Nhật",F9:AJ9)/8)</f>
        <v>25</v>
      </c>
      <c r="AL9" s="244">
        <f t="shared" ref="AL9" si="3">SUM(F10:AJ10)/8*1.5</f>
        <v>0</v>
      </c>
      <c r="AM9" s="246">
        <f t="shared" ref="AM9" si="4">SUMIF($F$6:$AJ$6,"C.Nhật",$F9:$AJ10)/8*2</f>
        <v>0</v>
      </c>
      <c r="AN9" s="248">
        <f t="shared" ref="AN9" si="5">SUM(AK9:AM10)</f>
        <v>25</v>
      </c>
      <c r="AO9" s="250">
        <v>0</v>
      </c>
      <c r="AP9" s="248"/>
      <c r="AQ9" s="248"/>
      <c r="AR9" s="248"/>
      <c r="AS9" s="252"/>
      <c r="AT9" s="20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20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/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/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/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/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/>
      <c r="AI12" s="130">
        <v>8</v>
      </c>
      <c r="AJ12" s="130">
        <v>8</v>
      </c>
      <c r="AK12" s="244">
        <f t="shared" ref="AK12" si="6">((SUM(F12:AJ12))/8)-(SUMIF($F$6:$AJ$6,"C.Nhật",F12:AJ12)/8)</f>
        <v>25</v>
      </c>
      <c r="AL12" s="244">
        <f t="shared" ref="AL12" si="7">SUM(F13:AJ13)/8*1.5</f>
        <v>0</v>
      </c>
      <c r="AM12" s="246">
        <f>SUMIF($F$6:$AJ$6,"C.Nhật",$F12:$AJ13)/8*2</f>
        <v>0</v>
      </c>
      <c r="AN12" s="248">
        <f>SUM(AK12:AM13)</f>
        <v>25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/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/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/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/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/>
      <c r="AI14" s="130">
        <v>8</v>
      </c>
      <c r="AJ14" s="130">
        <v>8</v>
      </c>
      <c r="AK14" s="244">
        <f t="shared" ref="AK14" si="8">((SUM(F14:AJ14))/8)-(SUMIF($F$6:$AJ$6,"C.Nhật",F14:AJ14)/8)</f>
        <v>25</v>
      </c>
      <c r="AL14" s="244">
        <f t="shared" ref="AL14" si="9">SUM(F15:AJ15)/8*1.5</f>
        <v>0</v>
      </c>
      <c r="AM14" s="246">
        <f>SUMIF($F$6:$AJ$6,"C.Nhật",$F14:$AJ15)/8*2</f>
        <v>0</v>
      </c>
      <c r="AN14" s="248">
        <f t="shared" ref="AN14" si="10">SUM(AK14:AM15)</f>
        <v>25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/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/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/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/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/>
      <c r="AI16" s="130">
        <v>8</v>
      </c>
      <c r="AJ16" s="130">
        <v>8</v>
      </c>
      <c r="AK16" s="244">
        <f t="shared" ref="AK16" si="11">((SUM(F16:AJ16))/8)-(SUMIF($F$6:$AJ$6,"C.Nhật",F16:AJ16)/8)</f>
        <v>25</v>
      </c>
      <c r="AL16" s="244">
        <f t="shared" ref="AL16" si="12">SUM(F17:AJ17)/8*1.5</f>
        <v>0</v>
      </c>
      <c r="AM16" s="246">
        <f>SUMIF($F$6:$AJ$6,"C.Nhật",$F16:$AJ17)/8*2</f>
        <v>0</v>
      </c>
      <c r="AN16" s="248">
        <f t="shared" ref="AN16" si="13">SUM(AK16:AM17)</f>
        <v>25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203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203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3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3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3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C12:E17 A12:A17" name="Range1_6_2"/>
    <protectedRange password="CC78" sqref="B12:B17" name="Range1_4_2"/>
  </protectedRanges>
  <mergeCells count="66">
    <mergeCell ref="AL16:AL17"/>
    <mergeCell ref="AM16:AM17"/>
    <mergeCell ref="A16:A17"/>
    <mergeCell ref="B16:B17"/>
    <mergeCell ref="C16:C17"/>
    <mergeCell ref="D16:D17"/>
    <mergeCell ref="AK16:AK17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5:A6"/>
    <mergeCell ref="B5:B6"/>
    <mergeCell ref="C5:C6"/>
    <mergeCell ref="D5:D6"/>
    <mergeCell ref="E5:E6"/>
    <mergeCell ref="AP12:AP13"/>
    <mergeCell ref="AQ12:AQ13"/>
    <mergeCell ref="AR12:AR13"/>
    <mergeCell ref="AS12:AS13"/>
    <mergeCell ref="AM1:AS1"/>
    <mergeCell ref="AK5:AM5"/>
    <mergeCell ref="AN5:AN6"/>
    <mergeCell ref="AO5:AO6"/>
    <mergeCell ref="AP5:AP6"/>
    <mergeCell ref="AQ5:AQ6"/>
    <mergeCell ref="AR5:AR6"/>
    <mergeCell ref="AS5:AS6"/>
    <mergeCell ref="AL12:AL13"/>
    <mergeCell ref="AM12:AM13"/>
    <mergeCell ref="AN12:AN13"/>
    <mergeCell ref="AO12:AO13"/>
    <mergeCell ref="AQ14:AQ15"/>
    <mergeCell ref="AR14:AR15"/>
    <mergeCell ref="AS14:AS15"/>
    <mergeCell ref="AN16:AN17"/>
    <mergeCell ref="AO16:AO17"/>
    <mergeCell ref="AP16:AP17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</mergeCells>
  <conditionalFormatting sqref="F5:AJ6 G9 H9:AJ10">
    <cfRule type="expression" dxfId="79" priority="47" stopIfTrue="1">
      <formula>IF(WEEKDAY(F$5)=1,TRUE,FALSE)</formula>
    </cfRule>
  </conditionalFormatting>
  <conditionalFormatting sqref="G9 H9:AJ10">
    <cfRule type="expression" dxfId="78" priority="46" stopIfTrue="1">
      <formula>IF(WEEKDAY(G$5)=1,TRUE,FALSE)</formula>
    </cfRule>
  </conditionalFormatting>
  <conditionalFormatting sqref="F10:G10 F9">
    <cfRule type="expression" dxfId="77" priority="44" stopIfTrue="1">
      <formula>IF(WEEKDAY(F$5)=1,TRUE,FALSE)</formula>
    </cfRule>
  </conditionalFormatting>
  <conditionalFormatting sqref="F10:G10 F9">
    <cfRule type="expression" dxfId="76" priority="43" stopIfTrue="1">
      <formula>IF(WEEKDAY(F$5)=1,TRUE,FALSE)</formula>
    </cfRule>
  </conditionalFormatting>
  <conditionalFormatting sqref="G12 G14 G16 H12:AJ17">
    <cfRule type="expression" dxfId="75" priority="4" stopIfTrue="1">
      <formula>IF(WEEKDAY(G$5)=1,TRUE,FALSE)</formula>
    </cfRule>
  </conditionalFormatting>
  <conditionalFormatting sqref="G12 G14 G16 H12:AJ17">
    <cfRule type="expression" dxfId="74" priority="3" stopIfTrue="1">
      <formula>IF(WEEKDAY(G$5)=1,TRUE,FALSE)</formula>
    </cfRule>
  </conditionalFormatting>
  <conditionalFormatting sqref="F13:G13 F12 F15:G15 F17:G17 F14 F16">
    <cfRule type="expression" dxfId="73" priority="2" stopIfTrue="1">
      <formula>IF(WEEKDAY(F$5)=1,TRUE,FALSE)</formula>
    </cfRule>
  </conditionalFormatting>
  <conditionalFormatting sqref="F13:G13 F12 F15:G15 F17:G17 F14 F16">
    <cfRule type="expression" dxfId="7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topLeftCell="A7" zoomScaleNormal="70" workbookViewId="0">
      <selection activeCell="A17" sqref="A17:XFD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66" t="str">
        <f>"BẢNG THANH TOÁN LƯƠNG THÁNG"&amp;" "&amp;TEXT($E$4,"mm")&amp;" / "&amp;TEXT($E$4,"yyyy")</f>
        <v>BẢNG THANH TOÁN LƯƠNG THÁNG 01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MAX(F10:F18)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-1'!$E$4</f>
        <v>42736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06" t="s">
        <v>34</v>
      </c>
      <c r="G7" s="204" t="s">
        <v>18</v>
      </c>
      <c r="H7" s="206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/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-1'!$B$9:$AS$18,36,0)</f>
        <v>25</v>
      </c>
      <c r="G10" s="132">
        <f t="shared" ref="G10" si="3">ROUND(E10/$U$2*F10,0)</f>
        <v>5000000</v>
      </c>
      <c r="H10" s="79">
        <f>(VLOOKUP(B10,'CC -1'!$B$9:$AS$18,37,0)+VLOOKUP(B10,'CC -1'!$B$9:$AS$18,38,0))</f>
        <v>0</v>
      </c>
      <c r="I10" s="132">
        <f t="shared" ref="I10" si="4">ROUND(E10/$U$2*H10,0)</f>
        <v>0</v>
      </c>
      <c r="J10" s="80">
        <f t="shared" ref="J10:K10" si="5">F10+H10</f>
        <v>25</v>
      </c>
      <c r="K10" s="32">
        <f t="shared" si="5"/>
        <v>5000000</v>
      </c>
      <c r="L10" s="77">
        <f t="shared" ref="L10" si="6">+F10*15000</f>
        <v>375000</v>
      </c>
      <c r="M10" s="33">
        <f t="shared" ref="M10" si="7">K10+L10</f>
        <v>5375000</v>
      </c>
      <c r="N10" s="33">
        <f t="shared" ref="N10:P10" si="8">IF(VLOOKUP($B10,DS,9,0)="x",$E10*N$4,0)</f>
        <v>0</v>
      </c>
      <c r="O10" s="33">
        <f t="shared" si="8"/>
        <v>0</v>
      </c>
      <c r="P10" s="33">
        <f t="shared" si="8"/>
        <v>0</v>
      </c>
      <c r="Q10" s="32">
        <f t="shared" ref="Q10" si="9">M10-SUM(N10:P10)</f>
        <v>5375000</v>
      </c>
      <c r="R10" s="32">
        <f>VLOOKUP(B10,DS,23,0)</f>
        <v>0</v>
      </c>
      <c r="S10" s="38">
        <f t="shared" ref="S10" si="10">Q10-R10</f>
        <v>5375000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S12" si="11">SUM(K9:K11)</f>
        <v>5000000</v>
      </c>
      <c r="L12" s="127">
        <f t="shared" si="11"/>
        <v>375000</v>
      </c>
      <c r="M12" s="127">
        <f t="shared" si="11"/>
        <v>5375000</v>
      </c>
      <c r="N12" s="127">
        <f t="shared" si="11"/>
        <v>0</v>
      </c>
      <c r="O12" s="127">
        <f t="shared" si="11"/>
        <v>0</v>
      </c>
      <c r="P12" s="127">
        <f t="shared" si="11"/>
        <v>0</v>
      </c>
      <c r="Q12" s="127">
        <f t="shared" si="11"/>
        <v>5375000</v>
      </c>
      <c r="R12" s="127">
        <f t="shared" si="11"/>
        <v>0</v>
      </c>
      <c r="S12" s="127">
        <f t="shared" si="11"/>
        <v>5375000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2">VLOOKUP(B14,DS,2,0)</f>
        <v>Bùi Trường Giang</v>
      </c>
      <c r="D14" s="103" t="str">
        <f t="shared" ref="D14:D16" si="13">VLOOKUP(B14,DS,3,0)</f>
        <v>Thợ in</v>
      </c>
      <c r="E14" s="77">
        <f t="shared" ref="E14:E16" si="14">VLOOKUP(B14,DS,4,0)</f>
        <v>5000000</v>
      </c>
      <c r="F14" s="79">
        <f>VLOOKUP(B14,'CC -1'!$B$9:$AS$18,36,0)</f>
        <v>25</v>
      </c>
      <c r="G14" s="132">
        <f t="shared" ref="G14:G16" si="15">ROUND(E14/$U$2*F14,0)</f>
        <v>5000000</v>
      </c>
      <c r="H14" s="79">
        <f>(VLOOKUP(B14,'CC -1'!$B$9:$AS$18,37,0)+VLOOKUP(B14,'CC -1'!$B$9:$AS$18,38,0))</f>
        <v>0</v>
      </c>
      <c r="I14" s="132">
        <f t="shared" ref="I14:I16" si="16">ROUND(E14/$U$2*H14,0)</f>
        <v>0</v>
      </c>
      <c r="J14" s="133">
        <f t="shared" ref="J14:J16" si="17">F14+H14</f>
        <v>25</v>
      </c>
      <c r="K14" s="32">
        <f t="shared" ref="K14:K16" si="18">G14+I14</f>
        <v>5000000</v>
      </c>
      <c r="L14" s="77">
        <f t="shared" ref="L14:L16" si="19">+F14*15000</f>
        <v>375000</v>
      </c>
      <c r="M14" s="33">
        <f t="shared" ref="M14:M16" si="20">K14+L14</f>
        <v>5375000</v>
      </c>
      <c r="N14" s="33">
        <f t="shared" ref="N14:P16" si="21">IF(VLOOKUP($B14,DS,9,0)="x",$E14*N$4,0)</f>
        <v>0</v>
      </c>
      <c r="O14" s="33">
        <f t="shared" si="21"/>
        <v>0</v>
      </c>
      <c r="P14" s="33">
        <f t="shared" si="21"/>
        <v>0</v>
      </c>
      <c r="Q14" s="32">
        <f>M14-SUM(N14:P14)</f>
        <v>5375000</v>
      </c>
      <c r="R14" s="32">
        <f t="shared" ref="R14:R16" si="22">VLOOKUP(B14,DS,23,0)</f>
        <v>0</v>
      </c>
      <c r="S14" s="38">
        <f>Q14-R14</f>
        <v>5375000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si="12"/>
        <v>Lê Văn Hữu</v>
      </c>
      <c r="D15" s="103" t="str">
        <f t="shared" si="13"/>
        <v>Công Đoạn 2</v>
      </c>
      <c r="E15" s="77">
        <f t="shared" si="14"/>
        <v>5000000</v>
      </c>
      <c r="F15" s="79">
        <f>VLOOKUP(B15,'CC -1'!$B$9:$AS$18,36,0)</f>
        <v>25</v>
      </c>
      <c r="G15" s="132">
        <f t="shared" si="15"/>
        <v>5000000</v>
      </c>
      <c r="H15" s="79">
        <f>(VLOOKUP(B15,'CC -1'!$B$9:$AS$18,37,0)+VLOOKUP(B15,'CC -1'!$B$9:$AS$18,38,0))</f>
        <v>0</v>
      </c>
      <c r="I15" s="132">
        <f t="shared" si="16"/>
        <v>0</v>
      </c>
      <c r="J15" s="133">
        <f t="shared" si="17"/>
        <v>25</v>
      </c>
      <c r="K15" s="32">
        <f t="shared" si="18"/>
        <v>5000000</v>
      </c>
      <c r="L15" s="77">
        <f t="shared" si="19"/>
        <v>375000</v>
      </c>
      <c r="M15" s="33">
        <f t="shared" si="20"/>
        <v>5375000</v>
      </c>
      <c r="N15" s="33">
        <f t="shared" si="21"/>
        <v>0</v>
      </c>
      <c r="O15" s="33">
        <f t="shared" si="21"/>
        <v>0</v>
      </c>
      <c r="P15" s="33">
        <f t="shared" si="21"/>
        <v>0</v>
      </c>
      <c r="Q15" s="32">
        <f t="shared" ref="Q15:Q16" si="23">M15-SUM(N15:P15)</f>
        <v>5375000</v>
      </c>
      <c r="R15" s="32">
        <f t="shared" si="22"/>
        <v>0</v>
      </c>
      <c r="S15" s="38">
        <f t="shared" ref="S15:S16" si="24">Q15-R15</f>
        <v>5375000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2"/>
        <v>Phan Thị Sương</v>
      </c>
      <c r="D16" s="103" t="str">
        <f t="shared" si="13"/>
        <v>Công Đoạn 1</v>
      </c>
      <c r="E16" s="77">
        <f t="shared" si="14"/>
        <v>3000000</v>
      </c>
      <c r="F16" s="79">
        <f>VLOOKUP(B16,'CC -1'!$B$9:$AS$18,36,0)</f>
        <v>25</v>
      </c>
      <c r="G16" s="132">
        <f t="shared" si="15"/>
        <v>3000000</v>
      </c>
      <c r="H16" s="79">
        <f>(VLOOKUP(B16,'CC -1'!$B$9:$AS$18,37,0)+VLOOKUP(B16,'CC -1'!$B$9:$AS$18,38,0))</f>
        <v>0</v>
      </c>
      <c r="I16" s="132">
        <f t="shared" si="16"/>
        <v>0</v>
      </c>
      <c r="J16" s="133">
        <f t="shared" si="17"/>
        <v>25</v>
      </c>
      <c r="K16" s="32">
        <f t="shared" si="18"/>
        <v>3000000</v>
      </c>
      <c r="L16" s="77">
        <f t="shared" si="19"/>
        <v>375000</v>
      </c>
      <c r="M16" s="33">
        <f t="shared" si="20"/>
        <v>3375000</v>
      </c>
      <c r="N16" s="33">
        <f t="shared" si="21"/>
        <v>0</v>
      </c>
      <c r="O16" s="33">
        <f t="shared" si="21"/>
        <v>0</v>
      </c>
      <c r="P16" s="33">
        <f t="shared" si="21"/>
        <v>0</v>
      </c>
      <c r="Q16" s="32">
        <f t="shared" si="23"/>
        <v>3375000</v>
      </c>
      <c r="R16" s="32">
        <f t="shared" si="22"/>
        <v>0</v>
      </c>
      <c r="S16" s="38">
        <f t="shared" si="24"/>
        <v>3375000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25">SUM(K13:K17)</f>
        <v>13000000</v>
      </c>
      <c r="L18" s="127">
        <f t="shared" si="25"/>
        <v>1125000</v>
      </c>
      <c r="M18" s="127">
        <f t="shared" si="25"/>
        <v>14125000</v>
      </c>
      <c r="N18" s="127">
        <f t="shared" si="25"/>
        <v>0</v>
      </c>
      <c r="O18" s="127">
        <f t="shared" si="25"/>
        <v>0</v>
      </c>
      <c r="P18" s="127">
        <f t="shared" si="25"/>
        <v>0</v>
      </c>
      <c r="Q18" s="127">
        <f t="shared" si="25"/>
        <v>14125000</v>
      </c>
      <c r="R18" s="127">
        <f t="shared" si="25"/>
        <v>0</v>
      </c>
      <c r="S18" s="127">
        <f t="shared" si="25"/>
        <v>14125000</v>
      </c>
      <c r="T18" s="20"/>
      <c r="U18" s="208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"&amp;TEXT(E4,"mm")&amp;"   năm "&amp;TEXT(E4,"yyyy")</f>
        <v>Bình Chánh, ngày  31   tháng   01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N5:P6 L5 L21 J6:K7 L7 A24:T57 U30:U57 N17:S17 V24:IK57 J17:L17 A58:IK65325 AF13:IK13 V12:IK12 D18:T18 D12:T12 A11:B12 Q11:S11 AF11:IK11 W11 W10 AF5:IK10 Q10:S10 A10:B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4:W16 A14:B16 Q14:S16 AF14:IK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</protectedRanges>
  <autoFilter ref="A7:AE9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Z14" sqref="Z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4" width="3.42578125" style="110" customWidth="1"/>
    <col min="35" max="36" width="4.42578125" style="2" customWidth="1"/>
    <col min="37" max="37" width="5.5703125" style="8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42"/>
      <c r="AJ1" s="42"/>
      <c r="AK1" s="254" t="s">
        <v>80</v>
      </c>
      <c r="AL1" s="255"/>
      <c r="AM1" s="255"/>
      <c r="AN1" s="255"/>
      <c r="AO1" s="255"/>
      <c r="AP1" s="255"/>
      <c r="AQ1" s="256"/>
      <c r="AR1" s="44"/>
    </row>
    <row r="2" spans="1:89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42"/>
      <c r="AJ2" s="42"/>
      <c r="AK2" s="83"/>
      <c r="AL2" s="46"/>
      <c r="AM2" s="46"/>
      <c r="AN2" s="46"/>
      <c r="AO2" s="46"/>
      <c r="AP2" s="46"/>
      <c r="AQ2" s="82"/>
      <c r="AR2" s="82"/>
    </row>
    <row r="3" spans="1:89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42"/>
      <c r="AJ3" s="42"/>
      <c r="AK3" s="83"/>
      <c r="AL3" s="44"/>
      <c r="AM3" s="44"/>
      <c r="AN3" s="44"/>
      <c r="AO3" s="44"/>
      <c r="AP3" s="44"/>
      <c r="AQ3" s="49"/>
      <c r="AR3" s="49"/>
    </row>
    <row r="4" spans="1:89" ht="14.25" customHeight="1">
      <c r="A4" s="50"/>
      <c r="B4" s="50"/>
      <c r="C4" s="142"/>
      <c r="D4" s="141"/>
      <c r="E4" s="51">
        <v>42767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0"/>
      <c r="AJ4" s="50"/>
      <c r="AK4" s="84"/>
      <c r="AL4" s="50"/>
      <c r="AM4" s="50"/>
      <c r="AN4" s="50"/>
      <c r="AO4" s="50"/>
      <c r="AP4" s="50"/>
      <c r="AQ4" s="50"/>
      <c r="AR4" s="88"/>
    </row>
    <row r="5" spans="1:89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42767</v>
      </c>
      <c r="G5" s="105">
        <f t="shared" ref="G5:AH5" si="0">F5+1</f>
        <v>42768</v>
      </c>
      <c r="H5" s="105">
        <f t="shared" si="0"/>
        <v>42769</v>
      </c>
      <c r="I5" s="105">
        <f t="shared" si="0"/>
        <v>42770</v>
      </c>
      <c r="J5" s="105">
        <f t="shared" si="0"/>
        <v>42771</v>
      </c>
      <c r="K5" s="105">
        <f t="shared" si="0"/>
        <v>42772</v>
      </c>
      <c r="L5" s="105">
        <f t="shared" si="0"/>
        <v>42773</v>
      </c>
      <c r="M5" s="105">
        <f t="shared" si="0"/>
        <v>42774</v>
      </c>
      <c r="N5" s="105">
        <f t="shared" si="0"/>
        <v>42775</v>
      </c>
      <c r="O5" s="105">
        <f t="shared" si="0"/>
        <v>42776</v>
      </c>
      <c r="P5" s="105">
        <f t="shared" si="0"/>
        <v>42777</v>
      </c>
      <c r="Q5" s="105">
        <f t="shared" si="0"/>
        <v>42778</v>
      </c>
      <c r="R5" s="105">
        <f t="shared" si="0"/>
        <v>42779</v>
      </c>
      <c r="S5" s="105">
        <f t="shared" si="0"/>
        <v>42780</v>
      </c>
      <c r="T5" s="105">
        <f t="shared" si="0"/>
        <v>42781</v>
      </c>
      <c r="U5" s="105">
        <f t="shared" si="0"/>
        <v>42782</v>
      </c>
      <c r="V5" s="105">
        <f t="shared" si="0"/>
        <v>42783</v>
      </c>
      <c r="W5" s="105">
        <f t="shared" si="0"/>
        <v>42784</v>
      </c>
      <c r="X5" s="105">
        <f t="shared" si="0"/>
        <v>42785</v>
      </c>
      <c r="Y5" s="105">
        <f t="shared" si="0"/>
        <v>42786</v>
      </c>
      <c r="Z5" s="105">
        <f t="shared" si="0"/>
        <v>42787</v>
      </c>
      <c r="AA5" s="105">
        <f t="shared" si="0"/>
        <v>42788</v>
      </c>
      <c r="AB5" s="105">
        <f t="shared" si="0"/>
        <v>42789</v>
      </c>
      <c r="AC5" s="105">
        <f t="shared" si="0"/>
        <v>42790</v>
      </c>
      <c r="AD5" s="105">
        <f t="shared" si="0"/>
        <v>42791</v>
      </c>
      <c r="AE5" s="105">
        <f t="shared" si="0"/>
        <v>42792</v>
      </c>
      <c r="AF5" s="105">
        <f t="shared" si="0"/>
        <v>42793</v>
      </c>
      <c r="AG5" s="105">
        <f t="shared" si="0"/>
        <v>42794</v>
      </c>
      <c r="AH5" s="105">
        <f t="shared" si="0"/>
        <v>42795</v>
      </c>
      <c r="AI5" s="260" t="s">
        <v>15</v>
      </c>
      <c r="AJ5" s="261"/>
      <c r="AK5" s="262"/>
      <c r="AL5" s="263" t="s">
        <v>39</v>
      </c>
      <c r="AM5" s="263" t="s">
        <v>35</v>
      </c>
      <c r="AN5" s="263" t="s">
        <v>36</v>
      </c>
      <c r="AO5" s="263" t="s">
        <v>37</v>
      </c>
      <c r="AP5" s="263" t="s">
        <v>38</v>
      </c>
      <c r="AQ5" s="259" t="s">
        <v>0</v>
      </c>
      <c r="AR5" s="265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T.Tư</v>
      </c>
      <c r="G6" s="160" t="str">
        <f t="shared" ref="G6:AG6" si="1">CHOOSE(WEEKDAY(G5),"C.Nhật","T.Hai","T.Ba","T.Tư","T.Năm","T.Sáu","T.Bảy")</f>
        <v>T.Năm</v>
      </c>
      <c r="H6" s="160" t="str">
        <f t="shared" si="1"/>
        <v>T.Sáu</v>
      </c>
      <c r="I6" s="160" t="str">
        <f t="shared" si="1"/>
        <v>T.Bảy</v>
      </c>
      <c r="J6" s="160" t="str">
        <f t="shared" si="1"/>
        <v>C.Nhật</v>
      </c>
      <c r="K6" s="160" t="str">
        <f t="shared" si="1"/>
        <v>T.Hai</v>
      </c>
      <c r="L6" s="160" t="str">
        <f t="shared" si="1"/>
        <v>T.Ba</v>
      </c>
      <c r="M6" s="160" t="str">
        <f t="shared" si="1"/>
        <v>T.Tư</v>
      </c>
      <c r="N6" s="160" t="str">
        <f t="shared" si="1"/>
        <v>T.Năm</v>
      </c>
      <c r="O6" s="160" t="str">
        <f t="shared" si="1"/>
        <v>T.Sáu</v>
      </c>
      <c r="P6" s="160" t="str">
        <f t="shared" si="1"/>
        <v>T.Bảy</v>
      </c>
      <c r="Q6" s="160" t="str">
        <f t="shared" si="1"/>
        <v>C.Nhật</v>
      </c>
      <c r="R6" s="160" t="str">
        <f t="shared" si="1"/>
        <v>T.Hai</v>
      </c>
      <c r="S6" s="160" t="str">
        <f t="shared" si="1"/>
        <v>T.Ba</v>
      </c>
      <c r="T6" s="160" t="str">
        <f t="shared" si="1"/>
        <v>T.Tư</v>
      </c>
      <c r="U6" s="160" t="str">
        <f t="shared" si="1"/>
        <v>T.Năm</v>
      </c>
      <c r="V6" s="160" t="str">
        <f t="shared" si="1"/>
        <v>T.Sáu</v>
      </c>
      <c r="W6" s="160" t="str">
        <f t="shared" si="1"/>
        <v>T.Bảy</v>
      </c>
      <c r="X6" s="160" t="str">
        <f t="shared" si="1"/>
        <v>C.Nhật</v>
      </c>
      <c r="Y6" s="160" t="str">
        <f t="shared" si="1"/>
        <v>T.Hai</v>
      </c>
      <c r="Z6" s="160" t="str">
        <f t="shared" si="1"/>
        <v>T.Ba</v>
      </c>
      <c r="AA6" s="160" t="str">
        <f t="shared" si="1"/>
        <v>T.Tư</v>
      </c>
      <c r="AB6" s="160" t="str">
        <f t="shared" si="1"/>
        <v>T.Năm</v>
      </c>
      <c r="AC6" s="160" t="str">
        <f t="shared" si="1"/>
        <v>T.Sáu</v>
      </c>
      <c r="AD6" s="160" t="str">
        <f t="shared" si="1"/>
        <v>T.Bảy</v>
      </c>
      <c r="AE6" s="160" t="str">
        <f t="shared" si="1"/>
        <v>C.Nhật</v>
      </c>
      <c r="AF6" s="160" t="str">
        <f t="shared" si="1"/>
        <v>T.Hai</v>
      </c>
      <c r="AG6" s="160" t="str">
        <f t="shared" si="1"/>
        <v>T.Ba</v>
      </c>
      <c r="AH6" s="160" t="str">
        <f t="shared" ref="AH6" si="2">CHOOSE(WEEKDAY(AH5),"C.Nhật","T.Hai","T.Ba","T.Tư","T.Năm","T.Sáu","T.Bảy")</f>
        <v>T.Tư</v>
      </c>
      <c r="AI6" s="161" t="s">
        <v>16</v>
      </c>
      <c r="AJ6" s="161" t="s">
        <v>29</v>
      </c>
      <c r="AK6" s="162" t="s">
        <v>17</v>
      </c>
      <c r="AL6" s="264"/>
      <c r="AM6" s="264"/>
      <c r="AN6" s="264"/>
      <c r="AO6" s="264"/>
      <c r="AP6" s="264"/>
      <c r="AQ6" s="258"/>
      <c r="AR6" s="265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32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205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6" customFormat="1" ht="21" customHeight="1">
      <c r="A8" s="164" t="s">
        <v>68</v>
      </c>
      <c r="B8" s="167" t="s">
        <v>79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9"/>
      <c r="AR8" s="165"/>
    </row>
    <row r="9" spans="1:89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/>
      <c r="AI9" s="244">
        <f>((SUM(F9:AG9))/8)-(SUMIF($F$6:$AG$6,"C.Nhật",F9:AG9)/8)</f>
        <v>24</v>
      </c>
      <c r="AJ9" s="244">
        <f>SUM(F10:AG10)/8*1.5</f>
        <v>0</v>
      </c>
      <c r="AK9" s="246">
        <f>SUMIF($F$6:$AG$6,"C.Nhật",$F9:$AG10)/8*2</f>
        <v>0</v>
      </c>
      <c r="AL9" s="248">
        <f>SUM(AI9:AK10)</f>
        <v>24</v>
      </c>
      <c r="AM9" s="250">
        <v>0</v>
      </c>
      <c r="AN9" s="248"/>
      <c r="AO9" s="248"/>
      <c r="AP9" s="248"/>
      <c r="AQ9" s="252"/>
      <c r="AR9" s="205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245"/>
      <c r="AJ10" s="245"/>
      <c r="AK10" s="247"/>
      <c r="AL10" s="249"/>
      <c r="AM10" s="251"/>
      <c r="AN10" s="249"/>
      <c r="AO10" s="249"/>
      <c r="AP10" s="249"/>
      <c r="AQ10" s="253"/>
      <c r="AR10" s="205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9"/>
      <c r="AR11" s="165"/>
    </row>
    <row r="12" spans="1:89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>
        <v>8</v>
      </c>
      <c r="H12" s="130">
        <v>8</v>
      </c>
      <c r="I12" s="130">
        <v>8</v>
      </c>
      <c r="J12" s="130"/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/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/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/>
      <c r="AF12" s="130">
        <v>8</v>
      </c>
      <c r="AG12" s="130">
        <v>8</v>
      </c>
      <c r="AH12" s="130"/>
      <c r="AI12" s="244">
        <f>((SUM(F12:AG12))/8)-(SUMIF($F$6:$AG$6,"C.Nhật",F12:AG12)/8)</f>
        <v>24</v>
      </c>
      <c r="AJ12" s="244">
        <f>SUM(F13:AG13)/8*1.5</f>
        <v>0</v>
      </c>
      <c r="AK12" s="246">
        <f>SUMIF($F$6:$AG$6,"C.Nhật",$F12:$AG13)/8*2</f>
        <v>0</v>
      </c>
      <c r="AL12" s="248">
        <f>SUM(AI12:AK13)</f>
        <v>24</v>
      </c>
      <c r="AM12" s="250">
        <v>0</v>
      </c>
      <c r="AN12" s="248"/>
      <c r="AO12" s="248"/>
      <c r="AP12" s="248"/>
      <c r="AQ12" s="252"/>
      <c r="AR12" s="205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9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245"/>
      <c r="AJ13" s="245"/>
      <c r="AK13" s="247"/>
      <c r="AL13" s="249"/>
      <c r="AM13" s="251"/>
      <c r="AN13" s="249"/>
      <c r="AO13" s="249"/>
      <c r="AP13" s="249"/>
      <c r="AQ13" s="253"/>
      <c r="AR13" s="205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9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/>
      <c r="AI14" s="244">
        <f>((SUM(F14:AG14))/8)-(SUMIF($F$6:$AG$6,"C.Nhật",F14:AG14)/8)</f>
        <v>24</v>
      </c>
      <c r="AJ14" s="244">
        <f>SUM(F15:AG15)/8*1.5</f>
        <v>0</v>
      </c>
      <c r="AK14" s="246">
        <f>SUMIF($F$6:$AG$6,"C.Nhật",$F14:$AG15)/8*2</f>
        <v>0</v>
      </c>
      <c r="AL14" s="248">
        <f t="shared" ref="AL14" si="3">SUM(AI14:AK15)</f>
        <v>24</v>
      </c>
      <c r="AM14" s="250">
        <v>0</v>
      </c>
      <c r="AN14" s="248"/>
      <c r="AO14" s="248"/>
      <c r="AP14" s="248"/>
      <c r="AQ14" s="252"/>
      <c r="AR14" s="21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245"/>
      <c r="AJ15" s="245"/>
      <c r="AK15" s="247"/>
      <c r="AL15" s="249"/>
      <c r="AM15" s="251"/>
      <c r="AN15" s="249"/>
      <c r="AO15" s="249"/>
      <c r="AP15" s="249"/>
      <c r="AQ15" s="253"/>
      <c r="AR15" s="21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/>
      <c r="AI16" s="244">
        <f>((SUM(F16:AG16))/8)-(SUMIF($F$6:$AG$6,"C.Nhật",F16:AG16)/8)</f>
        <v>24</v>
      </c>
      <c r="AJ16" s="244">
        <f>SUM(F17:AG17)/8*1.5</f>
        <v>0</v>
      </c>
      <c r="AK16" s="246">
        <f>SUMIF($F$6:$AG$6,"C.Nhật",$F16:$AG17)/8*2</f>
        <v>0</v>
      </c>
      <c r="AL16" s="248">
        <f t="shared" ref="AL16" si="4">SUM(AI16:AK17)</f>
        <v>24</v>
      </c>
      <c r="AM16" s="250">
        <v>0</v>
      </c>
      <c r="AN16" s="248"/>
      <c r="AO16" s="248"/>
      <c r="AP16" s="248"/>
      <c r="AQ16" s="252"/>
      <c r="AR16" s="21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245"/>
      <c r="AJ17" s="245"/>
      <c r="AK17" s="247"/>
      <c r="AL17" s="249"/>
      <c r="AM17" s="251"/>
      <c r="AN17" s="249"/>
      <c r="AO17" s="249"/>
      <c r="AP17" s="249"/>
      <c r="AQ17" s="253"/>
      <c r="AR17" s="21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4"/>
      <c r="AJ18" s="4"/>
      <c r="AK18" s="85"/>
      <c r="AL18" s="61"/>
      <c r="AM18" s="61"/>
      <c r="AN18" s="61"/>
      <c r="AO18" s="61"/>
      <c r="AP18" s="61"/>
      <c r="AQ18" s="4"/>
      <c r="AR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4"/>
      <c r="AJ19" s="4"/>
      <c r="AK19" s="85"/>
      <c r="AL19" s="61"/>
      <c r="AM19" s="61"/>
      <c r="AN19" s="61"/>
      <c r="AO19" s="61"/>
      <c r="AP19" s="61"/>
      <c r="AQ19" s="4"/>
      <c r="AR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4"/>
      <c r="AJ20" s="4"/>
      <c r="AK20" s="85"/>
      <c r="AL20" s="63"/>
      <c r="AM20" s="63"/>
      <c r="AN20" s="63"/>
      <c r="AO20" s="63"/>
      <c r="AP20" s="63"/>
      <c r="AQ20" s="4"/>
      <c r="AR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4"/>
      <c r="AJ21" s="4"/>
      <c r="AK21" s="85"/>
      <c r="AL21" s="63"/>
      <c r="AM21" s="63"/>
      <c r="AN21" s="63"/>
      <c r="AO21" s="63"/>
      <c r="AP21" s="63"/>
      <c r="AQ21" s="4"/>
      <c r="AR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4"/>
      <c r="AJ22" s="4"/>
      <c r="AK22" s="85"/>
      <c r="AL22" s="63"/>
      <c r="AM22" s="63"/>
      <c r="AN22" s="63"/>
      <c r="AO22" s="63"/>
      <c r="AP22" s="63"/>
      <c r="AQ22" s="4"/>
      <c r="AR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4"/>
      <c r="AJ23" s="4"/>
      <c r="AK23" s="85"/>
      <c r="AL23" s="63"/>
      <c r="AM23" s="63"/>
      <c r="AN23" s="63"/>
      <c r="AO23" s="63"/>
      <c r="AP23" s="63"/>
      <c r="AQ23" s="4"/>
      <c r="AR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64"/>
      <c r="AK24" s="86"/>
      <c r="AL24" s="10"/>
      <c r="AM24" s="10"/>
      <c r="AN24" s="10"/>
      <c r="AO24" s="10"/>
      <c r="AP24" s="10"/>
      <c r="AQ24" s="14"/>
      <c r="AR24" s="4"/>
    </row>
    <row r="25" spans="1:91" s="60" customFormat="1" ht="12.75">
      <c r="A25" s="2"/>
      <c r="B25" s="2" t="s">
        <v>0</v>
      </c>
      <c r="C25" s="2"/>
      <c r="D25" s="203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2"/>
      <c r="AJ25" s="2"/>
      <c r="AK25" s="87"/>
      <c r="AL25" s="2"/>
      <c r="AM25" s="2"/>
      <c r="AN25" s="2"/>
      <c r="AO25" s="2"/>
      <c r="AP25" s="2"/>
      <c r="AQ25" s="2"/>
      <c r="AR25" s="4"/>
    </row>
    <row r="26" spans="1:91" s="60" customFormat="1" ht="12.75">
      <c r="A26" s="2"/>
      <c r="B26" s="2"/>
      <c r="C26" s="2" t="s">
        <v>40</v>
      </c>
      <c r="D26" s="203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2"/>
      <c r="AJ26" s="2"/>
      <c r="AK26" s="87"/>
      <c r="AL26" s="2"/>
      <c r="AM26" s="2"/>
      <c r="AN26" s="2"/>
      <c r="AO26" s="2"/>
      <c r="AP26" s="2"/>
      <c r="AQ26" s="2"/>
      <c r="AR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3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2"/>
      <c r="AJ29" s="2"/>
      <c r="AK29" s="8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3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2"/>
      <c r="AJ30" s="2"/>
      <c r="AK30" s="87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3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2"/>
      <c r="AJ31" s="2"/>
      <c r="AK31" s="8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2"/>
      <c r="AJ32" s="2"/>
      <c r="AK32" s="8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2"/>
      <c r="AJ33" s="2"/>
      <c r="AK33" s="8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2"/>
      <c r="AJ34" s="2"/>
      <c r="AK34" s="8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C12:E17 A12:A17" name="Range1_6_2"/>
    <protectedRange password="CC78" sqref="B12:B17" name="Range1_4_2"/>
  </protectedRanges>
  <mergeCells count="66">
    <mergeCell ref="AO12:AO13"/>
    <mergeCell ref="AP12:AP13"/>
    <mergeCell ref="AI14:AI15"/>
    <mergeCell ref="AQ12:AQ13"/>
    <mergeCell ref="AQ16:AQ17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J12:AJ13"/>
    <mergeCell ref="AK12:AK13"/>
    <mergeCell ref="AL12:AL13"/>
    <mergeCell ref="AM12:AM13"/>
    <mergeCell ref="AN12:AN13"/>
    <mergeCell ref="A12:A13"/>
    <mergeCell ref="B12:B13"/>
    <mergeCell ref="C12:C13"/>
    <mergeCell ref="D12:D13"/>
    <mergeCell ref="AI12:AI13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O16:AO17"/>
    <mergeCell ref="AP16:AP17"/>
    <mergeCell ref="A14:A15"/>
    <mergeCell ref="B14:B15"/>
    <mergeCell ref="C14:C15"/>
    <mergeCell ref="D14:D15"/>
    <mergeCell ref="AJ16:AJ17"/>
    <mergeCell ref="AK16:AK17"/>
    <mergeCell ref="AL16:AL17"/>
    <mergeCell ref="AM16:AM17"/>
    <mergeCell ref="AN16:AN17"/>
    <mergeCell ref="A16:A17"/>
    <mergeCell ref="B16:B17"/>
    <mergeCell ref="C16:C17"/>
    <mergeCell ref="D16:D17"/>
    <mergeCell ref="AI16:AI17"/>
  </mergeCells>
  <conditionalFormatting sqref="F5:AG6 F9:AG10 F12:AG17">
    <cfRule type="expression" dxfId="71" priority="22" stopIfTrue="1">
      <formula>IF(WEEKDAY(F$5)=1,TRUE,FALSE)</formula>
    </cfRule>
  </conditionalFormatting>
  <conditionalFormatting sqref="AH5:AH6 AH9:AH10 AH12:AH17">
    <cfRule type="expression" dxfId="70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B14" sqref="B14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66" t="str">
        <f>"BẢNG THANH TOÁN LƯƠNG THÁNG"&amp;" "&amp;TEXT($E$4,"mm")&amp;" / "&amp;TEXT($E$4,"yyyy")</f>
        <v>BẢNG THANH TOÁN LƯƠNG THÁNG 02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MAX(F10:F18)</f>
        <v>24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-2'!$E$4</f>
        <v>42767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06" t="s">
        <v>34</v>
      </c>
      <c r="G7" s="204" t="s">
        <v>18</v>
      </c>
      <c r="H7" s="206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-2'!$B$8:$AQ$17,34,0)</f>
        <v>24</v>
      </c>
      <c r="G10" s="132">
        <f t="shared" ref="G10" si="3">ROUND(E10/$U$2*F10,0)</f>
        <v>5000000</v>
      </c>
      <c r="H10" s="79">
        <f>(VLOOKUP(B10,'CC -2'!$B$8:$AQ$17,35,0)+VLOOKUP(B10,'CC -2'!$B$8:$AQ$17,36,0))</f>
        <v>0</v>
      </c>
      <c r="I10" s="132">
        <f t="shared" ref="I10" si="4">ROUND(E10/$U$2*H10,0)</f>
        <v>0</v>
      </c>
      <c r="J10" s="80">
        <f t="shared" ref="J10" si="5">F10+H10</f>
        <v>24</v>
      </c>
      <c r="K10" s="32">
        <f>G10+I10</f>
        <v>5000000</v>
      </c>
      <c r="L10" s="77">
        <f t="shared" ref="L10" si="6">+F10*15000</f>
        <v>360000</v>
      </c>
      <c r="M10" s="33">
        <f t="shared" ref="M10" si="7">K10+L10</f>
        <v>5360000</v>
      </c>
      <c r="N10" s="33">
        <f t="shared" ref="N10:P10" si="8">IF(VLOOKUP($B10,DS,11,0)="x",$E10*N$4,0)</f>
        <v>0</v>
      </c>
      <c r="O10" s="33">
        <f t="shared" si="8"/>
        <v>0</v>
      </c>
      <c r="P10" s="33">
        <f t="shared" si="8"/>
        <v>0</v>
      </c>
      <c r="Q10" s="32">
        <f t="shared" ref="Q10" si="9">M10-SUM(N10:P10)</f>
        <v>5360000</v>
      </c>
      <c r="R10" s="32">
        <f>VLOOKUP(B10,DS,23,0)</f>
        <v>0</v>
      </c>
      <c r="S10" s="38">
        <f t="shared" ref="S10" si="10">Q10-R10</f>
        <v>5360000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1">SUM(K9:K10)</f>
        <v>5000000</v>
      </c>
      <c r="L12" s="127">
        <f t="shared" si="11"/>
        <v>360000</v>
      </c>
      <c r="M12" s="127">
        <f t="shared" si="11"/>
        <v>5360000</v>
      </c>
      <c r="N12" s="127">
        <f t="shared" si="11"/>
        <v>0</v>
      </c>
      <c r="O12" s="127">
        <f t="shared" si="11"/>
        <v>0</v>
      </c>
      <c r="P12" s="127">
        <f t="shared" si="11"/>
        <v>0</v>
      </c>
      <c r="Q12" s="127">
        <f t="shared" si="11"/>
        <v>5360000</v>
      </c>
      <c r="R12" s="127">
        <f t="shared" si="11"/>
        <v>0</v>
      </c>
      <c r="S12" s="127">
        <f t="shared" si="11"/>
        <v>5360000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" si="12">VLOOKUP(B14,DS,2,0)</f>
        <v>Bùi Trường Giang</v>
      </c>
      <c r="D14" s="103" t="str">
        <f t="shared" ref="D14" si="13">VLOOKUP(B14,DS,3,0)</f>
        <v>Thợ in</v>
      </c>
      <c r="E14" s="77">
        <f t="shared" ref="E14" si="14">VLOOKUP(B14,DS,4,0)</f>
        <v>5000000</v>
      </c>
      <c r="F14" s="79">
        <f>VLOOKUP(B14,'CC -2'!$B$8:$AQ$17,34,0)</f>
        <v>24</v>
      </c>
      <c r="G14" s="132">
        <f t="shared" ref="G14" si="15">ROUND(E14/$U$2*F14,0)</f>
        <v>5000000</v>
      </c>
      <c r="H14" s="79">
        <f>(VLOOKUP(B14,'CC -2'!$B$8:$AQ$17,35,0)+VLOOKUP(B14,'CC -2'!$B$8:$AQ$17,36,0))</f>
        <v>0</v>
      </c>
      <c r="I14" s="132">
        <f t="shared" ref="I14" si="16">ROUND(E14/$U$2*H14,0)</f>
        <v>0</v>
      </c>
      <c r="J14" s="133">
        <f t="shared" ref="J14:K14" si="17">F14+H14</f>
        <v>24</v>
      </c>
      <c r="K14" s="32">
        <f t="shared" si="17"/>
        <v>5000000</v>
      </c>
      <c r="L14" s="77">
        <f t="shared" ref="L14" si="18">+F14*15000</f>
        <v>360000</v>
      </c>
      <c r="M14" s="33">
        <f t="shared" ref="M14" si="19">K14+L14</f>
        <v>5360000</v>
      </c>
      <c r="N14" s="33">
        <f t="shared" ref="N14:P16" si="20">IF(VLOOKUP($B14,DS,11,0)="x",$E14*N$4,0)</f>
        <v>0</v>
      </c>
      <c r="O14" s="33">
        <f t="shared" si="20"/>
        <v>0</v>
      </c>
      <c r="P14" s="33">
        <f t="shared" si="20"/>
        <v>0</v>
      </c>
      <c r="Q14" s="32">
        <f>M14-SUM(N14:P14)</f>
        <v>5360000</v>
      </c>
      <c r="R14" s="32">
        <f t="shared" ref="R14" si="21">VLOOKUP(B14,DS,23,0)</f>
        <v>0</v>
      </c>
      <c r="S14" s="38">
        <f>Q14-R14</f>
        <v>5360000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:C16" si="22">VLOOKUP(B15,DS,2,0)</f>
        <v>Lê Văn Hữu</v>
      </c>
      <c r="D15" s="103" t="str">
        <f t="shared" ref="D15:D16" si="23">VLOOKUP(B15,DS,3,0)</f>
        <v>Công Đoạn 2</v>
      </c>
      <c r="E15" s="77">
        <f t="shared" ref="E15:E16" si="24">VLOOKUP(B15,DS,4,0)</f>
        <v>5000000</v>
      </c>
      <c r="F15" s="79">
        <f>VLOOKUP(B15,'CC -2'!$B$8:$AQ$17,34,0)</f>
        <v>24</v>
      </c>
      <c r="G15" s="132">
        <f t="shared" ref="G15:G16" si="25">ROUND(E15/$U$2*F15,0)</f>
        <v>5000000</v>
      </c>
      <c r="H15" s="79">
        <f>(VLOOKUP(B15,'CC -2'!$B$8:$AQ$17,35,0)+VLOOKUP(B15,'CC -2'!$B$8:$AQ$17,36,0))</f>
        <v>0</v>
      </c>
      <c r="I15" s="132">
        <f t="shared" ref="I15:I16" si="26">ROUND(E15/$U$2*H15,0)</f>
        <v>0</v>
      </c>
      <c r="J15" s="133">
        <f t="shared" ref="J15:J16" si="27">F15+H15</f>
        <v>24</v>
      </c>
      <c r="K15" s="32">
        <f t="shared" ref="K15:K16" si="28">G15+I15</f>
        <v>5000000</v>
      </c>
      <c r="L15" s="77">
        <f t="shared" ref="L15:L16" si="29">+F15*15000</f>
        <v>360000</v>
      </c>
      <c r="M15" s="33">
        <f t="shared" ref="M15:M16" si="30">K15+L15</f>
        <v>5360000</v>
      </c>
      <c r="N15" s="33">
        <f t="shared" si="20"/>
        <v>0</v>
      </c>
      <c r="O15" s="33">
        <f t="shared" si="20"/>
        <v>0</v>
      </c>
      <c r="P15" s="33">
        <f t="shared" si="20"/>
        <v>0</v>
      </c>
      <c r="Q15" s="32">
        <f t="shared" ref="Q15:Q16" si="31">M15-SUM(N15:P15)</f>
        <v>5360000</v>
      </c>
      <c r="R15" s="32">
        <f t="shared" ref="R15:R16" si="32">VLOOKUP(B15,DS,23,0)</f>
        <v>0</v>
      </c>
      <c r="S15" s="38">
        <f t="shared" ref="S15:S16" si="33">Q15-R15</f>
        <v>5360000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22"/>
        <v>Phan Thị Sương</v>
      </c>
      <c r="D16" s="103" t="str">
        <f t="shared" si="23"/>
        <v>Công Đoạn 1</v>
      </c>
      <c r="E16" s="77">
        <f t="shared" si="24"/>
        <v>3000000</v>
      </c>
      <c r="F16" s="79">
        <f>VLOOKUP(B16,'CC -2'!$B$8:$AQ$17,34,0)</f>
        <v>24</v>
      </c>
      <c r="G16" s="132">
        <f t="shared" si="25"/>
        <v>3000000</v>
      </c>
      <c r="H16" s="79">
        <f>(VLOOKUP(B16,'CC -2'!$B$8:$AQ$17,35,0)+VLOOKUP(B16,'CC -2'!$B$8:$AQ$17,36,0))</f>
        <v>0</v>
      </c>
      <c r="I16" s="132">
        <f t="shared" si="26"/>
        <v>0</v>
      </c>
      <c r="J16" s="133">
        <f t="shared" si="27"/>
        <v>24</v>
      </c>
      <c r="K16" s="32">
        <f t="shared" si="28"/>
        <v>3000000</v>
      </c>
      <c r="L16" s="77">
        <f t="shared" si="29"/>
        <v>360000</v>
      </c>
      <c r="M16" s="33">
        <f t="shared" si="30"/>
        <v>3360000</v>
      </c>
      <c r="N16" s="33">
        <f t="shared" si="20"/>
        <v>0</v>
      </c>
      <c r="O16" s="33">
        <f t="shared" si="20"/>
        <v>0</v>
      </c>
      <c r="P16" s="33">
        <f t="shared" si="20"/>
        <v>0</v>
      </c>
      <c r="Q16" s="32">
        <f t="shared" si="31"/>
        <v>3360000</v>
      </c>
      <c r="R16" s="32">
        <f t="shared" si="32"/>
        <v>0</v>
      </c>
      <c r="S16" s="38">
        <f t="shared" si="33"/>
        <v>3360000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4">SUM(K13:K17)</f>
        <v>13000000</v>
      </c>
      <c r="L18" s="127">
        <f t="shared" si="34"/>
        <v>1080000</v>
      </c>
      <c r="M18" s="127">
        <f t="shared" si="34"/>
        <v>14080000</v>
      </c>
      <c r="N18" s="127">
        <f t="shared" si="34"/>
        <v>0</v>
      </c>
      <c r="O18" s="127">
        <f t="shared" si="34"/>
        <v>0</v>
      </c>
      <c r="P18" s="127">
        <f t="shared" si="34"/>
        <v>0</v>
      </c>
      <c r="Q18" s="127">
        <f t="shared" si="34"/>
        <v>14080000</v>
      </c>
      <c r="R18" s="127">
        <f t="shared" si="34"/>
        <v>0</v>
      </c>
      <c r="S18" s="127">
        <f t="shared" si="34"/>
        <v>14080000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"&amp;TEXT(E4,"mm")&amp;"   năm "&amp;TEXT(E4,"yyyy")</f>
        <v>Bình Chánh, ngày  31   tháng   02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N5:P6 L5 L21 J6:K7 L7 A24:T57 U30:U57 N17:S17 V24:IK57 J17:L17 A58:IK65325 AF13:IK13 V12:IK12 D12:T12 D18:T18 W10:W11 AF5:IK11 Q10:S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6 W14:W16 AF14:IK16 A14:B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F12" sqref="F12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03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42795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42795</v>
      </c>
      <c r="G5" s="105">
        <f t="shared" ref="G5:AJ5" si="0">F5+1</f>
        <v>42796</v>
      </c>
      <c r="H5" s="105">
        <f t="shared" si="0"/>
        <v>42797</v>
      </c>
      <c r="I5" s="105">
        <f t="shared" si="0"/>
        <v>42798</v>
      </c>
      <c r="J5" s="105">
        <f t="shared" si="0"/>
        <v>42799</v>
      </c>
      <c r="K5" s="105">
        <f t="shared" si="0"/>
        <v>42800</v>
      </c>
      <c r="L5" s="105">
        <f t="shared" si="0"/>
        <v>42801</v>
      </c>
      <c r="M5" s="105">
        <f t="shared" si="0"/>
        <v>42802</v>
      </c>
      <c r="N5" s="105">
        <f t="shared" si="0"/>
        <v>42803</v>
      </c>
      <c r="O5" s="105">
        <f t="shared" si="0"/>
        <v>42804</v>
      </c>
      <c r="P5" s="105">
        <f t="shared" si="0"/>
        <v>42805</v>
      </c>
      <c r="Q5" s="105">
        <f t="shared" si="0"/>
        <v>42806</v>
      </c>
      <c r="R5" s="105">
        <f t="shared" si="0"/>
        <v>42807</v>
      </c>
      <c r="S5" s="105">
        <f t="shared" si="0"/>
        <v>42808</v>
      </c>
      <c r="T5" s="105">
        <f t="shared" si="0"/>
        <v>42809</v>
      </c>
      <c r="U5" s="105">
        <f t="shared" si="0"/>
        <v>42810</v>
      </c>
      <c r="V5" s="105">
        <f t="shared" si="0"/>
        <v>42811</v>
      </c>
      <c r="W5" s="105">
        <f t="shared" si="0"/>
        <v>42812</v>
      </c>
      <c r="X5" s="105">
        <f t="shared" si="0"/>
        <v>42813</v>
      </c>
      <c r="Y5" s="105">
        <f t="shared" si="0"/>
        <v>42814</v>
      </c>
      <c r="Z5" s="105">
        <f t="shared" si="0"/>
        <v>42815</v>
      </c>
      <c r="AA5" s="105">
        <f t="shared" si="0"/>
        <v>42816</v>
      </c>
      <c r="AB5" s="105">
        <f t="shared" si="0"/>
        <v>42817</v>
      </c>
      <c r="AC5" s="105">
        <f t="shared" si="0"/>
        <v>42818</v>
      </c>
      <c r="AD5" s="105">
        <f t="shared" si="0"/>
        <v>42819</v>
      </c>
      <c r="AE5" s="105">
        <f t="shared" si="0"/>
        <v>42820</v>
      </c>
      <c r="AF5" s="105">
        <f t="shared" si="0"/>
        <v>42821</v>
      </c>
      <c r="AG5" s="105">
        <f t="shared" si="0"/>
        <v>42822</v>
      </c>
      <c r="AH5" s="105">
        <f>AG5+1</f>
        <v>42823</v>
      </c>
      <c r="AI5" s="105">
        <f t="shared" si="0"/>
        <v>42824</v>
      </c>
      <c r="AJ5" s="105">
        <f t="shared" si="0"/>
        <v>42825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T.Tư</v>
      </c>
      <c r="G6" s="160" t="str">
        <f t="shared" ref="G6:AJ6" si="1">CHOOSE(WEEKDAY(G5),"C.Nhật","T.Hai","T.Ba","T.Tư","T.Năm","T.Sáu","T.Bảy")</f>
        <v>T.Năm</v>
      </c>
      <c r="H6" s="160" t="str">
        <f t="shared" si="1"/>
        <v>T.Sáu</v>
      </c>
      <c r="I6" s="160" t="str">
        <f t="shared" si="1"/>
        <v>T.Bảy</v>
      </c>
      <c r="J6" s="160" t="str">
        <f t="shared" si="1"/>
        <v>C.Nhật</v>
      </c>
      <c r="K6" s="160" t="str">
        <f t="shared" si="1"/>
        <v>T.Hai</v>
      </c>
      <c r="L6" s="160" t="str">
        <f t="shared" si="1"/>
        <v>T.Ba</v>
      </c>
      <c r="M6" s="160" t="str">
        <f t="shared" si="1"/>
        <v>T.Tư</v>
      </c>
      <c r="N6" s="160" t="str">
        <f t="shared" si="1"/>
        <v>T.Năm</v>
      </c>
      <c r="O6" s="160" t="str">
        <f t="shared" si="1"/>
        <v>T.Sáu</v>
      </c>
      <c r="P6" s="160" t="str">
        <f t="shared" si="1"/>
        <v>T.Bảy</v>
      </c>
      <c r="Q6" s="160" t="str">
        <f t="shared" si="1"/>
        <v>C.Nhật</v>
      </c>
      <c r="R6" s="160" t="str">
        <f t="shared" si="1"/>
        <v>T.Hai</v>
      </c>
      <c r="S6" s="160" t="str">
        <f t="shared" si="1"/>
        <v>T.Ba</v>
      </c>
      <c r="T6" s="160" t="str">
        <f t="shared" si="1"/>
        <v>T.Tư</v>
      </c>
      <c r="U6" s="160" t="str">
        <f t="shared" si="1"/>
        <v>T.Năm</v>
      </c>
      <c r="V6" s="160" t="str">
        <f t="shared" si="1"/>
        <v>T.Sáu</v>
      </c>
      <c r="W6" s="160" t="str">
        <f t="shared" si="1"/>
        <v>T.Bảy</v>
      </c>
      <c r="X6" s="160" t="str">
        <f t="shared" si="1"/>
        <v>C.Nhật</v>
      </c>
      <c r="Y6" s="160" t="str">
        <f t="shared" si="1"/>
        <v>T.Hai</v>
      </c>
      <c r="Z6" s="160" t="str">
        <f t="shared" si="1"/>
        <v>T.Ba</v>
      </c>
      <c r="AA6" s="160" t="str">
        <f t="shared" si="1"/>
        <v>T.Tư</v>
      </c>
      <c r="AB6" s="160" t="str">
        <f t="shared" si="1"/>
        <v>T.Năm</v>
      </c>
      <c r="AC6" s="160" t="str">
        <f t="shared" si="1"/>
        <v>T.Sáu</v>
      </c>
      <c r="AD6" s="160" t="str">
        <f t="shared" si="1"/>
        <v>T.Bảy</v>
      </c>
      <c r="AE6" s="160" t="str">
        <f t="shared" si="1"/>
        <v>C.Nhật</v>
      </c>
      <c r="AF6" s="160" t="str">
        <f t="shared" si="1"/>
        <v>T.Hai</v>
      </c>
      <c r="AG6" s="160" t="str">
        <f t="shared" si="1"/>
        <v>T.Ba</v>
      </c>
      <c r="AH6" s="160" t="str">
        <f t="shared" si="1"/>
        <v>T.Tư</v>
      </c>
      <c r="AI6" s="160" t="str">
        <f t="shared" si="1"/>
        <v>T.Năm</v>
      </c>
      <c r="AJ6" s="160" t="str">
        <f t="shared" si="1"/>
        <v>T.Sáu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79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>
        <v>8</v>
      </c>
      <c r="AI9" s="130">
        <v>8</v>
      </c>
      <c r="AJ9" s="130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50">
        <v>0</v>
      </c>
      <c r="AP9" s="248"/>
      <c r="AQ9" s="248"/>
      <c r="AR9" s="248"/>
      <c r="AS9" s="252"/>
      <c r="AT9" s="20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20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>
        <v>8</v>
      </c>
      <c r="H12" s="130">
        <v>8</v>
      </c>
      <c r="I12" s="130">
        <v>8</v>
      </c>
      <c r="J12" s="130"/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/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/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/>
      <c r="AF12" s="130">
        <v>8</v>
      </c>
      <c r="AG12" s="130">
        <v>8</v>
      </c>
      <c r="AH12" s="130">
        <v>8</v>
      </c>
      <c r="AI12" s="130">
        <v>8</v>
      </c>
      <c r="AJ12" s="130">
        <v>8</v>
      </c>
      <c r="AK12" s="244">
        <f t="shared" ref="AK12" si="2">((SUM(F12:AJ12))/8)-(SUMIF($F$6:$AJ$6,"C.Nhật",F12:AJ12)/8)</f>
        <v>27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27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>
        <v>8</v>
      </c>
      <c r="AI14" s="130">
        <v>8</v>
      </c>
      <c r="AJ14" s="130">
        <v>8</v>
      </c>
      <c r="AK14" s="244">
        <f t="shared" ref="AK14" si="4">((SUM(F14:AJ14))/8)-(SUMIF($F$6:$AJ$6,"C.Nhật",F14:AJ14)/8)</f>
        <v>27</v>
      </c>
      <c r="AL14" s="244">
        <f t="shared" ref="AL14" si="5">SUM(F15:AJ15)/8*1.5</f>
        <v>0</v>
      </c>
      <c r="AM14" s="246">
        <f>SUMIF($F$6:$AJ$6,"C.Nhật",$F14:$AJ15)/8*2</f>
        <v>0</v>
      </c>
      <c r="AN14" s="248">
        <f t="shared" ref="AN14" si="6">SUM(AK14:AM15)</f>
        <v>27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>
        <v>8</v>
      </c>
      <c r="AI16" s="130">
        <v>8</v>
      </c>
      <c r="AJ16" s="130">
        <v>8</v>
      </c>
      <c r="AK16" s="244">
        <f t="shared" ref="AK16" si="7">((SUM(F16:AJ16))/8)-(SUMIF($F$6:$AJ$6,"C.Nhật",F16:AJ16)/8)</f>
        <v>27</v>
      </c>
      <c r="AL16" s="244">
        <f t="shared" ref="AL16" si="8">SUM(F17:AJ17)/8*1.5</f>
        <v>0</v>
      </c>
      <c r="AM16" s="246">
        <f>SUMIF($F$6:$AJ$6,"C.Nhật",$F16:$AJ17)/8*2</f>
        <v>0</v>
      </c>
      <c r="AN16" s="248">
        <f t="shared" ref="AN16" si="9">SUM(AK16:AM17)</f>
        <v>27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203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203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3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3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3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C12:E17 A12:A17" name="Range1_6_2"/>
    <protectedRange password="CC78" sqref="B12:B17" name="Range1_4_2"/>
  </protectedRanges>
  <mergeCells count="66"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9:A10"/>
    <mergeCell ref="B9:B10"/>
    <mergeCell ref="AS12:AS13"/>
    <mergeCell ref="AM12:AM13"/>
    <mergeCell ref="AN12:AN13"/>
    <mergeCell ref="AO12:AO13"/>
    <mergeCell ref="AP12:AP13"/>
    <mergeCell ref="AQ12:AQ13"/>
    <mergeCell ref="A12:A13"/>
    <mergeCell ref="B12:B13"/>
    <mergeCell ref="C12:C13"/>
    <mergeCell ref="D12:D13"/>
    <mergeCell ref="AK12:AK13"/>
    <mergeCell ref="AL12:AL13"/>
    <mergeCell ref="AR12:AR13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C9:C10"/>
    <mergeCell ref="D9:D10"/>
    <mergeCell ref="AK9:AK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4:A15"/>
    <mergeCell ref="B14:B15"/>
    <mergeCell ref="C14:C15"/>
    <mergeCell ref="D14:D15"/>
    <mergeCell ref="AK14:AK15"/>
    <mergeCell ref="AQ14:AQ15"/>
    <mergeCell ref="AR14:AR15"/>
    <mergeCell ref="AS14:AS15"/>
    <mergeCell ref="AL14:AL15"/>
    <mergeCell ref="AM14:AM15"/>
    <mergeCell ref="AN14:AN15"/>
    <mergeCell ref="AO14:AO15"/>
    <mergeCell ref="AP14:AP15"/>
    <mergeCell ref="A16:A17"/>
    <mergeCell ref="B16:B17"/>
    <mergeCell ref="C16:C17"/>
    <mergeCell ref="D16:D17"/>
    <mergeCell ref="AK16:AK17"/>
  </mergeCells>
  <conditionalFormatting sqref="F5:AJ6 F9:AJ10">
    <cfRule type="expression" dxfId="69" priority="35" stopIfTrue="1">
      <formula>IF(WEEKDAY(F$5)=1,TRUE,FALSE)</formula>
    </cfRule>
  </conditionalFormatting>
  <conditionalFormatting sqref="F9:AJ10">
    <cfRule type="expression" dxfId="68" priority="34" stopIfTrue="1">
      <formula>IF(WEEKDAY(F$5)=1,TRUE,FALSE)</formula>
    </cfRule>
  </conditionalFormatting>
  <conditionalFormatting sqref="F12:AJ17">
    <cfRule type="expression" dxfId="67" priority="2" stopIfTrue="1">
      <formula>IF(WEEKDAY(F$5)=1,TRUE,FALSE)</formula>
    </cfRule>
  </conditionalFormatting>
  <conditionalFormatting sqref="F12:AJ17">
    <cfRule type="expression" dxfId="6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5" activePane="bottomRight" state="frozen"/>
      <selection activeCell="X10" sqref="X10"/>
      <selection pane="topRight" activeCell="X10" sqref="X10"/>
      <selection pane="bottomLeft" activeCell="X10" sqref="X10"/>
      <selection pane="bottomRight" activeCell="A17" sqref="A17:XFD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66" t="str">
        <f>"BẢNG THANH TOÁN LƯƠNG THÁNG"&amp;" "&amp;TEXT($E$4,"mm")&amp;" / "&amp;TEXT($E$4,"yyyy")</f>
        <v>BẢNG THANH TOÁN LƯƠNG THÁNG 03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MAX(F10:F18)</f>
        <v>27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-3'!$E$4</f>
        <v>42795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06" t="s">
        <v>34</v>
      </c>
      <c r="G7" s="204" t="s">
        <v>18</v>
      </c>
      <c r="H7" s="206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-3'!$B$8:$AS$17,36,0)</f>
        <v>27</v>
      </c>
      <c r="G10" s="132">
        <f t="shared" ref="G10" si="3">ROUND(E10/$U$2*F10,0)</f>
        <v>5000000</v>
      </c>
      <c r="H10" s="79">
        <f>(VLOOKUP(B10,'CC -3'!$B$8:$AS$17,37,0)+VLOOKUP(B10,'CC -3'!$B$8:$AS$17,38,0))</f>
        <v>0</v>
      </c>
      <c r="I10" s="132">
        <f t="shared" ref="I10" si="4">ROUND(E10/$U$2*H10,0)</f>
        <v>0</v>
      </c>
      <c r="J10" s="80">
        <f t="shared" ref="J10" si="5">F10+H10</f>
        <v>27</v>
      </c>
      <c r="K10" s="32">
        <f>G10+I10</f>
        <v>5000000</v>
      </c>
      <c r="L10" s="77">
        <f t="shared" ref="L10" si="6">+F10*15000</f>
        <v>405000</v>
      </c>
      <c r="M10" s="33">
        <f t="shared" ref="M10" si="7">K10+L10</f>
        <v>5405000</v>
      </c>
      <c r="N10" s="33">
        <f t="shared" ref="N10:P10" si="8">IF(VLOOKUP($B10,DS,13,0)="x",$E10*N$4,0)</f>
        <v>0</v>
      </c>
      <c r="O10" s="33">
        <f t="shared" si="8"/>
        <v>0</v>
      </c>
      <c r="P10" s="33">
        <f t="shared" si="8"/>
        <v>0</v>
      </c>
      <c r="Q10" s="32">
        <f t="shared" ref="Q10" si="9">M10-SUM(N10:P10)</f>
        <v>5405000</v>
      </c>
      <c r="R10" s="32">
        <f>VLOOKUP(B10,DS,23,0)</f>
        <v>0</v>
      </c>
      <c r="S10" s="38">
        <f t="shared" ref="S10" si="10">Q10-R10</f>
        <v>5405000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31"/>
      <c r="B11" s="128"/>
      <c r="C11" s="76"/>
      <c r="D11" s="103"/>
      <c r="E11" s="77"/>
      <c r="F11" s="79"/>
      <c r="G11" s="132"/>
      <c r="H11" s="79"/>
      <c r="I11" s="132"/>
      <c r="J11" s="80"/>
      <c r="K11" s="32"/>
      <c r="L11" s="77"/>
      <c r="M11" s="33"/>
      <c r="N11" s="33"/>
      <c r="O11" s="33"/>
      <c r="P11" s="33"/>
      <c r="Q11" s="32"/>
      <c r="R11" s="32"/>
      <c r="S11" s="38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1">SUM(K9:K10)</f>
        <v>5000000</v>
      </c>
      <c r="L12" s="127">
        <f t="shared" si="11"/>
        <v>405000</v>
      </c>
      <c r="M12" s="127">
        <f t="shared" si="11"/>
        <v>5405000</v>
      </c>
      <c r="N12" s="127">
        <f t="shared" si="11"/>
        <v>0</v>
      </c>
      <c r="O12" s="127">
        <f t="shared" si="11"/>
        <v>0</v>
      </c>
      <c r="P12" s="127">
        <f t="shared" si="11"/>
        <v>0</v>
      </c>
      <c r="Q12" s="127">
        <f t="shared" si="11"/>
        <v>5405000</v>
      </c>
      <c r="R12" s="127">
        <f t="shared" si="11"/>
        <v>0</v>
      </c>
      <c r="S12" s="127">
        <f t="shared" si="11"/>
        <v>5405000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" si="12">VLOOKUP(B14,DS,2,0)</f>
        <v>Bùi Trường Giang</v>
      </c>
      <c r="D14" s="103" t="str">
        <f t="shared" ref="D14" si="13">VLOOKUP(B14,DS,3,0)</f>
        <v>Thợ in</v>
      </c>
      <c r="E14" s="77">
        <f t="shared" ref="E14" si="14">VLOOKUP(B14,DS,4,0)</f>
        <v>5000000</v>
      </c>
      <c r="F14" s="79">
        <f>VLOOKUP(B14,'CC -3'!$B$8:$AS$17,36,0)</f>
        <v>27</v>
      </c>
      <c r="G14" s="132">
        <f t="shared" ref="G14" si="15">ROUND(E14/$U$2*F14,0)</f>
        <v>5000000</v>
      </c>
      <c r="H14" s="79">
        <f>(VLOOKUP(B14,'CC -3'!$B$8:$AS$17,37,0)+VLOOKUP(B14,'CC -3'!$B$8:$AS$17,38,0))</f>
        <v>0</v>
      </c>
      <c r="I14" s="132">
        <f t="shared" ref="I14" si="16">ROUND(E14/$U$2*H14,0)</f>
        <v>0</v>
      </c>
      <c r="J14" s="133">
        <f t="shared" ref="J14:K14" si="17">F14+H14</f>
        <v>27</v>
      </c>
      <c r="K14" s="32">
        <f t="shared" si="17"/>
        <v>5000000</v>
      </c>
      <c r="L14" s="77">
        <f t="shared" ref="L14" si="18">+F14*15000</f>
        <v>405000</v>
      </c>
      <c r="M14" s="33">
        <f t="shared" ref="M14" si="19">K14+L14</f>
        <v>5405000</v>
      </c>
      <c r="N14" s="33">
        <f t="shared" ref="N14:P16" si="20">IF(VLOOKUP($B14,DS,13,0)="x",$E14*N$4,0)</f>
        <v>0</v>
      </c>
      <c r="O14" s="33">
        <f t="shared" si="20"/>
        <v>0</v>
      </c>
      <c r="P14" s="33">
        <f t="shared" si="20"/>
        <v>0</v>
      </c>
      <c r="Q14" s="32">
        <f>M14-SUM(N14:P14)</f>
        <v>5405000</v>
      </c>
      <c r="R14" s="32">
        <f t="shared" ref="R14" si="21">VLOOKUP(B14,DS,23,0)</f>
        <v>0</v>
      </c>
      <c r="S14" s="38">
        <f>Q14-R14</f>
        <v>5405000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:C16" si="22">VLOOKUP(B15,DS,2,0)</f>
        <v>Lê Văn Hữu</v>
      </c>
      <c r="D15" s="103" t="str">
        <f t="shared" ref="D15:D16" si="23">VLOOKUP(B15,DS,3,0)</f>
        <v>Công Đoạn 2</v>
      </c>
      <c r="E15" s="77">
        <f t="shared" ref="E15:E16" si="24">VLOOKUP(B15,DS,4,0)</f>
        <v>5000000</v>
      </c>
      <c r="F15" s="79">
        <f>VLOOKUP(B15,'CC -3'!$B$8:$AS$17,36,0)</f>
        <v>27</v>
      </c>
      <c r="G15" s="132">
        <f t="shared" ref="G15:G16" si="25">ROUND(E15/$U$2*F15,0)</f>
        <v>5000000</v>
      </c>
      <c r="H15" s="79">
        <f>(VLOOKUP(B15,'CC -3'!$B$8:$AS$17,37,0)+VLOOKUP(B15,'CC -3'!$B$8:$AS$17,38,0))</f>
        <v>0</v>
      </c>
      <c r="I15" s="132">
        <f t="shared" ref="I15:I16" si="26">ROUND(E15/$U$2*H15,0)</f>
        <v>0</v>
      </c>
      <c r="J15" s="133">
        <f t="shared" ref="J15:J16" si="27">F15+H15</f>
        <v>27</v>
      </c>
      <c r="K15" s="32">
        <f t="shared" ref="K15:K16" si="28">G15+I15</f>
        <v>5000000</v>
      </c>
      <c r="L15" s="77">
        <f t="shared" ref="L15:L16" si="29">+F15*15000</f>
        <v>405000</v>
      </c>
      <c r="M15" s="33">
        <f t="shared" ref="M15:M16" si="30">K15+L15</f>
        <v>5405000</v>
      </c>
      <c r="N15" s="33">
        <f t="shared" si="20"/>
        <v>0</v>
      </c>
      <c r="O15" s="33">
        <f t="shared" si="20"/>
        <v>0</v>
      </c>
      <c r="P15" s="33">
        <f t="shared" si="20"/>
        <v>0</v>
      </c>
      <c r="Q15" s="32">
        <f t="shared" ref="Q15:Q16" si="31">M15-SUM(N15:P15)</f>
        <v>5405000</v>
      </c>
      <c r="R15" s="32">
        <f t="shared" ref="R15:R16" si="32">VLOOKUP(B15,DS,23,0)</f>
        <v>0</v>
      </c>
      <c r="S15" s="38">
        <f t="shared" ref="S15:S16" si="33">Q15-R15</f>
        <v>5405000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22"/>
        <v>Phan Thị Sương</v>
      </c>
      <c r="D16" s="103" t="str">
        <f t="shared" si="23"/>
        <v>Công Đoạn 1</v>
      </c>
      <c r="E16" s="77">
        <f t="shared" si="24"/>
        <v>3000000</v>
      </c>
      <c r="F16" s="79">
        <f>VLOOKUP(B16,'CC -3'!$B$8:$AS$17,36,0)</f>
        <v>27</v>
      </c>
      <c r="G16" s="132">
        <f t="shared" si="25"/>
        <v>3000000</v>
      </c>
      <c r="H16" s="79">
        <f>(VLOOKUP(B16,'CC -3'!$B$8:$AS$17,37,0)+VLOOKUP(B16,'CC -3'!$B$8:$AS$17,38,0))</f>
        <v>0</v>
      </c>
      <c r="I16" s="132">
        <f t="shared" si="26"/>
        <v>0</v>
      </c>
      <c r="J16" s="133">
        <f t="shared" si="27"/>
        <v>27</v>
      </c>
      <c r="K16" s="32">
        <f t="shared" si="28"/>
        <v>3000000</v>
      </c>
      <c r="L16" s="77">
        <f t="shared" si="29"/>
        <v>405000</v>
      </c>
      <c r="M16" s="33">
        <f t="shared" si="30"/>
        <v>3405000</v>
      </c>
      <c r="N16" s="33">
        <f t="shared" si="20"/>
        <v>0</v>
      </c>
      <c r="O16" s="33">
        <f t="shared" si="20"/>
        <v>0</v>
      </c>
      <c r="P16" s="33">
        <f t="shared" si="20"/>
        <v>0</v>
      </c>
      <c r="Q16" s="32">
        <f t="shared" si="31"/>
        <v>3405000</v>
      </c>
      <c r="R16" s="32">
        <f t="shared" si="32"/>
        <v>0</v>
      </c>
      <c r="S16" s="38">
        <f t="shared" si="33"/>
        <v>3405000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4">SUM(K13:K17)</f>
        <v>13000000</v>
      </c>
      <c r="L18" s="127">
        <f t="shared" si="34"/>
        <v>1215000</v>
      </c>
      <c r="M18" s="127">
        <f t="shared" si="34"/>
        <v>14215000</v>
      </c>
      <c r="N18" s="127">
        <f t="shared" si="34"/>
        <v>0</v>
      </c>
      <c r="O18" s="127">
        <f t="shared" si="34"/>
        <v>0</v>
      </c>
      <c r="P18" s="127">
        <f t="shared" si="34"/>
        <v>0</v>
      </c>
      <c r="Q18" s="127">
        <f t="shared" si="34"/>
        <v>14215000</v>
      </c>
      <c r="R18" s="127">
        <f t="shared" si="34"/>
        <v>0</v>
      </c>
      <c r="S18" s="127">
        <f t="shared" si="34"/>
        <v>14215000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"&amp;TEXT(E4,"mm")&amp;"   năm "&amp;TEXT(E4,"yyyy")</f>
        <v>Bình Chánh, ngày  31   tháng   03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N5:P6 L5 L21 J6:K7 L7 A24:T57 U30:U57 N17:S17 V24:IK57 J17:L17 A58:IK65325 AF13:IK13 V12:IK12 D12:T12 D18:T18 Q11:S11 A11:B12 AF11:IK11 W11 W10 AF5:IK10 A10:B10 Q10:S10" name="Range1"/>
    <protectedRange password="CC78" sqref="F7:H7" name="Range1_4"/>
    <protectedRange password="CC78" sqref="V21:IK22 S21:T22 N21:Q22 E21:I22" name="Range1_1_1"/>
    <protectedRange password="CC78" sqref="U1 W1:IK3 V4:IK4 B4:T4 R2:S3 B1:Q3 U17:U29 X13:AE13 X11:AE11 U11:U13 U4:U10 X5:AE1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A14:B16 AF14:IK16 Q14:S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F12" sqref="F12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3" customWidth="1"/>
    <col min="5" max="5" width="7.140625" style="2" customWidth="1"/>
    <col min="6" max="33" width="3.42578125" style="110" customWidth="1"/>
    <col min="34" max="35" width="3.42578125" style="111" customWidth="1"/>
    <col min="36" max="37" width="4.42578125" style="2" customWidth="1"/>
    <col min="38" max="38" width="5.5703125" style="8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04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42"/>
      <c r="AK1" s="42"/>
      <c r="AL1" s="254" t="s">
        <v>80</v>
      </c>
      <c r="AM1" s="255"/>
      <c r="AN1" s="255"/>
      <c r="AO1" s="255"/>
      <c r="AP1" s="255"/>
      <c r="AQ1" s="255"/>
      <c r="AR1" s="256"/>
      <c r="AS1" s="44"/>
    </row>
    <row r="2" spans="1:90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42"/>
      <c r="AK2" s="42"/>
      <c r="AL2" s="83"/>
      <c r="AM2" s="46"/>
      <c r="AN2" s="46"/>
      <c r="AO2" s="46"/>
      <c r="AP2" s="46"/>
      <c r="AQ2" s="46"/>
      <c r="AR2" s="82"/>
      <c r="AS2" s="82"/>
    </row>
    <row r="3" spans="1:90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42"/>
      <c r="AK3" s="42"/>
      <c r="AL3" s="83"/>
      <c r="AM3" s="44"/>
      <c r="AN3" s="44"/>
      <c r="AO3" s="44"/>
      <c r="AP3" s="44"/>
      <c r="AQ3" s="44"/>
      <c r="AR3" s="49"/>
      <c r="AS3" s="49"/>
    </row>
    <row r="4" spans="1:90" ht="14.25" customHeight="1">
      <c r="A4" s="50"/>
      <c r="B4" s="50"/>
      <c r="C4" s="142"/>
      <c r="D4" s="141"/>
      <c r="E4" s="51">
        <v>42826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0"/>
      <c r="AK4" s="50"/>
      <c r="AL4" s="84"/>
      <c r="AM4" s="50"/>
      <c r="AN4" s="50"/>
      <c r="AO4" s="50"/>
      <c r="AP4" s="50"/>
      <c r="AQ4" s="50"/>
      <c r="AR4" s="50"/>
      <c r="AS4" s="88"/>
    </row>
    <row r="5" spans="1:90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42826</v>
      </c>
      <c r="G5" s="105">
        <f t="shared" ref="G5:AI5" si="0">F5+1</f>
        <v>42827</v>
      </c>
      <c r="H5" s="105">
        <f t="shared" si="0"/>
        <v>42828</v>
      </c>
      <c r="I5" s="105">
        <f t="shared" si="0"/>
        <v>42829</v>
      </c>
      <c r="J5" s="105">
        <f t="shared" si="0"/>
        <v>42830</v>
      </c>
      <c r="K5" s="105">
        <f t="shared" si="0"/>
        <v>42831</v>
      </c>
      <c r="L5" s="105">
        <f t="shared" si="0"/>
        <v>42832</v>
      </c>
      <c r="M5" s="105">
        <f t="shared" si="0"/>
        <v>42833</v>
      </c>
      <c r="N5" s="105">
        <f t="shared" si="0"/>
        <v>42834</v>
      </c>
      <c r="O5" s="105">
        <f t="shared" si="0"/>
        <v>42835</v>
      </c>
      <c r="P5" s="105">
        <f t="shared" si="0"/>
        <v>42836</v>
      </c>
      <c r="Q5" s="105">
        <f t="shared" si="0"/>
        <v>42837</v>
      </c>
      <c r="R5" s="105">
        <f t="shared" si="0"/>
        <v>42838</v>
      </c>
      <c r="S5" s="105">
        <f t="shared" si="0"/>
        <v>42839</v>
      </c>
      <c r="T5" s="105">
        <f t="shared" si="0"/>
        <v>42840</v>
      </c>
      <c r="U5" s="105">
        <f t="shared" si="0"/>
        <v>42841</v>
      </c>
      <c r="V5" s="105">
        <f t="shared" si="0"/>
        <v>42842</v>
      </c>
      <c r="W5" s="105">
        <f t="shared" si="0"/>
        <v>42843</v>
      </c>
      <c r="X5" s="105">
        <f t="shared" si="0"/>
        <v>42844</v>
      </c>
      <c r="Y5" s="105">
        <f t="shared" si="0"/>
        <v>42845</v>
      </c>
      <c r="Z5" s="105">
        <f t="shared" si="0"/>
        <v>42846</v>
      </c>
      <c r="AA5" s="105">
        <f t="shared" si="0"/>
        <v>42847</v>
      </c>
      <c r="AB5" s="105">
        <f t="shared" si="0"/>
        <v>42848</v>
      </c>
      <c r="AC5" s="105">
        <f t="shared" si="0"/>
        <v>42849</v>
      </c>
      <c r="AD5" s="105">
        <f t="shared" si="0"/>
        <v>42850</v>
      </c>
      <c r="AE5" s="105">
        <f t="shared" si="0"/>
        <v>42851</v>
      </c>
      <c r="AF5" s="105">
        <f t="shared" si="0"/>
        <v>42852</v>
      </c>
      <c r="AG5" s="105">
        <f t="shared" si="0"/>
        <v>42853</v>
      </c>
      <c r="AH5" s="105">
        <f>AG5+1</f>
        <v>42854</v>
      </c>
      <c r="AI5" s="105">
        <f t="shared" si="0"/>
        <v>42855</v>
      </c>
      <c r="AJ5" s="260" t="s">
        <v>15</v>
      </c>
      <c r="AK5" s="261"/>
      <c r="AL5" s="262"/>
      <c r="AM5" s="263" t="s">
        <v>39</v>
      </c>
      <c r="AN5" s="263" t="s">
        <v>35</v>
      </c>
      <c r="AO5" s="263" t="s">
        <v>36</v>
      </c>
      <c r="AP5" s="263" t="s">
        <v>37</v>
      </c>
      <c r="AQ5" s="263" t="s">
        <v>38</v>
      </c>
      <c r="AR5" s="259" t="s">
        <v>0</v>
      </c>
      <c r="AS5" s="265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T.Bảy</v>
      </c>
      <c r="G6" s="160" t="str">
        <f t="shared" ref="G6:AI6" si="1">CHOOSE(WEEKDAY(G5),"C.Nhật","T.Hai","T.Ba","T.Tư","T.Năm","T.Sáu","T.Bảy")</f>
        <v>C.Nhật</v>
      </c>
      <c r="H6" s="160" t="str">
        <f t="shared" si="1"/>
        <v>T.Hai</v>
      </c>
      <c r="I6" s="160" t="str">
        <f t="shared" si="1"/>
        <v>T.Ba</v>
      </c>
      <c r="J6" s="160" t="str">
        <f t="shared" si="1"/>
        <v>T.Tư</v>
      </c>
      <c r="K6" s="160" t="str">
        <f t="shared" si="1"/>
        <v>T.Năm</v>
      </c>
      <c r="L6" s="160" t="str">
        <f t="shared" si="1"/>
        <v>T.Sáu</v>
      </c>
      <c r="M6" s="160" t="str">
        <f t="shared" si="1"/>
        <v>T.Bảy</v>
      </c>
      <c r="N6" s="160" t="str">
        <f t="shared" si="1"/>
        <v>C.Nhật</v>
      </c>
      <c r="O6" s="160" t="str">
        <f t="shared" si="1"/>
        <v>T.Hai</v>
      </c>
      <c r="P6" s="160" t="str">
        <f t="shared" si="1"/>
        <v>T.Ba</v>
      </c>
      <c r="Q6" s="160" t="str">
        <f t="shared" si="1"/>
        <v>T.Tư</v>
      </c>
      <c r="R6" s="160" t="str">
        <f t="shared" si="1"/>
        <v>T.Năm</v>
      </c>
      <c r="S6" s="160" t="str">
        <f t="shared" si="1"/>
        <v>T.Sáu</v>
      </c>
      <c r="T6" s="160" t="str">
        <f t="shared" si="1"/>
        <v>T.Bảy</v>
      </c>
      <c r="U6" s="160" t="str">
        <f t="shared" si="1"/>
        <v>C.Nhật</v>
      </c>
      <c r="V6" s="160" t="str">
        <f t="shared" si="1"/>
        <v>T.Hai</v>
      </c>
      <c r="W6" s="160" t="str">
        <f t="shared" si="1"/>
        <v>T.Ba</v>
      </c>
      <c r="X6" s="160" t="str">
        <f t="shared" si="1"/>
        <v>T.Tư</v>
      </c>
      <c r="Y6" s="160" t="str">
        <f t="shared" si="1"/>
        <v>T.Năm</v>
      </c>
      <c r="Z6" s="160" t="str">
        <f t="shared" si="1"/>
        <v>T.Sáu</v>
      </c>
      <c r="AA6" s="160" t="str">
        <f t="shared" si="1"/>
        <v>T.Bảy</v>
      </c>
      <c r="AB6" s="160" t="str">
        <f t="shared" si="1"/>
        <v>C.Nhật</v>
      </c>
      <c r="AC6" s="160" t="str">
        <f t="shared" si="1"/>
        <v>T.Hai</v>
      </c>
      <c r="AD6" s="160" t="str">
        <f t="shared" si="1"/>
        <v>T.Ba</v>
      </c>
      <c r="AE6" s="160" t="str">
        <f t="shared" si="1"/>
        <v>T.Tư</v>
      </c>
      <c r="AF6" s="160" t="str">
        <f t="shared" si="1"/>
        <v>T.Năm</v>
      </c>
      <c r="AG6" s="160" t="str">
        <f t="shared" si="1"/>
        <v>T.Sáu</v>
      </c>
      <c r="AH6" s="160" t="str">
        <f t="shared" si="1"/>
        <v>T.Bảy</v>
      </c>
      <c r="AI6" s="160" t="str">
        <f t="shared" si="1"/>
        <v>C.Nhật</v>
      </c>
      <c r="AJ6" s="161" t="s">
        <v>16</v>
      </c>
      <c r="AK6" s="161" t="s">
        <v>29</v>
      </c>
      <c r="AL6" s="162" t="s">
        <v>17</v>
      </c>
      <c r="AM6" s="264"/>
      <c r="AN6" s="264"/>
      <c r="AO6" s="264"/>
      <c r="AP6" s="264"/>
      <c r="AQ6" s="264"/>
      <c r="AR6" s="258"/>
      <c r="AS6" s="265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36</v>
      </c>
      <c r="AK7" s="163">
        <v>37</v>
      </c>
      <c r="AL7" s="163">
        <v>38</v>
      </c>
      <c r="AM7" s="163">
        <v>39</v>
      </c>
      <c r="AN7" s="163">
        <v>40</v>
      </c>
      <c r="AO7" s="163">
        <v>41</v>
      </c>
      <c r="AP7" s="163">
        <v>42</v>
      </c>
      <c r="AQ7" s="163">
        <v>43</v>
      </c>
      <c r="AR7" s="163">
        <v>44</v>
      </c>
      <c r="AS7" s="205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6" customFormat="1" ht="21" customHeight="1">
      <c r="A8" s="164" t="s">
        <v>68</v>
      </c>
      <c r="B8" s="167" t="s">
        <v>79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9"/>
      <c r="AS8" s="165"/>
    </row>
    <row r="9" spans="1:90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/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/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/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244">
        <f>((SUM(F9:AI9))/8)-(SUMIF($F$6:$AI$6,"C.Nhật",F9:AI9)/8)</f>
        <v>25</v>
      </c>
      <c r="AK9" s="244">
        <f>SUM(F10:AI10)/8*1.5</f>
        <v>0</v>
      </c>
      <c r="AL9" s="246">
        <f>SUMIF($F$6:$AI$6,"C.Nhật",$F9:$AI10)/8*2</f>
        <v>0</v>
      </c>
      <c r="AM9" s="248">
        <f>SUM(AJ9:AL10)</f>
        <v>25</v>
      </c>
      <c r="AN9" s="250">
        <v>0</v>
      </c>
      <c r="AO9" s="248"/>
      <c r="AP9" s="248"/>
      <c r="AQ9" s="248"/>
      <c r="AR9" s="252"/>
      <c r="AS9" s="205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45"/>
      <c r="AK10" s="245"/>
      <c r="AL10" s="247"/>
      <c r="AM10" s="249"/>
      <c r="AN10" s="251"/>
      <c r="AO10" s="249"/>
      <c r="AP10" s="249"/>
      <c r="AQ10" s="249"/>
      <c r="AR10" s="253"/>
      <c r="AS10" s="205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9"/>
      <c r="AS11" s="165"/>
    </row>
    <row r="12" spans="1:90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/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/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/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244">
        <f>((SUM(F12:AI12))/8)-(SUMIF($F$6:$AI$6,"C.Nhật",F12:AI12)/8)</f>
        <v>25</v>
      </c>
      <c r="AK12" s="244">
        <f>SUM(F13:AI13)/8*1.5</f>
        <v>0</v>
      </c>
      <c r="AL12" s="246">
        <f>SUMIF($F$6:$AI$6,"C.Nhật",$F12:$AI13)/8*2</f>
        <v>0</v>
      </c>
      <c r="AM12" s="248">
        <f>SUM(AJ12:AL13)</f>
        <v>25</v>
      </c>
      <c r="AN12" s="250">
        <v>0</v>
      </c>
      <c r="AO12" s="248"/>
      <c r="AP12" s="248"/>
      <c r="AQ12" s="248"/>
      <c r="AR12" s="252"/>
      <c r="AS12" s="20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45"/>
      <c r="AK13" s="245"/>
      <c r="AL13" s="247"/>
      <c r="AM13" s="249"/>
      <c r="AN13" s="251"/>
      <c r="AO13" s="249"/>
      <c r="AP13" s="249"/>
      <c r="AQ13" s="249"/>
      <c r="AR13" s="253"/>
      <c r="AS13" s="205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90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/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/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/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244">
        <f>((SUM(F14:AI14))/8)-(SUMIF($F$6:$AI$6,"C.Nhật",F14:AI14)/8)</f>
        <v>25</v>
      </c>
      <c r="AK14" s="244">
        <f>SUM(F15:AI15)/8*1.5</f>
        <v>0</v>
      </c>
      <c r="AL14" s="246">
        <f>SUMIF($F$6:$AI$6,"C.Nhật",$F14:$AI15)/8*2</f>
        <v>0</v>
      </c>
      <c r="AM14" s="248">
        <f t="shared" ref="AM14" si="2">SUM(AJ14:AL15)</f>
        <v>25</v>
      </c>
      <c r="AN14" s="250">
        <v>0</v>
      </c>
      <c r="AO14" s="248"/>
      <c r="AP14" s="248"/>
      <c r="AQ14" s="248"/>
      <c r="AR14" s="252"/>
      <c r="AS14" s="21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45"/>
      <c r="AK15" s="245"/>
      <c r="AL15" s="247"/>
      <c r="AM15" s="249"/>
      <c r="AN15" s="251"/>
      <c r="AO15" s="249"/>
      <c r="AP15" s="249"/>
      <c r="AQ15" s="249"/>
      <c r="AR15" s="253"/>
      <c r="AS15" s="21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/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/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/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244">
        <f>((SUM(F16:AI16))/8)-(SUMIF($F$6:$AI$6,"C.Nhật",F16:AI16)/8)</f>
        <v>25</v>
      </c>
      <c r="AK16" s="244">
        <f>SUM(F17:AI17)/8*1.5</f>
        <v>0</v>
      </c>
      <c r="AL16" s="246">
        <f>SUMIF($F$6:$AI$6,"C.Nhật",$F16:$AI17)/8*2</f>
        <v>0</v>
      </c>
      <c r="AM16" s="248">
        <f t="shared" ref="AM16" si="3">SUM(AJ16:AL17)</f>
        <v>25</v>
      </c>
      <c r="AN16" s="250">
        <v>0</v>
      </c>
      <c r="AO16" s="248"/>
      <c r="AP16" s="248"/>
      <c r="AQ16" s="248"/>
      <c r="AR16" s="252"/>
      <c r="AS16" s="21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45"/>
      <c r="AK17" s="245"/>
      <c r="AL17" s="247"/>
      <c r="AM17" s="249"/>
      <c r="AN17" s="251"/>
      <c r="AO17" s="249"/>
      <c r="AP17" s="249"/>
      <c r="AQ17" s="249"/>
      <c r="AR17" s="253"/>
      <c r="AS17" s="21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4"/>
      <c r="AK18" s="4"/>
      <c r="AL18" s="85"/>
      <c r="AM18" s="61"/>
      <c r="AN18" s="61"/>
      <c r="AO18" s="61"/>
      <c r="AP18" s="61"/>
      <c r="AQ18" s="61"/>
      <c r="AR18" s="4"/>
      <c r="AS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4"/>
      <c r="AK19" s="4"/>
      <c r="AL19" s="85"/>
      <c r="AM19" s="61"/>
      <c r="AN19" s="61"/>
      <c r="AO19" s="61"/>
      <c r="AP19" s="61"/>
      <c r="AQ19" s="61"/>
      <c r="AR19" s="4"/>
      <c r="AS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4"/>
      <c r="AK20" s="4"/>
      <c r="AL20" s="85"/>
      <c r="AM20" s="63"/>
      <c r="AN20" s="63"/>
      <c r="AO20" s="63"/>
      <c r="AP20" s="63"/>
      <c r="AQ20" s="63"/>
      <c r="AR20" s="4"/>
      <c r="AS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4"/>
      <c r="AK21" s="4"/>
      <c r="AL21" s="85"/>
      <c r="AM21" s="63"/>
      <c r="AN21" s="63"/>
      <c r="AO21" s="63"/>
      <c r="AP21" s="63"/>
      <c r="AQ21" s="63"/>
      <c r="AR21" s="4"/>
      <c r="AS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4"/>
      <c r="AK22" s="4"/>
      <c r="AL22" s="85"/>
      <c r="AM22" s="63"/>
      <c r="AN22" s="63"/>
      <c r="AO22" s="63"/>
      <c r="AP22" s="63"/>
      <c r="AQ22" s="63"/>
      <c r="AR22" s="4"/>
      <c r="AS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4"/>
      <c r="AK23" s="4"/>
      <c r="AL23" s="85"/>
      <c r="AM23" s="63"/>
      <c r="AN23" s="63"/>
      <c r="AO23" s="63"/>
      <c r="AP23" s="63"/>
      <c r="AQ23" s="63"/>
      <c r="AR23" s="4"/>
      <c r="AS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64"/>
      <c r="AL24" s="86"/>
      <c r="AM24" s="10"/>
      <c r="AN24" s="10"/>
      <c r="AO24" s="10"/>
      <c r="AP24" s="10"/>
      <c r="AQ24" s="10"/>
      <c r="AR24" s="14"/>
      <c r="AS24" s="4"/>
    </row>
    <row r="25" spans="1:91" s="60" customFormat="1" ht="12.75">
      <c r="A25" s="2"/>
      <c r="B25" s="2" t="s">
        <v>0</v>
      </c>
      <c r="C25" s="2"/>
      <c r="D25" s="203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2"/>
      <c r="AK25" s="2"/>
      <c r="AL25" s="87"/>
      <c r="AM25" s="2"/>
      <c r="AN25" s="2"/>
      <c r="AO25" s="2"/>
      <c r="AP25" s="2"/>
      <c r="AQ25" s="2"/>
      <c r="AR25" s="2"/>
      <c r="AS25" s="4"/>
    </row>
    <row r="26" spans="1:91" s="60" customFormat="1" ht="12.75">
      <c r="A26" s="2"/>
      <c r="B26" s="2"/>
      <c r="C26" s="2" t="s">
        <v>40</v>
      </c>
      <c r="D26" s="203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2"/>
      <c r="AK26" s="2"/>
      <c r="AL26" s="87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203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2"/>
      <c r="AK29" s="2"/>
      <c r="AL29" s="8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3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2"/>
      <c r="AK30" s="2"/>
      <c r="AL30" s="8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3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2"/>
      <c r="AK31" s="2"/>
      <c r="AL31" s="8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3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2"/>
      <c r="AK32" s="2"/>
      <c r="AL32" s="8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3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2"/>
      <c r="AK33" s="2"/>
      <c r="AL33" s="8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3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2"/>
      <c r="AK34" s="2"/>
      <c r="AL34" s="8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B12:B13"/>
    <mergeCell ref="C12:C13"/>
    <mergeCell ref="D12:D13"/>
    <mergeCell ref="AJ12:AJ13"/>
    <mergeCell ref="AK12:AK13"/>
    <mergeCell ref="AM12:AM13"/>
    <mergeCell ref="AN12:AN13"/>
    <mergeCell ref="AO12:AO13"/>
    <mergeCell ref="AP12:AP13"/>
    <mergeCell ref="AQ12:AQ13"/>
    <mergeCell ref="A12:A13"/>
    <mergeCell ref="A9:A10"/>
    <mergeCell ref="B9:B10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D9:D10"/>
    <mergeCell ref="AJ9:AJ10"/>
    <mergeCell ref="AR12:AR13"/>
    <mergeCell ref="AL12:AL13"/>
    <mergeCell ref="D14:D15"/>
    <mergeCell ref="AJ14:AJ15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C9:C10"/>
    <mergeCell ref="AN16:AN17"/>
    <mergeCell ref="AO16:AO17"/>
    <mergeCell ref="AP16:AP17"/>
    <mergeCell ref="AQ16:AQ17"/>
    <mergeCell ref="AR16:AR17"/>
    <mergeCell ref="D16:D17"/>
    <mergeCell ref="AJ16:AJ17"/>
    <mergeCell ref="AK16:AK17"/>
    <mergeCell ref="AL16:AL17"/>
    <mergeCell ref="AM16:AM17"/>
    <mergeCell ref="A14:A15"/>
    <mergeCell ref="B14:B15"/>
    <mergeCell ref="C14:C15"/>
    <mergeCell ref="A16:A17"/>
    <mergeCell ref="B16:B17"/>
    <mergeCell ref="C16:C17"/>
    <mergeCell ref="AP14:AP15"/>
    <mergeCell ref="AQ14:AQ15"/>
    <mergeCell ref="AR14:AR15"/>
    <mergeCell ref="AK14:AK15"/>
    <mergeCell ref="AL14:AL15"/>
    <mergeCell ref="AM14:AM15"/>
    <mergeCell ref="AN14:AN15"/>
    <mergeCell ref="AO14:AO15"/>
  </mergeCells>
  <conditionalFormatting sqref="F5:AI6 F9:AI10">
    <cfRule type="expression" dxfId="65" priority="21" stopIfTrue="1">
      <formula>IF(WEEKDAY(F$5)=1,TRUE,FALSE)</formula>
    </cfRule>
  </conditionalFormatting>
  <conditionalFormatting sqref="F12:AI17">
    <cfRule type="expression" dxfId="6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5" activePane="bottomRight" state="frozen"/>
      <selection activeCell="X10" sqref="X10"/>
      <selection pane="topRight" activeCell="X10" sqref="X10"/>
      <selection pane="bottomLeft" activeCell="X10" sqref="X10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7"/>
      <c r="C1" s="207"/>
      <c r="D1" s="266" t="str">
        <f>"BẢNG THANH TOÁN LƯƠNG THÁNG"&amp;" "&amp;TEXT($E$4,"mm")&amp;" / "&amp;TEXT($E$4,"yyyy")</f>
        <v>BẢNG THANH TOÁN LƯƠNG THÁNG 04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7"/>
      <c r="C2" s="207"/>
      <c r="D2" s="207"/>
      <c r="E2" s="68"/>
      <c r="F2" s="207"/>
      <c r="G2" s="207"/>
      <c r="H2" s="207"/>
      <c r="I2" s="207"/>
      <c r="J2" s="69"/>
      <c r="K2" s="207"/>
      <c r="L2" s="207"/>
      <c r="M2" s="207"/>
      <c r="N2" s="207"/>
      <c r="O2" s="207"/>
      <c r="P2" s="207"/>
      <c r="Q2" s="207"/>
      <c r="R2" s="207"/>
      <c r="S2" s="207"/>
      <c r="T2" s="46"/>
      <c r="U2" s="67">
        <f>MAX(F10:F18)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7"/>
      <c r="C3" s="207"/>
      <c r="D3" s="207"/>
      <c r="E3" s="68"/>
      <c r="F3" s="207"/>
      <c r="G3" s="207"/>
      <c r="H3" s="207"/>
      <c r="I3" s="207"/>
      <c r="J3" s="69"/>
      <c r="K3" s="207"/>
      <c r="L3" s="207"/>
      <c r="M3" s="207"/>
      <c r="N3" s="207"/>
      <c r="O3" s="207"/>
      <c r="P3" s="207"/>
      <c r="Q3" s="207"/>
      <c r="R3" s="207"/>
      <c r="S3" s="207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-4'!$E$4</f>
        <v>42826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06" t="s">
        <v>34</v>
      </c>
      <c r="G7" s="204" t="s">
        <v>18</v>
      </c>
      <c r="H7" s="206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-4'!$B$8:$AR$17,35,0)</f>
        <v>25</v>
      </c>
      <c r="G10" s="132">
        <f t="shared" ref="G10" si="3">ROUND(E10/$U$2*F10,0)</f>
        <v>5000000</v>
      </c>
      <c r="H10" s="79">
        <f>(VLOOKUP(B10,'CC -4'!$B$8:$AR$17,36,0)+VLOOKUP(B10,'CC -4'!$B$8:$AR$17,37,0))</f>
        <v>0</v>
      </c>
      <c r="I10" s="132">
        <f t="shared" ref="I10" si="4">ROUND(E10/$U$2*H10,0)</f>
        <v>0</v>
      </c>
      <c r="J10" s="80">
        <f t="shared" ref="J10" si="5">F10+H10</f>
        <v>25</v>
      </c>
      <c r="K10" s="32">
        <f>G10+I10</f>
        <v>5000000</v>
      </c>
      <c r="L10" s="77">
        <f t="shared" ref="L10" si="6">+F10*15000</f>
        <v>375000</v>
      </c>
      <c r="M10" s="33">
        <f t="shared" ref="M10" si="7">K10+L10</f>
        <v>5375000</v>
      </c>
      <c r="N10" s="33">
        <f>IF(VLOOKUP($B10,DS,15,0)="x",$E10*N$4,0)</f>
        <v>0</v>
      </c>
      <c r="O10" s="33">
        <f>IF(VLOOKUP($B10,DS,15,0)="x",$E10*O$4,0)</f>
        <v>0</v>
      </c>
      <c r="P10" s="33">
        <f>IF(VLOOKUP($B10,DS,15,0)="x",$E10*P$4,0)</f>
        <v>0</v>
      </c>
      <c r="Q10" s="32">
        <f t="shared" ref="Q10" si="8">M10-SUM(N10:P10)</f>
        <v>5375000</v>
      </c>
      <c r="R10" s="32">
        <f>VLOOKUP(B10,DS,23,0)</f>
        <v>0</v>
      </c>
      <c r="S10" s="38">
        <f t="shared" ref="S10" si="9">Q10-R10</f>
        <v>5375000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0">SUM(K9:K10)</f>
        <v>5000000</v>
      </c>
      <c r="L12" s="127">
        <f t="shared" si="10"/>
        <v>375000</v>
      </c>
      <c r="M12" s="127">
        <f t="shared" si="10"/>
        <v>5375000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5375000</v>
      </c>
      <c r="R12" s="127">
        <f t="shared" si="10"/>
        <v>0</v>
      </c>
      <c r="S12" s="127">
        <f t="shared" si="10"/>
        <v>5375000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" si="11">VLOOKUP(B14,DS,2,0)</f>
        <v>Bùi Trường Giang</v>
      </c>
      <c r="D14" s="103" t="str">
        <f t="shared" ref="D14" si="12">VLOOKUP(B14,DS,3,0)</f>
        <v>Thợ in</v>
      </c>
      <c r="E14" s="77">
        <f t="shared" ref="E14" si="13">VLOOKUP(B14,DS,4,0)</f>
        <v>5000000</v>
      </c>
      <c r="F14" s="79">
        <f>VLOOKUP(B14,'CC -4'!$B$8:$AR$17,35,0)</f>
        <v>25</v>
      </c>
      <c r="G14" s="132">
        <f t="shared" ref="G14" si="14">ROUND(E14/$U$2*F14,0)</f>
        <v>5000000</v>
      </c>
      <c r="H14" s="79">
        <f>(VLOOKUP(B14,'CC -4'!$B$8:$AR$17,36,0)+VLOOKUP(B14,'CC -4'!$B$8:$AR$17,37,0))</f>
        <v>0</v>
      </c>
      <c r="I14" s="132">
        <f t="shared" ref="I14" si="15">ROUND(E14/$U$2*H14,0)</f>
        <v>0</v>
      </c>
      <c r="J14" s="133">
        <f t="shared" ref="J14:K14" si="16">F14+H14</f>
        <v>25</v>
      </c>
      <c r="K14" s="32">
        <f t="shared" si="16"/>
        <v>5000000</v>
      </c>
      <c r="L14" s="77">
        <f t="shared" ref="L14" si="17">+F14*15000</f>
        <v>375000</v>
      </c>
      <c r="M14" s="33">
        <f t="shared" ref="M14" si="18">K14+L14</f>
        <v>5375000</v>
      </c>
      <c r="N14" s="33">
        <f t="shared" ref="N14:P16" si="19">IF(VLOOKUP($B14,DS,15,0)="x",$E14*N$4,0)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5375000</v>
      </c>
      <c r="R14" s="32">
        <f t="shared" ref="R14" si="20">VLOOKUP(B14,DS,23,0)</f>
        <v>0</v>
      </c>
      <c r="S14" s="38">
        <f>Q14-R14</f>
        <v>5375000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:C16" si="21">VLOOKUP(B15,DS,2,0)</f>
        <v>Lê Văn Hữu</v>
      </c>
      <c r="D15" s="103" t="str">
        <f t="shared" ref="D15:D16" si="22">VLOOKUP(B15,DS,3,0)</f>
        <v>Công Đoạn 2</v>
      </c>
      <c r="E15" s="77">
        <f t="shared" ref="E15:E16" si="23">VLOOKUP(B15,DS,4,0)</f>
        <v>5000000</v>
      </c>
      <c r="F15" s="79">
        <f>VLOOKUP(B15,'CC -4'!$B$8:$AR$17,35,0)</f>
        <v>25</v>
      </c>
      <c r="G15" s="132">
        <f t="shared" ref="G15:G16" si="24">ROUND(E15/$U$2*F15,0)</f>
        <v>5000000</v>
      </c>
      <c r="H15" s="79">
        <f>(VLOOKUP(B15,'CC -4'!$B$8:$AR$17,36,0)+VLOOKUP(B15,'CC -4'!$B$8:$AR$17,37,0))</f>
        <v>0</v>
      </c>
      <c r="I15" s="132">
        <f t="shared" ref="I15:I16" si="25">ROUND(E15/$U$2*H15,0)</f>
        <v>0</v>
      </c>
      <c r="J15" s="133">
        <f t="shared" ref="J15:J16" si="26">F15+H15</f>
        <v>25</v>
      </c>
      <c r="K15" s="32">
        <f t="shared" ref="K15:K16" si="27">G15+I15</f>
        <v>5000000</v>
      </c>
      <c r="L15" s="77">
        <f t="shared" ref="L15:L16" si="28">+F15*15000</f>
        <v>375000</v>
      </c>
      <c r="M15" s="33">
        <f t="shared" ref="M15:M16" si="29">K15+L15</f>
        <v>5375000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:Q16" si="30">M15-SUM(N15:P15)</f>
        <v>5375000</v>
      </c>
      <c r="R15" s="32">
        <f t="shared" ref="R15:R16" si="31">VLOOKUP(B15,DS,23,0)</f>
        <v>0</v>
      </c>
      <c r="S15" s="38">
        <f t="shared" ref="S15:S16" si="32">Q15-R15</f>
        <v>5375000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21"/>
        <v>Phan Thị Sương</v>
      </c>
      <c r="D16" s="103" t="str">
        <f t="shared" si="22"/>
        <v>Công Đoạn 1</v>
      </c>
      <c r="E16" s="77">
        <f t="shared" si="23"/>
        <v>3000000</v>
      </c>
      <c r="F16" s="79">
        <f>VLOOKUP(B16,'CC -4'!$B$8:$AR$17,35,0)</f>
        <v>25</v>
      </c>
      <c r="G16" s="132">
        <f t="shared" si="24"/>
        <v>3000000</v>
      </c>
      <c r="H16" s="79">
        <f>(VLOOKUP(B16,'CC -4'!$B$8:$AR$17,36,0)+VLOOKUP(B16,'CC -4'!$B$8:$AR$17,37,0))</f>
        <v>0</v>
      </c>
      <c r="I16" s="132">
        <f t="shared" si="25"/>
        <v>0</v>
      </c>
      <c r="J16" s="133">
        <f t="shared" si="26"/>
        <v>25</v>
      </c>
      <c r="K16" s="32">
        <f t="shared" si="27"/>
        <v>3000000</v>
      </c>
      <c r="L16" s="77">
        <f t="shared" si="28"/>
        <v>375000</v>
      </c>
      <c r="M16" s="33">
        <f t="shared" si="29"/>
        <v>3375000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si="30"/>
        <v>3375000</v>
      </c>
      <c r="R16" s="32">
        <f t="shared" si="31"/>
        <v>0</v>
      </c>
      <c r="S16" s="38">
        <f t="shared" si="32"/>
        <v>3375000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3">SUM(K13:K17)</f>
        <v>13000000</v>
      </c>
      <c r="L18" s="127">
        <f t="shared" si="33"/>
        <v>1125000</v>
      </c>
      <c r="M18" s="127">
        <f t="shared" si="33"/>
        <v>14125000</v>
      </c>
      <c r="N18" s="127">
        <f t="shared" si="33"/>
        <v>0</v>
      </c>
      <c r="O18" s="127">
        <f t="shared" si="33"/>
        <v>0</v>
      </c>
      <c r="P18" s="127">
        <f t="shared" si="33"/>
        <v>0</v>
      </c>
      <c r="Q18" s="127">
        <f t="shared" si="33"/>
        <v>14125000</v>
      </c>
      <c r="R18" s="127">
        <f t="shared" si="33"/>
        <v>0</v>
      </c>
      <c r="S18" s="127">
        <f t="shared" si="33"/>
        <v>14125000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04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N5:P6 L5 L21 J6:K7 L7 A24:T57 U30:U57 N17:S17 V24:IK57 J17:L17 A58:IK65325 AF13:IK13 V12:IK12 D12:T12 D18:T18 W10:W11 AF5:IK11 A10:B12 Q10:S11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4:S16 AF14:IK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F12" sqref="F12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05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42856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42856</v>
      </c>
      <c r="G5" s="105">
        <f t="shared" ref="G5:AJ5" si="0">F5+1</f>
        <v>42857</v>
      </c>
      <c r="H5" s="105">
        <f t="shared" si="0"/>
        <v>42858</v>
      </c>
      <c r="I5" s="105">
        <f t="shared" si="0"/>
        <v>42859</v>
      </c>
      <c r="J5" s="105">
        <f t="shared" si="0"/>
        <v>42860</v>
      </c>
      <c r="K5" s="105">
        <f t="shared" si="0"/>
        <v>42861</v>
      </c>
      <c r="L5" s="105">
        <f t="shared" si="0"/>
        <v>42862</v>
      </c>
      <c r="M5" s="105">
        <f t="shared" si="0"/>
        <v>42863</v>
      </c>
      <c r="N5" s="105">
        <f t="shared" si="0"/>
        <v>42864</v>
      </c>
      <c r="O5" s="105">
        <f t="shared" si="0"/>
        <v>42865</v>
      </c>
      <c r="P5" s="105">
        <f t="shared" si="0"/>
        <v>42866</v>
      </c>
      <c r="Q5" s="105">
        <f t="shared" si="0"/>
        <v>42867</v>
      </c>
      <c r="R5" s="105">
        <f t="shared" si="0"/>
        <v>42868</v>
      </c>
      <c r="S5" s="105">
        <f t="shared" si="0"/>
        <v>42869</v>
      </c>
      <c r="T5" s="105">
        <f t="shared" si="0"/>
        <v>42870</v>
      </c>
      <c r="U5" s="105">
        <f t="shared" si="0"/>
        <v>42871</v>
      </c>
      <c r="V5" s="105">
        <f t="shared" si="0"/>
        <v>42872</v>
      </c>
      <c r="W5" s="105">
        <f t="shared" si="0"/>
        <v>42873</v>
      </c>
      <c r="X5" s="105">
        <f t="shared" si="0"/>
        <v>42874</v>
      </c>
      <c r="Y5" s="105">
        <f t="shared" si="0"/>
        <v>42875</v>
      </c>
      <c r="Z5" s="105">
        <f t="shared" si="0"/>
        <v>42876</v>
      </c>
      <c r="AA5" s="105">
        <f t="shared" si="0"/>
        <v>42877</v>
      </c>
      <c r="AB5" s="105">
        <f t="shared" si="0"/>
        <v>42878</v>
      </c>
      <c r="AC5" s="105">
        <f t="shared" si="0"/>
        <v>42879</v>
      </c>
      <c r="AD5" s="105">
        <f t="shared" si="0"/>
        <v>42880</v>
      </c>
      <c r="AE5" s="105">
        <f t="shared" si="0"/>
        <v>42881</v>
      </c>
      <c r="AF5" s="105">
        <f t="shared" si="0"/>
        <v>42882</v>
      </c>
      <c r="AG5" s="105">
        <f t="shared" si="0"/>
        <v>42883</v>
      </c>
      <c r="AH5" s="105">
        <f>AG5+1</f>
        <v>42884</v>
      </c>
      <c r="AI5" s="105">
        <f t="shared" si="0"/>
        <v>42885</v>
      </c>
      <c r="AJ5" s="105">
        <f t="shared" si="0"/>
        <v>42886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T.Hai</v>
      </c>
      <c r="G6" s="160" t="str">
        <f t="shared" ref="G6:AJ6" si="1">CHOOSE(WEEKDAY(G5),"C.Nhật","T.Hai","T.Ba","T.Tư","T.Năm","T.Sáu","T.Bảy")</f>
        <v>T.Ba</v>
      </c>
      <c r="H6" s="160" t="str">
        <f t="shared" si="1"/>
        <v>T.Tư</v>
      </c>
      <c r="I6" s="160" t="str">
        <f t="shared" si="1"/>
        <v>T.Năm</v>
      </c>
      <c r="J6" s="160" t="str">
        <f t="shared" si="1"/>
        <v>T.Sáu</v>
      </c>
      <c r="K6" s="160" t="str">
        <f t="shared" si="1"/>
        <v>T.Bảy</v>
      </c>
      <c r="L6" s="160" t="str">
        <f t="shared" si="1"/>
        <v>C.Nhật</v>
      </c>
      <c r="M6" s="160" t="str">
        <f t="shared" si="1"/>
        <v>T.Hai</v>
      </c>
      <c r="N6" s="160" t="str">
        <f t="shared" si="1"/>
        <v>T.Ba</v>
      </c>
      <c r="O6" s="160" t="str">
        <f t="shared" si="1"/>
        <v>T.Tư</v>
      </c>
      <c r="P6" s="160" t="str">
        <f t="shared" si="1"/>
        <v>T.Năm</v>
      </c>
      <c r="Q6" s="160" t="str">
        <f t="shared" si="1"/>
        <v>T.Sáu</v>
      </c>
      <c r="R6" s="160" t="str">
        <f t="shared" si="1"/>
        <v>T.Bảy</v>
      </c>
      <c r="S6" s="160" t="str">
        <f t="shared" si="1"/>
        <v>C.Nhật</v>
      </c>
      <c r="T6" s="160" t="str">
        <f t="shared" si="1"/>
        <v>T.Hai</v>
      </c>
      <c r="U6" s="160" t="str">
        <f t="shared" si="1"/>
        <v>T.Ba</v>
      </c>
      <c r="V6" s="160" t="str">
        <f t="shared" si="1"/>
        <v>T.Tư</v>
      </c>
      <c r="W6" s="160" t="str">
        <f t="shared" si="1"/>
        <v>T.Năm</v>
      </c>
      <c r="X6" s="160" t="str">
        <f t="shared" si="1"/>
        <v>T.Sáu</v>
      </c>
      <c r="Y6" s="160" t="str">
        <f t="shared" si="1"/>
        <v>T.Bảy</v>
      </c>
      <c r="Z6" s="160" t="str">
        <f t="shared" si="1"/>
        <v>C.Nhật</v>
      </c>
      <c r="AA6" s="160" t="str">
        <f t="shared" si="1"/>
        <v>T.Hai</v>
      </c>
      <c r="AB6" s="160" t="str">
        <f t="shared" si="1"/>
        <v>T.Ba</v>
      </c>
      <c r="AC6" s="160" t="str">
        <f t="shared" si="1"/>
        <v>T.Tư</v>
      </c>
      <c r="AD6" s="160" t="str">
        <f t="shared" si="1"/>
        <v>T.Năm</v>
      </c>
      <c r="AE6" s="160" t="str">
        <f t="shared" si="1"/>
        <v>T.Sáu</v>
      </c>
      <c r="AF6" s="160" t="str">
        <f t="shared" si="1"/>
        <v>T.Bảy</v>
      </c>
      <c r="AG6" s="160" t="str">
        <f t="shared" si="1"/>
        <v>C.Nhật</v>
      </c>
      <c r="AH6" s="160" t="str">
        <f t="shared" si="1"/>
        <v>T.Hai</v>
      </c>
      <c r="AI6" s="160" t="str">
        <f t="shared" si="1"/>
        <v>T.Ba</v>
      </c>
      <c r="AJ6" s="160" t="str">
        <f t="shared" si="1"/>
        <v>T.Tư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9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79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/>
      <c r="G9" s="130"/>
      <c r="H9" s="130">
        <v>8</v>
      </c>
      <c r="I9" s="130">
        <v>8</v>
      </c>
      <c r="J9" s="130">
        <v>8</v>
      </c>
      <c r="K9" s="130">
        <v>8</v>
      </c>
      <c r="L9" s="130"/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/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/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/>
      <c r="AH9" s="130">
        <v>8</v>
      </c>
      <c r="AI9" s="130">
        <v>8</v>
      </c>
      <c r="AJ9" s="130">
        <v>8</v>
      </c>
      <c r="AK9" s="244">
        <f>((SUM(F9:AJ9))/8)-(SUMIF($F$6:$AJ$6,"C.Nhật",F9:AJ9)/8)</f>
        <v>25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25</v>
      </c>
      <c r="AO9" s="250">
        <v>0</v>
      </c>
      <c r="AP9" s="248"/>
      <c r="AQ9" s="248"/>
      <c r="AR9" s="248"/>
      <c r="AS9" s="252"/>
      <c r="AT9" s="9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9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/>
      <c r="G12" s="130"/>
      <c r="H12" s="130">
        <v>8</v>
      </c>
      <c r="I12" s="130">
        <v>8</v>
      </c>
      <c r="J12" s="130">
        <v>8</v>
      </c>
      <c r="K12" s="130">
        <v>8</v>
      </c>
      <c r="L12" s="130"/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/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/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/>
      <c r="AH12" s="130">
        <v>8</v>
      </c>
      <c r="AI12" s="130">
        <v>8</v>
      </c>
      <c r="AJ12" s="130">
        <v>8</v>
      </c>
      <c r="AK12" s="244">
        <f t="shared" ref="AK12" si="2">((SUM(F12:AJ12))/8)-(SUMIF($F$6:$AJ$6,"C.Nhật",F12:AJ12)/8)</f>
        <v>25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25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/>
      <c r="G14" s="130"/>
      <c r="H14" s="130">
        <v>8</v>
      </c>
      <c r="I14" s="130">
        <v>8</v>
      </c>
      <c r="J14" s="130">
        <v>8</v>
      </c>
      <c r="K14" s="130">
        <v>8</v>
      </c>
      <c r="L14" s="130"/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/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/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/>
      <c r="AH14" s="130">
        <v>8</v>
      </c>
      <c r="AI14" s="130">
        <v>8</v>
      </c>
      <c r="AJ14" s="130">
        <v>8</v>
      </c>
      <c r="AK14" s="244">
        <f t="shared" ref="AK14" si="4">((SUM(F14:AJ14))/8)-(SUMIF($F$6:$AJ$6,"C.Nhật",F14:AJ14)/8)</f>
        <v>25</v>
      </c>
      <c r="AL14" s="244">
        <f t="shared" ref="AL14" si="5">SUM(F15:AJ15)/8*1.5</f>
        <v>0</v>
      </c>
      <c r="AM14" s="246">
        <f>SUMIF($F$6:$AJ$6,"C.Nhật",$F14:$AJ15)/8*2</f>
        <v>0</v>
      </c>
      <c r="AN14" s="248">
        <f t="shared" ref="AN14" si="6">SUM(AK14:AM15)</f>
        <v>25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/>
      <c r="G16" s="130"/>
      <c r="H16" s="130">
        <v>8</v>
      </c>
      <c r="I16" s="130">
        <v>8</v>
      </c>
      <c r="J16" s="130">
        <v>8</v>
      </c>
      <c r="K16" s="130">
        <v>8</v>
      </c>
      <c r="L16" s="130"/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/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/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/>
      <c r="AH16" s="130">
        <v>8</v>
      </c>
      <c r="AI16" s="130">
        <v>8</v>
      </c>
      <c r="AJ16" s="130">
        <v>8</v>
      </c>
      <c r="AK16" s="244">
        <f t="shared" ref="AK16" si="7">((SUM(F16:AJ16))/8)-(SUMIF($F$6:$AJ$6,"C.Nhật",F16:AJ16)/8)</f>
        <v>25</v>
      </c>
      <c r="AL16" s="244">
        <f t="shared" ref="AL16" si="8">SUM(F17:AJ17)/8*1.5</f>
        <v>0</v>
      </c>
      <c r="AM16" s="246">
        <f>SUMIF($F$6:$AJ$6,"C.Nhật",$F16:$AJ17)/8*2</f>
        <v>0</v>
      </c>
      <c r="AN16" s="248">
        <f t="shared" ref="AN16" si="9">SUM(AK16:AM17)</f>
        <v>25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0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0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L16:AL17"/>
    <mergeCell ref="AM16:AM17"/>
    <mergeCell ref="AN16:AN17"/>
    <mergeCell ref="AO16:AO17"/>
    <mergeCell ref="AP16:AP17"/>
    <mergeCell ref="AS16:AS17"/>
    <mergeCell ref="AR14:AR15"/>
    <mergeCell ref="AS14:AS15"/>
    <mergeCell ref="AM12:AM13"/>
    <mergeCell ref="AN12:AN13"/>
    <mergeCell ref="AO12:AO13"/>
    <mergeCell ref="AP12:AP13"/>
    <mergeCell ref="AQ16:AQ17"/>
    <mergeCell ref="AR16:AR17"/>
    <mergeCell ref="AN14:AN15"/>
    <mergeCell ref="AO14:AO15"/>
    <mergeCell ref="AP14:AP15"/>
    <mergeCell ref="AQ14:AQ15"/>
    <mergeCell ref="AQ12:AQ13"/>
    <mergeCell ref="AR12:AR13"/>
    <mergeCell ref="AM1:AS1"/>
    <mergeCell ref="AM9:AM10"/>
    <mergeCell ref="AO5:AO6"/>
    <mergeCell ref="AP5:AP6"/>
    <mergeCell ref="AN5:AN6"/>
    <mergeCell ref="AQ5:AQ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L14:AL15"/>
    <mergeCell ref="AM14:AM15"/>
    <mergeCell ref="AT5:AT6"/>
    <mergeCell ref="AO9:AO10"/>
    <mergeCell ref="AP9:AP10"/>
    <mergeCell ref="AQ9:AQ10"/>
    <mergeCell ref="AR9:AR10"/>
    <mergeCell ref="AS9:AS10"/>
    <mergeCell ref="AS5:AS6"/>
    <mergeCell ref="AR5:AR6"/>
    <mergeCell ref="AN9:AN10"/>
    <mergeCell ref="AL9:AL10"/>
    <mergeCell ref="AK5:AM5"/>
    <mergeCell ref="AK9:AK10"/>
    <mergeCell ref="AS12:AS13"/>
    <mergeCell ref="AL12:AL13"/>
    <mergeCell ref="C14:C15"/>
    <mergeCell ref="D14:D15"/>
    <mergeCell ref="AK14:AK15"/>
    <mergeCell ref="C12:C13"/>
    <mergeCell ref="A14:A15"/>
    <mergeCell ref="B14:B15"/>
    <mergeCell ref="A12:A13"/>
    <mergeCell ref="B12:B13"/>
    <mergeCell ref="D12:D13"/>
    <mergeCell ref="AK12:AK13"/>
    <mergeCell ref="A16:A17"/>
    <mergeCell ref="B16:B17"/>
    <mergeCell ref="C16:C17"/>
    <mergeCell ref="D16:D17"/>
    <mergeCell ref="AK16:AK17"/>
  </mergeCells>
  <phoneticPr fontId="47" type="noConversion"/>
  <conditionalFormatting sqref="F5:AJ6 F9:AJ10">
    <cfRule type="expression" dxfId="63" priority="55" stopIfTrue="1">
      <formula>IF(WEEKDAY(F$5)=1,TRUE,FALSE)</formula>
    </cfRule>
  </conditionalFormatting>
  <conditionalFormatting sqref="F9:AJ10">
    <cfRule type="expression" dxfId="62" priority="52" stopIfTrue="1">
      <formula>IF(WEEKDAY(F$5)=1,TRUE,FALSE)</formula>
    </cfRule>
  </conditionalFormatting>
  <conditionalFormatting sqref="F12:AJ17">
    <cfRule type="expression" dxfId="61" priority="2" stopIfTrue="1">
      <formula>IF(WEEKDAY(F$5)=1,TRUE,FALSE)</formula>
    </cfRule>
  </conditionalFormatting>
  <conditionalFormatting sqref="F12:AJ17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E29"/>
  <sheetViews>
    <sheetView zoomScaleNormal="70" workbookViewId="0">
      <pane xSplit="3" ySplit="8" topLeftCell="G10" activePane="bottomRight" state="frozen"/>
      <selection activeCell="A2" sqref="A2:A3"/>
      <selection pane="topRight" activeCell="A2" sqref="A2:A3"/>
      <selection pane="bottomLeft" activeCell="A2" sqref="A2:A3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39"/>
      <c r="C1" s="39"/>
      <c r="D1" s="266" t="str">
        <f>"BẢNG THANH TOÁN LƯƠNG THÁNG"&amp;" "&amp;TEXT($E$4,"mm")&amp;" / "&amp;TEXT($E$4,"yyyy")</f>
        <v>BẢNG THANH TOÁN LƯƠNG THÁNG 05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39"/>
      <c r="C2" s="39"/>
      <c r="D2" s="39"/>
      <c r="E2" s="68"/>
      <c r="F2" s="39"/>
      <c r="G2" s="39"/>
      <c r="H2" s="39"/>
      <c r="I2" s="39"/>
      <c r="J2" s="69"/>
      <c r="K2" s="39"/>
      <c r="L2" s="39"/>
      <c r="M2" s="159"/>
      <c r="N2" s="39"/>
      <c r="O2" s="39"/>
      <c r="P2" s="39"/>
      <c r="Q2" s="39"/>
      <c r="R2" s="39"/>
      <c r="S2" s="39"/>
      <c r="T2" s="46"/>
      <c r="U2" s="67">
        <f>MAX(F10:F18)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39"/>
      <c r="C3" s="39"/>
      <c r="D3" s="39"/>
      <c r="E3" s="68"/>
      <c r="F3" s="39"/>
      <c r="G3" s="39"/>
      <c r="H3" s="39"/>
      <c r="I3" s="39"/>
      <c r="J3" s="69"/>
      <c r="K3" s="39"/>
      <c r="L3" s="39"/>
      <c r="M3" s="159"/>
      <c r="N3" s="39"/>
      <c r="O3" s="39"/>
      <c r="P3" s="39"/>
      <c r="Q3" s="39"/>
      <c r="R3" s="39"/>
      <c r="S3" s="39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-5'!$E$4</f>
        <v>42856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7" t="s">
        <v>34</v>
      </c>
      <c r="G7" s="28" t="s">
        <v>18</v>
      </c>
      <c r="H7" s="156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-5'!$B$8:$AS$17,36,0)</f>
        <v>25</v>
      </c>
      <c r="G10" s="132">
        <f t="shared" ref="G10" si="3">ROUND(E10/$U$2*F10,0)</f>
        <v>5000000</v>
      </c>
      <c r="H10" s="79">
        <f>(VLOOKUP(B10,'CC -5'!$B$8:$AS$17,37,0)+VLOOKUP(B10,'CC -5'!$B$8:$AS$17,38,0))</f>
        <v>0</v>
      </c>
      <c r="I10" s="132">
        <f t="shared" ref="I10" si="4">ROUND(E10/$U$2*H10,0)</f>
        <v>0</v>
      </c>
      <c r="J10" s="80">
        <f t="shared" ref="J10" si="5">F10+H10</f>
        <v>25</v>
      </c>
      <c r="K10" s="32">
        <f>G10+I10</f>
        <v>5000000</v>
      </c>
      <c r="L10" s="77">
        <f t="shared" ref="L10" si="6">+F10*15000</f>
        <v>375000</v>
      </c>
      <c r="M10" s="33">
        <f t="shared" ref="M10" si="7">K10+L10</f>
        <v>5375000</v>
      </c>
      <c r="N10" s="33">
        <f>IF(VLOOKUP($B10,DS,17,0)="x",$E10*N$4,0)</f>
        <v>0</v>
      </c>
      <c r="O10" s="33">
        <f>IF(VLOOKUP($B10,DS,17,0)="x",$E10*O$4,0)</f>
        <v>0</v>
      </c>
      <c r="P10" s="33">
        <f>IF(VLOOKUP($B10,DS,17,0)="x",$E10*P$4,0)</f>
        <v>0</v>
      </c>
      <c r="Q10" s="32">
        <f t="shared" ref="Q10" si="8">M10-SUM(N10:P10)</f>
        <v>5375000</v>
      </c>
      <c r="R10" s="32">
        <f>VLOOKUP(B10,DS,23,0)</f>
        <v>0</v>
      </c>
      <c r="S10" s="38">
        <f t="shared" ref="S10" si="9">Q10-R10</f>
        <v>5375000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0">SUM(K9:K10)</f>
        <v>5000000</v>
      </c>
      <c r="L12" s="127">
        <f t="shared" si="10"/>
        <v>375000</v>
      </c>
      <c r="M12" s="127">
        <f t="shared" si="10"/>
        <v>5375000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5375000</v>
      </c>
      <c r="R12" s="127">
        <f t="shared" si="10"/>
        <v>0</v>
      </c>
      <c r="S12" s="127">
        <f t="shared" si="10"/>
        <v>5375000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Bùi Trường Giang</v>
      </c>
      <c r="D14" s="103" t="str">
        <f t="shared" ref="D14:D16" si="12">VLOOKUP(B14,DS,3,0)</f>
        <v>Thợ in</v>
      </c>
      <c r="E14" s="77">
        <f t="shared" ref="E14:E16" si="13">VLOOKUP(B14,DS,4,0)</f>
        <v>5000000</v>
      </c>
      <c r="F14" s="79">
        <f>VLOOKUP(B14,'CC -5'!$B$8:$AS$17,36,0)</f>
        <v>25</v>
      </c>
      <c r="G14" s="132">
        <f t="shared" ref="G14:G16" si="14">ROUND(E14/$U$2*F14,0)</f>
        <v>5000000</v>
      </c>
      <c r="H14" s="79">
        <f>(VLOOKUP(B14,'CC -5'!$B$8:$AS$17,37,0)+VLOOKUP(B14,'CC -5'!$B$8:$AS$17,38,0))</f>
        <v>0</v>
      </c>
      <c r="I14" s="132">
        <f t="shared" ref="I14:I16" si="15">ROUND(E14/$U$2*H14,0)</f>
        <v>0</v>
      </c>
      <c r="J14" s="133">
        <f t="shared" ref="J14:J16" si="16">F14+H14</f>
        <v>25</v>
      </c>
      <c r="K14" s="32">
        <f t="shared" ref="K14:K16" si="17">G14+I14</f>
        <v>5000000</v>
      </c>
      <c r="L14" s="77">
        <f t="shared" ref="L14:L16" si="18">+F14*15000</f>
        <v>375000</v>
      </c>
      <c r="M14" s="33">
        <f t="shared" ref="M14:M16" si="19">K14+L14</f>
        <v>5375000</v>
      </c>
      <c r="N14" s="33">
        <f t="shared" ref="N14:P16" si="20">IF(VLOOKUP($B14,DS,17,0)="x",$E14*N$4,0)</f>
        <v>0</v>
      </c>
      <c r="O14" s="33">
        <f t="shared" si="20"/>
        <v>0</v>
      </c>
      <c r="P14" s="33">
        <f t="shared" si="20"/>
        <v>0</v>
      </c>
      <c r="Q14" s="32">
        <f>M14-SUM(N14:P14)</f>
        <v>5375000</v>
      </c>
      <c r="R14" s="32">
        <f t="shared" ref="R14:R16" si="21">VLOOKUP(B14,DS,23,0)</f>
        <v>0</v>
      </c>
      <c r="S14" s="38">
        <f>Q14-R14</f>
        <v>5375000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2">VLOOKUP(B15,DS,2,0)</f>
        <v>Lê Văn Hữu</v>
      </c>
      <c r="D15" s="103" t="str">
        <f t="shared" ref="D15" si="23">VLOOKUP(B15,DS,3,0)</f>
        <v>Công Đoạn 2</v>
      </c>
      <c r="E15" s="77">
        <f t="shared" ref="E15" si="24">VLOOKUP(B15,DS,4,0)</f>
        <v>5000000</v>
      </c>
      <c r="F15" s="79">
        <f>VLOOKUP(B15,'CC -5'!$B$8:$AS$17,36,0)</f>
        <v>25</v>
      </c>
      <c r="G15" s="132">
        <f t="shared" ref="G15" si="25">ROUND(E15/$U$2*F15,0)</f>
        <v>5000000</v>
      </c>
      <c r="H15" s="79">
        <f>(VLOOKUP(B15,'CC -5'!$B$8:$AS$17,37,0)+VLOOKUP(B15,'CC -5'!$B$8:$AS$17,38,0))</f>
        <v>0</v>
      </c>
      <c r="I15" s="132">
        <f t="shared" ref="I15" si="26">ROUND(E15/$U$2*H15,0)</f>
        <v>0</v>
      </c>
      <c r="J15" s="133">
        <f t="shared" ref="J15" si="27">F15+H15</f>
        <v>25</v>
      </c>
      <c r="K15" s="32">
        <f t="shared" ref="K15" si="28">G15+I15</f>
        <v>5000000</v>
      </c>
      <c r="L15" s="77">
        <f t="shared" ref="L15" si="29">+F15*15000</f>
        <v>375000</v>
      </c>
      <c r="M15" s="33">
        <f t="shared" ref="M15" si="30">K15+L15</f>
        <v>5375000</v>
      </c>
      <c r="N15" s="33">
        <f t="shared" si="20"/>
        <v>0</v>
      </c>
      <c r="O15" s="33">
        <f t="shared" si="20"/>
        <v>0</v>
      </c>
      <c r="P15" s="33">
        <f t="shared" si="20"/>
        <v>0</v>
      </c>
      <c r="Q15" s="32">
        <f t="shared" ref="Q15" si="31">M15-SUM(N15:P15)</f>
        <v>5375000</v>
      </c>
      <c r="R15" s="32">
        <f t="shared" ref="R15" si="32">VLOOKUP(B15,DS,23,0)</f>
        <v>0</v>
      </c>
      <c r="S15" s="38">
        <f t="shared" ref="S15" si="33">Q15-R15</f>
        <v>5375000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Phan Thị Sương</v>
      </c>
      <c r="D16" s="103" t="str">
        <f t="shared" si="12"/>
        <v>Công Đoạn 1</v>
      </c>
      <c r="E16" s="77">
        <f t="shared" si="13"/>
        <v>3000000</v>
      </c>
      <c r="F16" s="79">
        <f>VLOOKUP(B16,'CC -5'!$B$8:$AS$17,36,0)</f>
        <v>25</v>
      </c>
      <c r="G16" s="132">
        <f t="shared" si="14"/>
        <v>3000000</v>
      </c>
      <c r="H16" s="79">
        <f>(VLOOKUP(B16,'CC -5'!$B$8:$AS$17,37,0)+VLOOKUP(B16,'CC -5'!$B$8:$AS$17,38,0))</f>
        <v>0</v>
      </c>
      <c r="I16" s="132">
        <f t="shared" si="15"/>
        <v>0</v>
      </c>
      <c r="J16" s="133">
        <f t="shared" si="16"/>
        <v>25</v>
      </c>
      <c r="K16" s="32">
        <f t="shared" si="17"/>
        <v>3000000</v>
      </c>
      <c r="L16" s="77">
        <f t="shared" si="18"/>
        <v>375000</v>
      </c>
      <c r="M16" s="33">
        <f t="shared" si="19"/>
        <v>3375000</v>
      </c>
      <c r="N16" s="33">
        <f t="shared" si="20"/>
        <v>0</v>
      </c>
      <c r="O16" s="33">
        <f t="shared" si="20"/>
        <v>0</v>
      </c>
      <c r="P16" s="33">
        <f t="shared" si="20"/>
        <v>0</v>
      </c>
      <c r="Q16" s="32">
        <f t="shared" ref="Q16" si="34">M16-SUM(N16:P16)</f>
        <v>3375000</v>
      </c>
      <c r="R16" s="32">
        <f t="shared" si="21"/>
        <v>0</v>
      </c>
      <c r="S16" s="38">
        <f t="shared" ref="S16" si="35">Q16-R16</f>
        <v>3375000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6">SUM(K13:K17)</f>
        <v>13000000</v>
      </c>
      <c r="L18" s="127">
        <f t="shared" si="36"/>
        <v>1125000</v>
      </c>
      <c r="M18" s="127">
        <f t="shared" si="36"/>
        <v>14125000</v>
      </c>
      <c r="N18" s="127">
        <f t="shared" si="36"/>
        <v>0</v>
      </c>
      <c r="O18" s="127">
        <f t="shared" si="36"/>
        <v>0</v>
      </c>
      <c r="P18" s="127">
        <f t="shared" si="36"/>
        <v>0</v>
      </c>
      <c r="Q18" s="127">
        <f t="shared" si="36"/>
        <v>14125000</v>
      </c>
      <c r="R18" s="127">
        <f t="shared" si="36"/>
        <v>0</v>
      </c>
      <c r="S18" s="127">
        <f t="shared" si="36"/>
        <v>14125000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05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N5:P6 L5 L21 J6:K7 L7 A24:T57 U30:U57 N17:S17 V24:IK57 J17:L17 A58:IK65325 AF13:IK13 V12:IK12 D12:T12 D18:T18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U2" name="Range1_2_2_1_1"/>
  </protectedRanges>
  <autoFilter ref="A7:AE10"/>
  <mergeCells count="22"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4" sqref="B14:B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7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06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42887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42887</v>
      </c>
      <c r="G5" s="105">
        <f t="shared" ref="G5:AJ5" si="0">F5+1</f>
        <v>42888</v>
      </c>
      <c r="H5" s="105">
        <f t="shared" si="0"/>
        <v>42889</v>
      </c>
      <c r="I5" s="105">
        <f t="shared" si="0"/>
        <v>42890</v>
      </c>
      <c r="J5" s="105">
        <f t="shared" si="0"/>
        <v>42891</v>
      </c>
      <c r="K5" s="105">
        <f t="shared" si="0"/>
        <v>42892</v>
      </c>
      <c r="L5" s="105">
        <f t="shared" si="0"/>
        <v>42893</v>
      </c>
      <c r="M5" s="105">
        <f t="shared" si="0"/>
        <v>42894</v>
      </c>
      <c r="N5" s="105">
        <f t="shared" si="0"/>
        <v>42895</v>
      </c>
      <c r="O5" s="105">
        <f t="shared" si="0"/>
        <v>42896</v>
      </c>
      <c r="P5" s="105">
        <f t="shared" si="0"/>
        <v>42897</v>
      </c>
      <c r="Q5" s="105">
        <f t="shared" si="0"/>
        <v>42898</v>
      </c>
      <c r="R5" s="105">
        <f t="shared" si="0"/>
        <v>42899</v>
      </c>
      <c r="S5" s="105">
        <f t="shared" si="0"/>
        <v>42900</v>
      </c>
      <c r="T5" s="105">
        <f t="shared" si="0"/>
        <v>42901</v>
      </c>
      <c r="U5" s="105">
        <f t="shared" si="0"/>
        <v>42902</v>
      </c>
      <c r="V5" s="105">
        <f t="shared" si="0"/>
        <v>42903</v>
      </c>
      <c r="W5" s="105">
        <f t="shared" si="0"/>
        <v>42904</v>
      </c>
      <c r="X5" s="105">
        <f t="shared" si="0"/>
        <v>42905</v>
      </c>
      <c r="Y5" s="105">
        <f t="shared" si="0"/>
        <v>42906</v>
      </c>
      <c r="Z5" s="105">
        <f t="shared" si="0"/>
        <v>42907</v>
      </c>
      <c r="AA5" s="105">
        <f t="shared" si="0"/>
        <v>42908</v>
      </c>
      <c r="AB5" s="105">
        <f t="shared" si="0"/>
        <v>42909</v>
      </c>
      <c r="AC5" s="105">
        <f t="shared" si="0"/>
        <v>42910</v>
      </c>
      <c r="AD5" s="105">
        <f t="shared" si="0"/>
        <v>42911</v>
      </c>
      <c r="AE5" s="105">
        <f t="shared" si="0"/>
        <v>42912</v>
      </c>
      <c r="AF5" s="105">
        <f t="shared" si="0"/>
        <v>42913</v>
      </c>
      <c r="AG5" s="105">
        <f t="shared" si="0"/>
        <v>42914</v>
      </c>
      <c r="AH5" s="105">
        <f>AG5+1</f>
        <v>42915</v>
      </c>
      <c r="AI5" s="105">
        <f t="shared" si="0"/>
        <v>42916</v>
      </c>
      <c r="AJ5" s="105">
        <f t="shared" si="0"/>
        <v>42917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T.Năm</v>
      </c>
      <c r="G6" s="160" t="str">
        <f t="shared" ref="G6:AJ6" si="1">CHOOSE(WEEKDAY(G5),"C.Nhật","T.Hai","T.Ba","T.Tư","T.Năm","T.Sáu","T.Bảy")</f>
        <v>T.Sáu</v>
      </c>
      <c r="H6" s="160" t="str">
        <f t="shared" si="1"/>
        <v>T.Bảy</v>
      </c>
      <c r="I6" s="160" t="str">
        <f t="shared" si="1"/>
        <v>C.Nhật</v>
      </c>
      <c r="J6" s="160" t="str">
        <f t="shared" si="1"/>
        <v>T.Hai</v>
      </c>
      <c r="K6" s="160" t="str">
        <f t="shared" si="1"/>
        <v>T.Ba</v>
      </c>
      <c r="L6" s="160" t="str">
        <f t="shared" si="1"/>
        <v>T.Tư</v>
      </c>
      <c r="M6" s="160" t="str">
        <f t="shared" si="1"/>
        <v>T.Năm</v>
      </c>
      <c r="N6" s="160" t="str">
        <f t="shared" si="1"/>
        <v>T.Sáu</v>
      </c>
      <c r="O6" s="160" t="str">
        <f t="shared" si="1"/>
        <v>T.Bảy</v>
      </c>
      <c r="P6" s="160" t="str">
        <f t="shared" si="1"/>
        <v>C.Nhật</v>
      </c>
      <c r="Q6" s="160" t="str">
        <f t="shared" si="1"/>
        <v>T.Hai</v>
      </c>
      <c r="R6" s="160" t="str">
        <f t="shared" si="1"/>
        <v>T.Ba</v>
      </c>
      <c r="S6" s="160" t="str">
        <f t="shared" si="1"/>
        <v>T.Tư</v>
      </c>
      <c r="T6" s="160" t="str">
        <f t="shared" si="1"/>
        <v>T.Năm</v>
      </c>
      <c r="U6" s="160" t="str">
        <f t="shared" si="1"/>
        <v>T.Sáu</v>
      </c>
      <c r="V6" s="160" t="str">
        <f t="shared" si="1"/>
        <v>T.Bảy</v>
      </c>
      <c r="W6" s="160" t="str">
        <f t="shared" si="1"/>
        <v>C.Nhật</v>
      </c>
      <c r="X6" s="160" t="str">
        <f t="shared" si="1"/>
        <v>T.Hai</v>
      </c>
      <c r="Y6" s="160" t="str">
        <f t="shared" si="1"/>
        <v>T.Ba</v>
      </c>
      <c r="Z6" s="160" t="str">
        <f t="shared" si="1"/>
        <v>T.Tư</v>
      </c>
      <c r="AA6" s="160" t="str">
        <f t="shared" si="1"/>
        <v>T.Năm</v>
      </c>
      <c r="AB6" s="160" t="str">
        <f t="shared" si="1"/>
        <v>T.Sáu</v>
      </c>
      <c r="AC6" s="160" t="str">
        <f t="shared" si="1"/>
        <v>T.Bảy</v>
      </c>
      <c r="AD6" s="160" t="str">
        <f t="shared" si="1"/>
        <v>C.Nhật</v>
      </c>
      <c r="AE6" s="160" t="str">
        <f t="shared" si="1"/>
        <v>T.Hai</v>
      </c>
      <c r="AF6" s="160" t="str">
        <f t="shared" si="1"/>
        <v>T.Ba</v>
      </c>
      <c r="AG6" s="160" t="str">
        <f t="shared" si="1"/>
        <v>T.Tư</v>
      </c>
      <c r="AH6" s="160" t="str">
        <f t="shared" si="1"/>
        <v>T.Năm</v>
      </c>
      <c r="AI6" s="160" t="str">
        <f t="shared" si="1"/>
        <v>T.Sáu</v>
      </c>
      <c r="AJ6" s="160" t="str">
        <f t="shared" si="1"/>
        <v>T.Bảy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/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/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/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/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2"/>
      <c r="AT9" s="1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1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>
        <v>8</v>
      </c>
      <c r="H12" s="130">
        <v>8</v>
      </c>
      <c r="I12" s="130"/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/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/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/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4">
        <f t="shared" ref="AK12" si="2">((SUM(F12:AJ12))/8)-(SUMIF($F$6:$AJ$6,"C.Nhật",F12:AJ12)/8)</f>
        <v>26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26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>
        <v>8</v>
      </c>
      <c r="H14" s="130">
        <v>8</v>
      </c>
      <c r="I14" s="130"/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/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/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/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4">
        <f t="shared" ref="AK14" si="4">((SUM(F14:AJ14))/8)-(SUMIF($F$6:$AJ$6,"C.Nhật",F14:AJ14)/8)</f>
        <v>26</v>
      </c>
      <c r="AL14" s="244">
        <f t="shared" ref="AL14" si="5">SUM(F15:AJ15)/8*1.5</f>
        <v>0</v>
      </c>
      <c r="AM14" s="246">
        <f>SUMIF($F$6:$AJ$6,"C.Nhật",$F14:$AJ15)/8*2</f>
        <v>0</v>
      </c>
      <c r="AN14" s="248">
        <f t="shared" ref="AN14" si="6">SUM(AK14:AM15)</f>
        <v>26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>
        <v>8</v>
      </c>
      <c r="I16" s="130"/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/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/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/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4">
        <f t="shared" ref="AK16" si="7">((SUM(F16:AJ16))/8)-(SUMIF($F$6:$AJ$6,"C.Nhật",F16:AJ16)/8)</f>
        <v>26</v>
      </c>
      <c r="AL16" s="244">
        <f t="shared" ref="AL16" si="8">SUM(F17:AJ17)/8*1.5</f>
        <v>0</v>
      </c>
      <c r="AM16" s="246">
        <f>SUMIF($F$6:$AJ$6,"C.Nhật",$F16:$AJ17)/8*2</f>
        <v>0</v>
      </c>
      <c r="AN16" s="248">
        <f t="shared" ref="AN16" si="9">SUM(AK16:AM17)</f>
        <v>26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77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77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S14:AS15"/>
    <mergeCell ref="AM12:AM13"/>
    <mergeCell ref="AN12:AN13"/>
    <mergeCell ref="AO12:AO13"/>
    <mergeCell ref="AO14:AO15"/>
    <mergeCell ref="AP14:AP15"/>
    <mergeCell ref="AP12:AP13"/>
    <mergeCell ref="AS12:AS13"/>
    <mergeCell ref="AL16:AL17"/>
    <mergeCell ref="AM16:AM17"/>
    <mergeCell ref="AS16:AS17"/>
    <mergeCell ref="AQ12:AQ13"/>
    <mergeCell ref="AR12:AR13"/>
    <mergeCell ref="AL14:AL15"/>
    <mergeCell ref="AM14:AM15"/>
    <mergeCell ref="AR16:AR17"/>
    <mergeCell ref="AN16:AN17"/>
    <mergeCell ref="AO16:AO17"/>
    <mergeCell ref="AP16:AP17"/>
    <mergeCell ref="AQ16:AQ17"/>
    <mergeCell ref="AN14:AN15"/>
    <mergeCell ref="AL12:AL13"/>
    <mergeCell ref="AQ14:AQ15"/>
    <mergeCell ref="AR14:AR15"/>
    <mergeCell ref="A12:A13"/>
    <mergeCell ref="B12:B13"/>
    <mergeCell ref="C12:C13"/>
    <mergeCell ref="D12:D13"/>
    <mergeCell ref="AK12:AK13"/>
    <mergeCell ref="A14:A15"/>
    <mergeCell ref="B14:B15"/>
    <mergeCell ref="C14:C15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6:A17"/>
    <mergeCell ref="B16:B17"/>
    <mergeCell ref="C16:C17"/>
    <mergeCell ref="D16:D17"/>
    <mergeCell ref="AK16:AK17"/>
  </mergeCells>
  <conditionalFormatting sqref="F5:AJ6 AJ16:AJ17 F9:AJ10">
    <cfRule type="expression" dxfId="59" priority="68" stopIfTrue="1">
      <formula>IF(WEEKDAY(F$5)=1,TRUE,FALSE)</formula>
    </cfRule>
  </conditionalFormatting>
  <conditionalFormatting sqref="F9:AJ10">
    <cfRule type="expression" dxfId="58" priority="67" stopIfTrue="1">
      <formula>IF(WEEKDAY(F$5)=1,TRUE,FALSE)</formula>
    </cfRule>
  </conditionalFormatting>
  <conditionalFormatting sqref="AJ12:AJ13">
    <cfRule type="expression" dxfId="57" priority="56" stopIfTrue="1">
      <formula>IF(WEEKDAY(AJ$5)=1,TRUE,FALSE)</formula>
    </cfRule>
  </conditionalFormatting>
  <conditionalFormatting sqref="AJ12:AJ13">
    <cfRule type="expression" dxfId="56" priority="55" stopIfTrue="1">
      <formula>IF(WEEKDAY(AJ$5)=1,TRUE,FALSE)</formula>
    </cfRule>
  </conditionalFormatting>
  <conditionalFormatting sqref="AJ12:AJ13">
    <cfRule type="expression" dxfId="55" priority="54" stopIfTrue="1">
      <formula>IF(WEEKDAY(AJ$5)=1,TRUE,FALSE)</formula>
    </cfRule>
  </conditionalFormatting>
  <conditionalFormatting sqref="AJ12:AJ13">
    <cfRule type="expression" dxfId="54" priority="52" stopIfTrue="1">
      <formula>IF(WEEKDAY(AJ$5)=1,TRUE,FALSE)</formula>
    </cfRule>
  </conditionalFormatting>
  <conditionalFormatting sqref="AJ12:AJ13">
    <cfRule type="expression" dxfId="53" priority="50" stopIfTrue="1">
      <formula>IF(WEEKDAY(AJ$5)=1,TRUE,FALSE)</formula>
    </cfRule>
  </conditionalFormatting>
  <conditionalFormatting sqref="AJ12:AJ13">
    <cfRule type="expression" dxfId="52" priority="49" stopIfTrue="1">
      <formula>IF(WEEKDAY(AJ$5)=1,TRUE,FALSE)</formula>
    </cfRule>
  </conditionalFormatting>
  <conditionalFormatting sqref="AJ12:AJ13">
    <cfRule type="expression" dxfId="51" priority="48" stopIfTrue="1">
      <formula>IF(WEEKDAY(AJ$5)=1,TRUE,FALSE)</formula>
    </cfRule>
  </conditionalFormatting>
  <conditionalFormatting sqref="AJ14:AJ15">
    <cfRule type="expression" dxfId="50" priority="24" stopIfTrue="1">
      <formula>IF(WEEKDAY(AJ$5)=1,TRUE,FALSE)</formula>
    </cfRule>
  </conditionalFormatting>
  <conditionalFormatting sqref="AJ14:AJ15">
    <cfRule type="expression" dxfId="49" priority="23" stopIfTrue="1">
      <formula>IF(WEEKDAY(AJ$5)=1,TRUE,FALSE)</formula>
    </cfRule>
  </conditionalFormatting>
  <conditionalFormatting sqref="AJ14:AJ15">
    <cfRule type="expression" dxfId="48" priority="22" stopIfTrue="1">
      <formula>IF(WEEKDAY(AJ$5)=1,TRUE,FALSE)</formula>
    </cfRule>
  </conditionalFormatting>
  <conditionalFormatting sqref="AJ14:AJ15">
    <cfRule type="expression" dxfId="47" priority="21" stopIfTrue="1">
      <formula>IF(WEEKDAY(AJ$5)=1,TRUE,FALSE)</formula>
    </cfRule>
  </conditionalFormatting>
  <conditionalFormatting sqref="AJ14:AJ15">
    <cfRule type="expression" dxfId="46" priority="20" stopIfTrue="1">
      <formula>IF(WEEKDAY(AJ$5)=1,TRUE,FALSE)</formula>
    </cfRule>
  </conditionalFormatting>
  <conditionalFormatting sqref="AJ14:AJ15">
    <cfRule type="expression" dxfId="45" priority="19" stopIfTrue="1">
      <formula>IF(WEEKDAY(AJ$5)=1,TRUE,FALSE)</formula>
    </cfRule>
  </conditionalFormatting>
  <conditionalFormatting sqref="AJ14:AJ15">
    <cfRule type="expression" dxfId="44" priority="18" stopIfTrue="1">
      <formula>IF(WEEKDAY(AJ$5)=1,TRUE,FALSE)</formula>
    </cfRule>
  </conditionalFormatting>
  <conditionalFormatting sqref="F12:AI17">
    <cfRule type="expression" dxfId="43" priority="2" stopIfTrue="1">
      <formula>IF(WEEKDAY(F$5)=1,TRUE,FALSE)</formula>
    </cfRule>
  </conditionalFormatting>
  <conditionalFormatting sqref="F12:AI17">
    <cfRule type="expression" dxfId="4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0"/>
      <c r="C1" s="180"/>
      <c r="D1" s="266" t="str">
        <f>"BẢNG THANH TOÁN LƯƠNG THÁNG"&amp;" "&amp;TEXT($E$4,"mm")&amp;" / "&amp;TEXT($E$4,"yyyy")</f>
        <v>BẢNG THANH TOÁN LƯƠNG THÁNG 06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0"/>
      <c r="C2" s="180"/>
      <c r="D2" s="180"/>
      <c r="E2" s="68"/>
      <c r="F2" s="180"/>
      <c r="G2" s="180"/>
      <c r="H2" s="180"/>
      <c r="I2" s="180"/>
      <c r="J2" s="69"/>
      <c r="K2" s="180"/>
      <c r="L2" s="180"/>
      <c r="M2" s="180"/>
      <c r="N2" s="180"/>
      <c r="O2" s="180"/>
      <c r="P2" s="180"/>
      <c r="Q2" s="180"/>
      <c r="R2" s="180"/>
      <c r="S2" s="180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0"/>
      <c r="C3" s="180"/>
      <c r="D3" s="180"/>
      <c r="E3" s="68"/>
      <c r="F3" s="180"/>
      <c r="G3" s="180"/>
      <c r="H3" s="180"/>
      <c r="I3" s="180"/>
      <c r="J3" s="69"/>
      <c r="K3" s="180"/>
      <c r="L3" s="180"/>
      <c r="M3" s="180"/>
      <c r="N3" s="180"/>
      <c r="O3" s="180"/>
      <c r="P3" s="180"/>
      <c r="Q3" s="180"/>
      <c r="R3" s="180"/>
      <c r="S3" s="180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-6'!$E$4</f>
        <v>42887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181" t="s">
        <v>34</v>
      </c>
      <c r="G7" s="178" t="s">
        <v>18</v>
      </c>
      <c r="H7" s="181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-6'!$B$8:$AS$17,36,0)</f>
        <v>26</v>
      </c>
      <c r="G10" s="132">
        <f t="shared" ref="G10" si="3">ROUND(E10/$U$2*F10,0)</f>
        <v>5000000</v>
      </c>
      <c r="H10" s="79">
        <f>(VLOOKUP(B10,'CC -6'!$B$8:$AS$17,37,0)+VLOOKUP(B10,'CC -6'!$B$8:$AS$17,38,0))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5000000</v>
      </c>
      <c r="L10" s="77">
        <f t="shared" ref="L10" si="6">+F10*15000</f>
        <v>390000</v>
      </c>
      <c r="M10" s="33">
        <f t="shared" ref="M10" si="7">K10+L10</f>
        <v>5390000</v>
      </c>
      <c r="N10" s="33">
        <f>IF(VLOOKUP($B10,DS,19,0)="x",$E10*N$4,0)</f>
        <v>0</v>
      </c>
      <c r="O10" s="33">
        <f>IF(VLOOKUP($B10,DS,19,0)="x",$E10*O$4,0)</f>
        <v>0</v>
      </c>
      <c r="P10" s="33">
        <f>IF(VLOOKUP($B10,DS,19,0)="x",$E10*P$4,0)</f>
        <v>0</v>
      </c>
      <c r="Q10" s="32">
        <f t="shared" ref="Q10" si="8">M10-SUM(N10:P10)</f>
        <v>5390000</v>
      </c>
      <c r="R10" s="32">
        <f>VLOOKUP(B10,DS,23,0)</f>
        <v>0</v>
      </c>
      <c r="S10" s="38">
        <f t="shared" ref="S10" si="9">Q10-R10</f>
        <v>5390000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0">SUM(K9:K10)</f>
        <v>5000000</v>
      </c>
      <c r="L12" s="127">
        <f t="shared" si="10"/>
        <v>390000</v>
      </c>
      <c r="M12" s="127">
        <f t="shared" si="10"/>
        <v>5390000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5390000</v>
      </c>
      <c r="R12" s="127">
        <f t="shared" si="10"/>
        <v>0</v>
      </c>
      <c r="S12" s="127">
        <f t="shared" si="10"/>
        <v>5390000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Bùi Trường Giang</v>
      </c>
      <c r="D14" s="103" t="str">
        <f t="shared" ref="D14:D16" si="12">VLOOKUP(B14,DS,3,0)</f>
        <v>Thợ in</v>
      </c>
      <c r="E14" s="77">
        <f t="shared" ref="E14:E16" si="13">VLOOKUP(B14,DS,4,0)</f>
        <v>5000000</v>
      </c>
      <c r="F14" s="79">
        <f>VLOOKUP(B14,'CC -6'!$B$8:$AS$17,36,0)</f>
        <v>26</v>
      </c>
      <c r="G14" s="132">
        <f t="shared" ref="G14:G16" si="14">ROUND(E14/$U$2*F14,0)</f>
        <v>5000000</v>
      </c>
      <c r="H14" s="79">
        <f>(VLOOKUP(B14,'CC -6'!$B$8:$AS$17,37,0)+VLOOKUP(B14,'CC -6'!$B$8:$AS$17,38,0))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5000000</v>
      </c>
      <c r="L14" s="77">
        <f t="shared" ref="L14:L16" si="17">+F14*15000</f>
        <v>390000</v>
      </c>
      <c r="M14" s="33">
        <f t="shared" ref="M14:M16" si="18">K14+L14</f>
        <v>5390000</v>
      </c>
      <c r="N14" s="33">
        <f t="shared" ref="N14:P16" si="19">IF(VLOOKUP($B14,DS,19,0)="x",$E14*N$4,0)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5390000</v>
      </c>
      <c r="R14" s="32">
        <f t="shared" ref="R14:R16" si="20">VLOOKUP(B14,DS,23,0)</f>
        <v>0</v>
      </c>
      <c r="S14" s="38">
        <f>Q14-R14</f>
        <v>5390000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Lê Văn Hữu</v>
      </c>
      <c r="D15" s="103" t="str">
        <f t="shared" ref="D15" si="22">VLOOKUP(B15,DS,3,0)</f>
        <v>Công Đoạn 2</v>
      </c>
      <c r="E15" s="77">
        <f t="shared" ref="E15" si="23">VLOOKUP(B15,DS,4,0)</f>
        <v>5000000</v>
      </c>
      <c r="F15" s="79">
        <f>VLOOKUP(B15,'CC -6'!$B$8:$AS$17,36,0)</f>
        <v>26</v>
      </c>
      <c r="G15" s="132">
        <f t="shared" ref="G15" si="24">ROUND(E15/$U$2*F15,0)</f>
        <v>5000000</v>
      </c>
      <c r="H15" s="79">
        <f>(VLOOKUP(B15,'CC -6'!$B$8:$AS$17,37,0)+VLOOKUP(B15,'CC -6'!$B$8:$AS$17,38,0))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Phan Thị Sương</v>
      </c>
      <c r="D16" s="103" t="str">
        <f t="shared" si="12"/>
        <v>Công Đoạn 1</v>
      </c>
      <c r="E16" s="77">
        <f t="shared" si="13"/>
        <v>3000000</v>
      </c>
      <c r="F16" s="79">
        <f>VLOOKUP(B16,'CC -6'!$B$8:$AS$17,36,0)</f>
        <v>26</v>
      </c>
      <c r="G16" s="132">
        <f t="shared" si="14"/>
        <v>3000000</v>
      </c>
      <c r="H16" s="79">
        <f>(VLOOKUP(B16,'CC -6'!$B$8:$AS$17,37,0)+VLOOKUP(B16,'CC -6'!$B$8:$AS$17,38,0))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3000000</v>
      </c>
      <c r="L16" s="77">
        <f t="shared" si="17"/>
        <v>390000</v>
      </c>
      <c r="M16" s="33">
        <f t="shared" si="18"/>
        <v>3390000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3390000</v>
      </c>
      <c r="R16" s="32">
        <f t="shared" si="20"/>
        <v>0</v>
      </c>
      <c r="S16" s="38">
        <f t="shared" ref="S16" si="34">Q16-R16</f>
        <v>3390000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5">SUM(K13:K17)</f>
        <v>13000000</v>
      </c>
      <c r="L18" s="127">
        <f t="shared" si="35"/>
        <v>1170000</v>
      </c>
      <c r="M18" s="127">
        <f t="shared" si="35"/>
        <v>14170000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14170000</v>
      </c>
      <c r="R18" s="127">
        <f t="shared" si="35"/>
        <v>0</v>
      </c>
      <c r="S18" s="127">
        <f t="shared" si="35"/>
        <v>14170000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06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J6:J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N5:P5"/>
    <mergeCell ref="Q5:Q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4" sqref="B14:B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07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42917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42917</v>
      </c>
      <c r="G5" s="105">
        <f t="shared" ref="G5:AJ5" si="0">F5+1</f>
        <v>42918</v>
      </c>
      <c r="H5" s="105">
        <f t="shared" si="0"/>
        <v>42919</v>
      </c>
      <c r="I5" s="105">
        <f t="shared" si="0"/>
        <v>42920</v>
      </c>
      <c r="J5" s="105">
        <f t="shared" si="0"/>
        <v>42921</v>
      </c>
      <c r="K5" s="105">
        <f t="shared" si="0"/>
        <v>42922</v>
      </c>
      <c r="L5" s="105">
        <f t="shared" si="0"/>
        <v>42923</v>
      </c>
      <c r="M5" s="105">
        <f t="shared" si="0"/>
        <v>42924</v>
      </c>
      <c r="N5" s="105">
        <f t="shared" si="0"/>
        <v>42925</v>
      </c>
      <c r="O5" s="105">
        <f t="shared" si="0"/>
        <v>42926</v>
      </c>
      <c r="P5" s="105">
        <f t="shared" si="0"/>
        <v>42927</v>
      </c>
      <c r="Q5" s="105">
        <f t="shared" si="0"/>
        <v>42928</v>
      </c>
      <c r="R5" s="105">
        <f t="shared" si="0"/>
        <v>42929</v>
      </c>
      <c r="S5" s="105">
        <f t="shared" si="0"/>
        <v>42930</v>
      </c>
      <c r="T5" s="105">
        <f t="shared" si="0"/>
        <v>42931</v>
      </c>
      <c r="U5" s="105">
        <f t="shared" si="0"/>
        <v>42932</v>
      </c>
      <c r="V5" s="105">
        <f t="shared" si="0"/>
        <v>42933</v>
      </c>
      <c r="W5" s="105">
        <f t="shared" si="0"/>
        <v>42934</v>
      </c>
      <c r="X5" s="105">
        <f t="shared" si="0"/>
        <v>42935</v>
      </c>
      <c r="Y5" s="105">
        <f t="shared" si="0"/>
        <v>42936</v>
      </c>
      <c r="Z5" s="105">
        <f t="shared" si="0"/>
        <v>42937</v>
      </c>
      <c r="AA5" s="105">
        <f t="shared" si="0"/>
        <v>42938</v>
      </c>
      <c r="AB5" s="105">
        <f t="shared" si="0"/>
        <v>42939</v>
      </c>
      <c r="AC5" s="105">
        <f t="shared" si="0"/>
        <v>42940</v>
      </c>
      <c r="AD5" s="105">
        <f t="shared" si="0"/>
        <v>42941</v>
      </c>
      <c r="AE5" s="105">
        <f t="shared" si="0"/>
        <v>42942</v>
      </c>
      <c r="AF5" s="105">
        <f t="shared" si="0"/>
        <v>42943</v>
      </c>
      <c r="AG5" s="105">
        <f t="shared" si="0"/>
        <v>42944</v>
      </c>
      <c r="AH5" s="105">
        <f>AG5+1</f>
        <v>42945</v>
      </c>
      <c r="AI5" s="105">
        <f t="shared" si="0"/>
        <v>42946</v>
      </c>
      <c r="AJ5" s="105">
        <f t="shared" si="0"/>
        <v>42947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T.Bảy</v>
      </c>
      <c r="G6" s="160" t="str">
        <f t="shared" ref="G6:AJ6" si="1">CHOOSE(WEEKDAY(G5),"C.Nhật","T.Hai","T.Ba","T.Tư","T.Năm","T.Sáu","T.Bảy")</f>
        <v>C.Nhật</v>
      </c>
      <c r="H6" s="160" t="str">
        <f t="shared" si="1"/>
        <v>T.Hai</v>
      </c>
      <c r="I6" s="160" t="str">
        <f t="shared" si="1"/>
        <v>T.Ba</v>
      </c>
      <c r="J6" s="160" t="str">
        <f t="shared" si="1"/>
        <v>T.Tư</v>
      </c>
      <c r="K6" s="160" t="str">
        <f t="shared" si="1"/>
        <v>T.Năm</v>
      </c>
      <c r="L6" s="160" t="str">
        <f t="shared" si="1"/>
        <v>T.Sáu</v>
      </c>
      <c r="M6" s="160" t="str">
        <f t="shared" si="1"/>
        <v>T.Bảy</v>
      </c>
      <c r="N6" s="160" t="str">
        <f t="shared" si="1"/>
        <v>C.Nhật</v>
      </c>
      <c r="O6" s="160" t="str">
        <f t="shared" si="1"/>
        <v>T.Hai</v>
      </c>
      <c r="P6" s="160" t="str">
        <f t="shared" si="1"/>
        <v>T.Ba</v>
      </c>
      <c r="Q6" s="160" t="str">
        <f t="shared" si="1"/>
        <v>T.Tư</v>
      </c>
      <c r="R6" s="160" t="str">
        <f t="shared" si="1"/>
        <v>T.Năm</v>
      </c>
      <c r="S6" s="160" t="str">
        <f t="shared" si="1"/>
        <v>T.Sáu</v>
      </c>
      <c r="T6" s="160" t="str">
        <f t="shared" si="1"/>
        <v>T.Bảy</v>
      </c>
      <c r="U6" s="160" t="str">
        <f t="shared" si="1"/>
        <v>C.Nhật</v>
      </c>
      <c r="V6" s="160" t="str">
        <f t="shared" si="1"/>
        <v>T.Hai</v>
      </c>
      <c r="W6" s="160" t="str">
        <f t="shared" si="1"/>
        <v>T.Ba</v>
      </c>
      <c r="X6" s="160" t="str">
        <f t="shared" si="1"/>
        <v>T.Tư</v>
      </c>
      <c r="Y6" s="160" t="str">
        <f t="shared" si="1"/>
        <v>T.Năm</v>
      </c>
      <c r="Z6" s="160" t="str">
        <f t="shared" si="1"/>
        <v>T.Sáu</v>
      </c>
      <c r="AA6" s="160" t="str">
        <f t="shared" si="1"/>
        <v>T.Bảy</v>
      </c>
      <c r="AB6" s="160" t="str">
        <f t="shared" si="1"/>
        <v>C.Nhật</v>
      </c>
      <c r="AC6" s="160" t="str">
        <f t="shared" si="1"/>
        <v>T.Hai</v>
      </c>
      <c r="AD6" s="160" t="str">
        <f t="shared" si="1"/>
        <v>T.Ba</v>
      </c>
      <c r="AE6" s="160" t="str">
        <f t="shared" si="1"/>
        <v>T.Tư</v>
      </c>
      <c r="AF6" s="160" t="str">
        <f t="shared" si="1"/>
        <v>T.Năm</v>
      </c>
      <c r="AG6" s="160" t="str">
        <f t="shared" si="1"/>
        <v>T.Sáu</v>
      </c>
      <c r="AH6" s="160" t="str">
        <f t="shared" si="1"/>
        <v>T.Bảy</v>
      </c>
      <c r="AI6" s="160" t="str">
        <f t="shared" si="1"/>
        <v>C.Nhật</v>
      </c>
      <c r="AJ6" s="160" t="str">
        <f t="shared" si="1"/>
        <v>T.Hai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/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/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/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/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/>
      <c r="AJ9" s="130">
        <v>8</v>
      </c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2"/>
      <c r="AT9" s="1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1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/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/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/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/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/>
      <c r="AJ12" s="130">
        <v>8</v>
      </c>
      <c r="AK12" s="244">
        <f t="shared" ref="AK12" si="2">((SUM(F12:AJ12))/8)-(SUMIF($F$6:$AJ$6,"C.Nhật",F12:AJ12)/8)</f>
        <v>26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26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/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/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/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/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/>
      <c r="AJ14" s="130">
        <v>8</v>
      </c>
      <c r="AK14" s="244">
        <f t="shared" ref="AK14" si="4">((SUM(F14:AJ14))/8)-(SUMIF($F$6:$AJ$6,"C.Nhật",F14:AJ14)/8)</f>
        <v>26</v>
      </c>
      <c r="AL14" s="244">
        <f t="shared" ref="AL14" si="5">SUM(F15:AJ15)/8*1.5</f>
        <v>0</v>
      </c>
      <c r="AM14" s="246">
        <f>SUMIF($F$6:$AJ$6,"C.Nhật",$F14:$AJ15)/8*2</f>
        <v>0</v>
      </c>
      <c r="AN14" s="248">
        <f t="shared" ref="AN14" si="6">SUM(AK14:AM15)</f>
        <v>26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/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/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/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/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/>
      <c r="AJ16" s="130">
        <v>8</v>
      </c>
      <c r="AK16" s="244">
        <f t="shared" ref="AK16" si="7">((SUM(F16:AJ16))/8)-(SUMIF($F$6:$AJ$6,"C.Nhật",F16:AJ16)/8)</f>
        <v>26</v>
      </c>
      <c r="AL16" s="244">
        <f t="shared" ref="AL16" si="8">SUM(F17:AJ17)/8*1.5</f>
        <v>0</v>
      </c>
      <c r="AM16" s="246">
        <f>SUMIF($F$6:$AJ$6,"C.Nhật",$F16:$AJ17)/8*2</f>
        <v>0</v>
      </c>
      <c r="AN16" s="248">
        <f t="shared" ref="AN16" si="9">SUM(AK16:AM17)</f>
        <v>26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8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2:AQ13"/>
    <mergeCell ref="AR12:AR13"/>
    <mergeCell ref="AS12:AS13"/>
    <mergeCell ref="AO12:AO13"/>
    <mergeCell ref="AP12:AP13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R16:AR17"/>
    <mergeCell ref="AS16:AS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O14:AO15"/>
    <mergeCell ref="AP14:AP15"/>
    <mergeCell ref="AQ14:AQ15"/>
    <mergeCell ref="AR14:AR15"/>
    <mergeCell ref="AS14:AS15"/>
  </mergeCells>
  <conditionalFormatting sqref="F5:AJ6 F9:AJ10 F12:AJ17">
    <cfRule type="expression" dxfId="41" priority="41" stopIfTrue="1">
      <formula>IF(WEEKDAY(F$5)=1,TRUE,FALSE)</formula>
    </cfRule>
  </conditionalFormatting>
  <conditionalFormatting sqref="F9:AJ10">
    <cfRule type="expression" dxfId="40" priority="40" stopIfTrue="1">
      <formula>IF(WEEKDAY(F$5)=1,TRUE,FALSE)</formula>
    </cfRule>
  </conditionalFormatting>
  <conditionalFormatting sqref="F12:AJ17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6"/>
      <c r="C1" s="186"/>
      <c r="D1" s="266" t="str">
        <f>"BẢNG THANH TOÁN LƯƠNG THÁNG"&amp;" "&amp;TEXT($E$4,"mm")&amp;" / "&amp;TEXT($E$4,"yyyy")</f>
        <v>BẢNG THANH TOÁN LƯƠNG THÁNG 07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6"/>
      <c r="C2" s="186"/>
      <c r="D2" s="186"/>
      <c r="E2" s="68"/>
      <c r="F2" s="186"/>
      <c r="G2" s="186"/>
      <c r="H2" s="186"/>
      <c r="I2" s="186"/>
      <c r="J2" s="69"/>
      <c r="K2" s="186"/>
      <c r="L2" s="186"/>
      <c r="M2" s="186"/>
      <c r="N2" s="186"/>
      <c r="O2" s="186"/>
      <c r="P2" s="186"/>
      <c r="Q2" s="186"/>
      <c r="R2" s="186"/>
      <c r="S2" s="186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6"/>
      <c r="C3" s="186"/>
      <c r="D3" s="186"/>
      <c r="E3" s="68"/>
      <c r="F3" s="186"/>
      <c r="G3" s="186"/>
      <c r="H3" s="186"/>
      <c r="I3" s="186"/>
      <c r="J3" s="69"/>
      <c r="K3" s="186"/>
      <c r="L3" s="186"/>
      <c r="M3" s="186"/>
      <c r="N3" s="186"/>
      <c r="O3" s="186"/>
      <c r="P3" s="186"/>
      <c r="Q3" s="186"/>
      <c r="R3" s="186"/>
      <c r="S3" s="186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-7'!$E$4</f>
        <v>42917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185" t="s">
        <v>34</v>
      </c>
      <c r="G7" s="183" t="s">
        <v>18</v>
      </c>
      <c r="H7" s="185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-7'!$B$8:$AS$17,36,0)</f>
        <v>26</v>
      </c>
      <c r="G10" s="132">
        <f t="shared" ref="G10" si="3">ROUND(E10/$U$2*F10,0)</f>
        <v>5000000</v>
      </c>
      <c r="H10" s="79">
        <f>(VLOOKUP(B10,'CC -7'!$B$8:$AS$17,37,0)+VLOOKUP(B10,'CC -7'!$B$8:$AS$17,38,0))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5000000</v>
      </c>
      <c r="L10" s="77">
        <f t="shared" ref="L10" si="6">+F10*15000</f>
        <v>390000</v>
      </c>
      <c r="M10" s="33">
        <f t="shared" ref="M10" si="7">K10+L10</f>
        <v>5390000</v>
      </c>
      <c r="N10" s="33">
        <f>IF(VLOOKUP($B10,DS,21,0)="x",$E10*N$4,0)</f>
        <v>0</v>
      </c>
      <c r="O10" s="33">
        <f>IF(VLOOKUP($B10,DS,21,0)="x",$E10*O$4,0)</f>
        <v>0</v>
      </c>
      <c r="P10" s="33">
        <f>IF(VLOOKUP($B10,DS,21,0)="x",$E10*P$4,0)</f>
        <v>0</v>
      </c>
      <c r="Q10" s="32">
        <f t="shared" ref="Q10" si="8">M10-SUM(N10:P10)</f>
        <v>5390000</v>
      </c>
      <c r="R10" s="32">
        <f>VLOOKUP(B10,DS,23,0)</f>
        <v>0</v>
      </c>
      <c r="S10" s="38">
        <f t="shared" ref="S10" si="9">Q10-R10</f>
        <v>5390000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0">SUM(K9:K10)</f>
        <v>5000000</v>
      </c>
      <c r="L12" s="127">
        <f t="shared" si="10"/>
        <v>390000</v>
      </c>
      <c r="M12" s="127">
        <f t="shared" si="10"/>
        <v>5390000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5390000</v>
      </c>
      <c r="R12" s="127">
        <f t="shared" si="10"/>
        <v>0</v>
      </c>
      <c r="S12" s="127">
        <f t="shared" si="10"/>
        <v>5390000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Bùi Trường Giang</v>
      </c>
      <c r="D14" s="103" t="str">
        <f t="shared" ref="D14:D16" si="12">VLOOKUP(B14,DS,3,0)</f>
        <v>Thợ in</v>
      </c>
      <c r="E14" s="77">
        <f t="shared" ref="E14:E16" si="13">VLOOKUP(B14,DS,4,0)</f>
        <v>5000000</v>
      </c>
      <c r="F14" s="79">
        <f>VLOOKUP(B14,'CC -7'!$B$8:$AS$17,36,0)</f>
        <v>26</v>
      </c>
      <c r="G14" s="132">
        <f t="shared" ref="G14:G16" si="14">ROUND(E14/$U$2*F14,0)</f>
        <v>5000000</v>
      </c>
      <c r="H14" s="79">
        <f>(VLOOKUP(B14,'CC -7'!$B$8:$AS$17,37,0)+VLOOKUP(B14,'CC -7'!$B$8:$AS$17,38,0))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5000000</v>
      </c>
      <c r="L14" s="77">
        <f t="shared" ref="L14:L16" si="17">+F14*15000</f>
        <v>390000</v>
      </c>
      <c r="M14" s="33">
        <f t="shared" ref="M14:M16" si="18">K14+L14</f>
        <v>5390000</v>
      </c>
      <c r="N14" s="33">
        <f t="shared" ref="N14:P16" si="19">IF(VLOOKUP($B14,DS,21,0)="x",$E14*N$4,0)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5390000</v>
      </c>
      <c r="R14" s="32">
        <f t="shared" ref="R14:R16" si="20">VLOOKUP(B14,DS,23,0)</f>
        <v>0</v>
      </c>
      <c r="S14" s="38">
        <f>Q14-R14</f>
        <v>5390000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Lê Văn Hữu</v>
      </c>
      <c r="D15" s="103" t="str">
        <f t="shared" ref="D15" si="22">VLOOKUP(B15,DS,3,0)</f>
        <v>Công Đoạn 2</v>
      </c>
      <c r="E15" s="77">
        <f t="shared" ref="E15" si="23">VLOOKUP(B15,DS,4,0)</f>
        <v>5000000</v>
      </c>
      <c r="F15" s="79">
        <f>VLOOKUP(B15,'CC -7'!$B$8:$AS$17,36,0)</f>
        <v>26</v>
      </c>
      <c r="G15" s="132">
        <f t="shared" ref="G15" si="24">ROUND(E15/$U$2*F15,0)</f>
        <v>5000000</v>
      </c>
      <c r="H15" s="79">
        <f>(VLOOKUP(B15,'CC -7'!$B$8:$AS$17,37,0)+VLOOKUP(B15,'CC -7'!$B$8:$AS$17,38,0))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Phan Thị Sương</v>
      </c>
      <c r="D16" s="103" t="str">
        <f t="shared" si="12"/>
        <v>Công Đoạn 1</v>
      </c>
      <c r="E16" s="77">
        <f t="shared" si="13"/>
        <v>3000000</v>
      </c>
      <c r="F16" s="79">
        <f>VLOOKUP(B16,'CC -7'!$B$8:$AS$17,36,0)</f>
        <v>26</v>
      </c>
      <c r="G16" s="132">
        <f t="shared" si="14"/>
        <v>3000000</v>
      </c>
      <c r="H16" s="79">
        <f>(VLOOKUP(B16,'CC -7'!$B$8:$AS$17,37,0)+VLOOKUP(B16,'CC -7'!$B$8:$AS$17,38,0))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3000000</v>
      </c>
      <c r="L16" s="77">
        <f t="shared" si="17"/>
        <v>390000</v>
      </c>
      <c r="M16" s="33">
        <f t="shared" si="18"/>
        <v>3390000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3390000</v>
      </c>
      <c r="R16" s="32">
        <f t="shared" si="20"/>
        <v>0</v>
      </c>
      <c r="S16" s="38">
        <f t="shared" ref="S16" si="34">Q16-R16</f>
        <v>3390000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5">SUM(K13:K17)</f>
        <v>13000000</v>
      </c>
      <c r="L18" s="127">
        <f t="shared" si="35"/>
        <v>1170000</v>
      </c>
      <c r="M18" s="127">
        <f t="shared" si="35"/>
        <v>14170000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14170000</v>
      </c>
      <c r="R18" s="127">
        <f t="shared" si="35"/>
        <v>0</v>
      </c>
      <c r="S18" s="127">
        <f t="shared" si="35"/>
        <v>14170000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07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4" sqref="B14:B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2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08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42948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42948</v>
      </c>
      <c r="G5" s="105">
        <f t="shared" ref="G5:AJ5" si="0">F5+1</f>
        <v>42949</v>
      </c>
      <c r="H5" s="105">
        <f t="shared" si="0"/>
        <v>42950</v>
      </c>
      <c r="I5" s="105">
        <f t="shared" si="0"/>
        <v>42951</v>
      </c>
      <c r="J5" s="105">
        <f t="shared" si="0"/>
        <v>42952</v>
      </c>
      <c r="K5" s="105">
        <f t="shared" si="0"/>
        <v>42953</v>
      </c>
      <c r="L5" s="105">
        <f t="shared" si="0"/>
        <v>42954</v>
      </c>
      <c r="M5" s="105">
        <f t="shared" si="0"/>
        <v>42955</v>
      </c>
      <c r="N5" s="105">
        <f t="shared" si="0"/>
        <v>42956</v>
      </c>
      <c r="O5" s="105">
        <f t="shared" si="0"/>
        <v>42957</v>
      </c>
      <c r="P5" s="105">
        <f t="shared" si="0"/>
        <v>42958</v>
      </c>
      <c r="Q5" s="105">
        <f t="shared" si="0"/>
        <v>42959</v>
      </c>
      <c r="R5" s="105">
        <f t="shared" si="0"/>
        <v>42960</v>
      </c>
      <c r="S5" s="105">
        <f t="shared" si="0"/>
        <v>42961</v>
      </c>
      <c r="T5" s="105">
        <f t="shared" si="0"/>
        <v>42962</v>
      </c>
      <c r="U5" s="105">
        <f t="shared" si="0"/>
        <v>42963</v>
      </c>
      <c r="V5" s="105">
        <f t="shared" si="0"/>
        <v>42964</v>
      </c>
      <c r="W5" s="105">
        <f t="shared" si="0"/>
        <v>42965</v>
      </c>
      <c r="X5" s="105">
        <f t="shared" si="0"/>
        <v>42966</v>
      </c>
      <c r="Y5" s="105">
        <f t="shared" si="0"/>
        <v>42967</v>
      </c>
      <c r="Z5" s="105">
        <f t="shared" si="0"/>
        <v>42968</v>
      </c>
      <c r="AA5" s="105">
        <f t="shared" si="0"/>
        <v>42969</v>
      </c>
      <c r="AB5" s="105">
        <f t="shared" si="0"/>
        <v>42970</v>
      </c>
      <c r="AC5" s="105">
        <f t="shared" si="0"/>
        <v>42971</v>
      </c>
      <c r="AD5" s="105">
        <f t="shared" si="0"/>
        <v>42972</v>
      </c>
      <c r="AE5" s="105">
        <f t="shared" si="0"/>
        <v>42973</v>
      </c>
      <c r="AF5" s="105">
        <f t="shared" si="0"/>
        <v>42974</v>
      </c>
      <c r="AG5" s="105">
        <f t="shared" si="0"/>
        <v>42975</v>
      </c>
      <c r="AH5" s="105">
        <f>AG5+1</f>
        <v>42976</v>
      </c>
      <c r="AI5" s="105">
        <f t="shared" si="0"/>
        <v>42977</v>
      </c>
      <c r="AJ5" s="105">
        <f t="shared" si="0"/>
        <v>42978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T.Ba</v>
      </c>
      <c r="G6" s="160" t="str">
        <f t="shared" ref="G6:AJ6" si="1">CHOOSE(WEEKDAY(G5),"C.Nhật","T.Hai","T.Ba","T.Tư","T.Năm","T.Sáu","T.Bảy")</f>
        <v>T.Tư</v>
      </c>
      <c r="H6" s="160" t="str">
        <f t="shared" si="1"/>
        <v>T.Năm</v>
      </c>
      <c r="I6" s="160" t="str">
        <f t="shared" si="1"/>
        <v>T.Sáu</v>
      </c>
      <c r="J6" s="160" t="str">
        <f t="shared" si="1"/>
        <v>T.Bảy</v>
      </c>
      <c r="K6" s="160" t="str">
        <f t="shared" si="1"/>
        <v>C.Nhật</v>
      </c>
      <c r="L6" s="160" t="str">
        <f t="shared" si="1"/>
        <v>T.Hai</v>
      </c>
      <c r="M6" s="160" t="str">
        <f t="shared" si="1"/>
        <v>T.Ba</v>
      </c>
      <c r="N6" s="160" t="str">
        <f t="shared" si="1"/>
        <v>T.Tư</v>
      </c>
      <c r="O6" s="160" t="str">
        <f t="shared" si="1"/>
        <v>T.Năm</v>
      </c>
      <c r="P6" s="160" t="str">
        <f t="shared" si="1"/>
        <v>T.Sáu</v>
      </c>
      <c r="Q6" s="160" t="str">
        <f t="shared" si="1"/>
        <v>T.Bảy</v>
      </c>
      <c r="R6" s="160" t="str">
        <f t="shared" si="1"/>
        <v>C.Nhật</v>
      </c>
      <c r="S6" s="160" t="str">
        <f t="shared" si="1"/>
        <v>T.Hai</v>
      </c>
      <c r="T6" s="160" t="str">
        <f t="shared" si="1"/>
        <v>T.Ba</v>
      </c>
      <c r="U6" s="160" t="str">
        <f t="shared" si="1"/>
        <v>T.Tư</v>
      </c>
      <c r="V6" s="160" t="str">
        <f t="shared" si="1"/>
        <v>T.Năm</v>
      </c>
      <c r="W6" s="160" t="str">
        <f t="shared" si="1"/>
        <v>T.Sáu</v>
      </c>
      <c r="X6" s="160" t="str">
        <f t="shared" si="1"/>
        <v>T.Bảy</v>
      </c>
      <c r="Y6" s="160" t="str">
        <f t="shared" si="1"/>
        <v>C.Nhật</v>
      </c>
      <c r="Z6" s="160" t="str">
        <f t="shared" si="1"/>
        <v>T.Hai</v>
      </c>
      <c r="AA6" s="160" t="str">
        <f t="shared" si="1"/>
        <v>T.Ba</v>
      </c>
      <c r="AB6" s="160" t="str">
        <f t="shared" si="1"/>
        <v>T.Tư</v>
      </c>
      <c r="AC6" s="160" t="str">
        <f t="shared" si="1"/>
        <v>T.Năm</v>
      </c>
      <c r="AD6" s="160" t="str">
        <f t="shared" si="1"/>
        <v>T.Sáu</v>
      </c>
      <c r="AE6" s="160" t="str">
        <f t="shared" si="1"/>
        <v>T.Bảy</v>
      </c>
      <c r="AF6" s="160" t="str">
        <f t="shared" si="1"/>
        <v>C.Nhật</v>
      </c>
      <c r="AG6" s="160" t="str">
        <f t="shared" si="1"/>
        <v>T.Hai</v>
      </c>
      <c r="AH6" s="160" t="str">
        <f t="shared" si="1"/>
        <v>T.Ba</v>
      </c>
      <c r="AI6" s="160" t="str">
        <f t="shared" si="1"/>
        <v>T.Tư</v>
      </c>
      <c r="AJ6" s="160" t="str">
        <f t="shared" si="1"/>
        <v>T.Năm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>
        <v>8</v>
      </c>
      <c r="K9" s="130"/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>
        <v>8</v>
      </c>
      <c r="R9" s="130"/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>
        <v>8</v>
      </c>
      <c r="Y9" s="130"/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>
        <v>8</v>
      </c>
      <c r="AF9" s="130"/>
      <c r="AG9" s="130">
        <v>8</v>
      </c>
      <c r="AH9" s="130">
        <v>8</v>
      </c>
      <c r="AI9" s="130">
        <v>8</v>
      </c>
      <c r="AJ9" s="130">
        <v>8</v>
      </c>
      <c r="AK9" s="244">
        <f>((SUM(F9:AJ9))/8)-(SUMIF($F$6:$AJ$6,"C.Nhật",F9:AJ9)/8)</f>
        <v>27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27</v>
      </c>
      <c r="AO9" s="250">
        <v>0</v>
      </c>
      <c r="AP9" s="248"/>
      <c r="AQ9" s="248"/>
      <c r="AR9" s="248"/>
      <c r="AS9" s="252"/>
      <c r="AT9" s="1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1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>
        <v>8</v>
      </c>
      <c r="H12" s="130">
        <v>8</v>
      </c>
      <c r="I12" s="130">
        <v>8</v>
      </c>
      <c r="J12" s="130">
        <v>8</v>
      </c>
      <c r="K12" s="130"/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>
        <v>8</v>
      </c>
      <c r="R12" s="130"/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>
        <v>8</v>
      </c>
      <c r="Y12" s="130"/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>
        <v>8</v>
      </c>
      <c r="AF12" s="130"/>
      <c r="AG12" s="130">
        <v>8</v>
      </c>
      <c r="AH12" s="130">
        <v>8</v>
      </c>
      <c r="AI12" s="130">
        <v>8</v>
      </c>
      <c r="AJ12" s="130">
        <v>8</v>
      </c>
      <c r="AK12" s="244">
        <f t="shared" ref="AK12" si="2">((SUM(F12:AJ12))/8)-(SUMIF($F$6:$AJ$6,"C.Nhật",F12:AJ12)/8)</f>
        <v>27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27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>
        <v>8</v>
      </c>
      <c r="K14" s="130"/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>
        <v>8</v>
      </c>
      <c r="R14" s="130"/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>
        <v>8</v>
      </c>
      <c r="Y14" s="130"/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>
        <v>8</v>
      </c>
      <c r="AF14" s="130"/>
      <c r="AG14" s="130">
        <v>8</v>
      </c>
      <c r="AH14" s="130">
        <v>8</v>
      </c>
      <c r="AI14" s="130">
        <v>8</v>
      </c>
      <c r="AJ14" s="130">
        <v>8</v>
      </c>
      <c r="AK14" s="244">
        <f t="shared" ref="AK14" si="4">((SUM(F14:AJ14))/8)-(SUMIF($F$6:$AJ$6,"C.Nhật",F14:AJ14)/8)</f>
        <v>27</v>
      </c>
      <c r="AL14" s="244">
        <f t="shared" ref="AL14" si="5">SUM(F15:AJ15)/8*1.5</f>
        <v>0</v>
      </c>
      <c r="AM14" s="246">
        <f>SUMIF($F$6:$AJ$6,"C.Nhật",$F14:$AJ15)/8*2</f>
        <v>0</v>
      </c>
      <c r="AN14" s="248">
        <f t="shared" ref="AN14" si="6">SUM(AK14:AM15)</f>
        <v>27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>
        <v>8</v>
      </c>
      <c r="K16" s="130"/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>
        <v>8</v>
      </c>
      <c r="R16" s="130"/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>
        <v>8</v>
      </c>
      <c r="Y16" s="130"/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>
        <v>8</v>
      </c>
      <c r="AF16" s="130"/>
      <c r="AG16" s="130">
        <v>8</v>
      </c>
      <c r="AH16" s="130">
        <v>8</v>
      </c>
      <c r="AI16" s="130">
        <v>8</v>
      </c>
      <c r="AJ16" s="130">
        <v>8</v>
      </c>
      <c r="AK16" s="244">
        <f t="shared" ref="AK16" si="7">((SUM(F16:AJ16))/8)-(SUMIF($F$6:$AJ$6,"C.Nhật",F16:AJ16)/8)</f>
        <v>27</v>
      </c>
      <c r="AL16" s="244">
        <f t="shared" ref="AL16" si="8">SUM(F17:AJ17)/8*1.5</f>
        <v>0</v>
      </c>
      <c r="AM16" s="246">
        <f>SUMIF($F$6:$AJ$6,"C.Nhật",$F16:$AJ17)/8*2</f>
        <v>0</v>
      </c>
      <c r="AN16" s="248">
        <f t="shared" ref="AN16" si="9">SUM(AK16:AM17)</f>
        <v>27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8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P16:AP17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AM1:AS1"/>
    <mergeCell ref="AK5:AM5"/>
    <mergeCell ref="AN5:AN6"/>
    <mergeCell ref="AO5:AO6"/>
    <mergeCell ref="AP5:AP6"/>
    <mergeCell ref="AQ5:AQ6"/>
    <mergeCell ref="AR5:AR6"/>
    <mergeCell ref="AS5:AS6"/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</mergeCells>
  <conditionalFormatting sqref="F5:AJ6 F9:AJ10 F12:AJ17">
    <cfRule type="expression" dxfId="38" priority="41" stopIfTrue="1">
      <formula>IF(WEEKDAY(F$5)=1,TRUE,FALSE)</formula>
    </cfRule>
  </conditionalFormatting>
  <conditionalFormatting sqref="F9:AJ10">
    <cfRule type="expression" dxfId="37" priority="40" stopIfTrue="1">
      <formula>IF(WEEKDAY(F$5)=1,TRUE,FALSE)</formula>
    </cfRule>
  </conditionalFormatting>
  <conditionalFormatting sqref="F12:AJ17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6"/>
      <c r="C1" s="186"/>
      <c r="D1" s="266" t="str">
        <f>"BẢNG THANH TOÁN LƯƠNG THÁNG"&amp;" "&amp;TEXT($E$4,"mm")&amp;" / "&amp;TEXT($E$4,"yyyy")</f>
        <v>BẢNG THANH TOÁN LƯƠNG THÁNG 08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6"/>
      <c r="C2" s="186"/>
      <c r="D2" s="186"/>
      <c r="E2" s="68"/>
      <c r="F2" s="186"/>
      <c r="G2" s="186"/>
      <c r="H2" s="186"/>
      <c r="I2" s="186"/>
      <c r="J2" s="69"/>
      <c r="K2" s="186"/>
      <c r="L2" s="186"/>
      <c r="M2" s="186"/>
      <c r="N2" s="186"/>
      <c r="O2" s="186"/>
      <c r="P2" s="186"/>
      <c r="Q2" s="186"/>
      <c r="R2" s="186"/>
      <c r="S2" s="186"/>
      <c r="T2" s="46"/>
      <c r="U2" s="67">
        <f>MAX(F10:F18)</f>
        <v>27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6"/>
      <c r="C3" s="186"/>
      <c r="D3" s="186"/>
      <c r="E3" s="68"/>
      <c r="F3" s="186"/>
      <c r="G3" s="186"/>
      <c r="H3" s="186"/>
      <c r="I3" s="186"/>
      <c r="J3" s="69"/>
      <c r="K3" s="186"/>
      <c r="L3" s="186"/>
      <c r="M3" s="186"/>
      <c r="N3" s="186"/>
      <c r="O3" s="186"/>
      <c r="P3" s="186"/>
      <c r="Q3" s="186"/>
      <c r="R3" s="186"/>
      <c r="S3" s="186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- 8'!$E$4</f>
        <v>42948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185" t="s">
        <v>34</v>
      </c>
      <c r="G7" s="183" t="s">
        <v>18</v>
      </c>
      <c r="H7" s="185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- 8'!$B$8:$AS$17,36,0)</f>
        <v>27</v>
      </c>
      <c r="G10" s="132">
        <f t="shared" ref="G10" si="3">ROUND(E10/$U$2*F10,0)</f>
        <v>5000000</v>
      </c>
      <c r="H10" s="79">
        <f>(VLOOKUP(B10,'CC - 8'!$B$8:$AS$17,37,0)+VLOOKUP(B10,'CC - 8'!$B$8:$AS$17,38,0))</f>
        <v>0</v>
      </c>
      <c r="I10" s="132">
        <f t="shared" ref="I10" si="4">ROUND(E10/$U$2*H10,0)</f>
        <v>0</v>
      </c>
      <c r="J10" s="80">
        <f t="shared" ref="J10" si="5">F10+H10</f>
        <v>27</v>
      </c>
      <c r="K10" s="32">
        <f>G10+I10</f>
        <v>5000000</v>
      </c>
      <c r="L10" s="77">
        <f t="shared" ref="L10" si="6">+F10*15000</f>
        <v>405000</v>
      </c>
      <c r="M10" s="33">
        <f t="shared" ref="M10" si="7">K10+L10</f>
        <v>5405000</v>
      </c>
      <c r="N10" s="33">
        <f>IF(VLOOKUP($B10,DS,23,0)="x",$E10*N$4,0)</f>
        <v>0</v>
      </c>
      <c r="O10" s="33">
        <f>IF(VLOOKUP($B10,DS,23,0)="x",$E10*O$4,0)</f>
        <v>0</v>
      </c>
      <c r="P10" s="33">
        <f>IF(VLOOKUP($B10,DS,23,0)="x",$E10*P$4,0)</f>
        <v>0</v>
      </c>
      <c r="Q10" s="32">
        <f t="shared" ref="Q10" si="8">M10-SUM(N10:P10)</f>
        <v>5405000</v>
      </c>
      <c r="R10" s="32">
        <f>VLOOKUP(B10,DS,23,0)</f>
        <v>0</v>
      </c>
      <c r="S10" s="38">
        <f t="shared" ref="S10" si="9">Q10-R10</f>
        <v>5405000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0">SUM(K9:K10)</f>
        <v>5000000</v>
      </c>
      <c r="L12" s="127">
        <f t="shared" si="10"/>
        <v>405000</v>
      </c>
      <c r="M12" s="127">
        <f t="shared" si="10"/>
        <v>5405000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5405000</v>
      </c>
      <c r="R12" s="127">
        <f t="shared" si="10"/>
        <v>0</v>
      </c>
      <c r="S12" s="127">
        <f t="shared" si="10"/>
        <v>5405000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Bùi Trường Giang</v>
      </c>
      <c r="D14" s="103" t="str">
        <f t="shared" ref="D14:D16" si="12">VLOOKUP(B14,DS,3,0)</f>
        <v>Thợ in</v>
      </c>
      <c r="E14" s="77">
        <f t="shared" ref="E14:E16" si="13">VLOOKUP(B14,DS,4,0)</f>
        <v>5000000</v>
      </c>
      <c r="F14" s="79">
        <f>VLOOKUP(B14,'CC - 8'!$B$8:$AS$17,36,0)</f>
        <v>27</v>
      </c>
      <c r="G14" s="132">
        <f t="shared" ref="G14:G16" si="14">ROUND(E14/$U$2*F14,0)</f>
        <v>5000000</v>
      </c>
      <c r="H14" s="79">
        <f>(VLOOKUP(B14,'CC - 8'!$B$8:$AS$17,37,0)+VLOOKUP(B14,'CC - 8'!$B$8:$AS$17,38,0))</f>
        <v>0</v>
      </c>
      <c r="I14" s="132">
        <f t="shared" ref="I14:I16" si="15">ROUND(E14/$U$2*H14,0)</f>
        <v>0</v>
      </c>
      <c r="J14" s="133">
        <f t="shared" ref="J14:K16" si="16">F14+H14</f>
        <v>27</v>
      </c>
      <c r="K14" s="32">
        <f t="shared" si="16"/>
        <v>5000000</v>
      </c>
      <c r="L14" s="77">
        <f t="shared" ref="L14:L16" si="17">+F14*15000</f>
        <v>405000</v>
      </c>
      <c r="M14" s="33">
        <f t="shared" ref="M14:M16" si="18">K14+L14</f>
        <v>5405000</v>
      </c>
      <c r="N14" s="33">
        <f t="shared" ref="N14:P16" si="19">IF(VLOOKUP($B14,DS,23,0)="x",$E14*N$4,0)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5405000</v>
      </c>
      <c r="R14" s="32">
        <f t="shared" ref="R14:R16" si="20">VLOOKUP(B14,DS,23,0)</f>
        <v>0</v>
      </c>
      <c r="S14" s="38">
        <f>Q14-R14</f>
        <v>5405000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Lê Văn Hữu</v>
      </c>
      <c r="D15" s="103" t="str">
        <f t="shared" ref="D15" si="22">VLOOKUP(B15,DS,3,0)</f>
        <v>Công Đoạn 2</v>
      </c>
      <c r="E15" s="77">
        <f t="shared" ref="E15" si="23">VLOOKUP(B15,DS,4,0)</f>
        <v>5000000</v>
      </c>
      <c r="F15" s="79">
        <f>VLOOKUP(B15,'CC - 8'!$B$8:$AS$17,36,0)</f>
        <v>27</v>
      </c>
      <c r="G15" s="132">
        <f t="shared" ref="G15" si="24">ROUND(E15/$U$2*F15,0)</f>
        <v>5000000</v>
      </c>
      <c r="H15" s="79">
        <f>(VLOOKUP(B15,'CC - 8'!$B$8:$AS$17,37,0)+VLOOKUP(B15,'CC - 8'!$B$8:$AS$17,38,0))</f>
        <v>0</v>
      </c>
      <c r="I15" s="132">
        <f t="shared" ref="I15" si="25">ROUND(E15/$U$2*H15,0)</f>
        <v>0</v>
      </c>
      <c r="J15" s="133">
        <f t="shared" ref="J15" si="26">F15+H15</f>
        <v>27</v>
      </c>
      <c r="K15" s="32">
        <f t="shared" ref="K15" si="27">G15+I15</f>
        <v>5000000</v>
      </c>
      <c r="L15" s="77">
        <f t="shared" ref="L15" si="28">+F15*15000</f>
        <v>405000</v>
      </c>
      <c r="M15" s="33">
        <f t="shared" ref="M15" si="29">K15+L15</f>
        <v>5405000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5405000</v>
      </c>
      <c r="R15" s="32">
        <f t="shared" ref="R15" si="31">VLOOKUP(B15,DS,23,0)</f>
        <v>0</v>
      </c>
      <c r="S15" s="38">
        <f t="shared" ref="S15" si="32">Q15-R15</f>
        <v>5405000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Phan Thị Sương</v>
      </c>
      <c r="D16" s="103" t="str">
        <f t="shared" si="12"/>
        <v>Công Đoạn 1</v>
      </c>
      <c r="E16" s="77">
        <f t="shared" si="13"/>
        <v>3000000</v>
      </c>
      <c r="F16" s="79">
        <f>VLOOKUP(B16,'CC - 8'!$B$8:$AS$17,36,0)</f>
        <v>27</v>
      </c>
      <c r="G16" s="132">
        <f t="shared" si="14"/>
        <v>3000000</v>
      </c>
      <c r="H16" s="79">
        <f>(VLOOKUP(B16,'CC - 8'!$B$8:$AS$17,37,0)+VLOOKUP(B16,'CC - 8'!$B$8:$AS$17,38,0))</f>
        <v>0</v>
      </c>
      <c r="I16" s="132">
        <f t="shared" si="15"/>
        <v>0</v>
      </c>
      <c r="J16" s="133">
        <f t="shared" si="16"/>
        <v>27</v>
      </c>
      <c r="K16" s="32">
        <f t="shared" si="16"/>
        <v>3000000</v>
      </c>
      <c r="L16" s="77">
        <f t="shared" si="17"/>
        <v>405000</v>
      </c>
      <c r="M16" s="33">
        <f t="shared" si="18"/>
        <v>3405000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3405000</v>
      </c>
      <c r="R16" s="32">
        <f t="shared" si="20"/>
        <v>0</v>
      </c>
      <c r="S16" s="38">
        <f t="shared" ref="S16" si="34">Q16-R16</f>
        <v>3405000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5">SUM(K13:K17)</f>
        <v>13000000</v>
      </c>
      <c r="L18" s="127">
        <f t="shared" si="35"/>
        <v>1215000</v>
      </c>
      <c r="M18" s="127">
        <f t="shared" si="35"/>
        <v>14215000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14215000</v>
      </c>
      <c r="R18" s="127">
        <f t="shared" si="35"/>
        <v>0</v>
      </c>
      <c r="S18" s="127">
        <f t="shared" si="35"/>
        <v>14215000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08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2" sqref="F12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2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09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42979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42979</v>
      </c>
      <c r="G5" s="105">
        <f t="shared" ref="G5:AJ5" si="0">F5+1</f>
        <v>42980</v>
      </c>
      <c r="H5" s="105">
        <f t="shared" si="0"/>
        <v>42981</v>
      </c>
      <c r="I5" s="105">
        <f t="shared" si="0"/>
        <v>42982</v>
      </c>
      <c r="J5" s="105">
        <f t="shared" si="0"/>
        <v>42983</v>
      </c>
      <c r="K5" s="105">
        <f t="shared" si="0"/>
        <v>42984</v>
      </c>
      <c r="L5" s="105">
        <f t="shared" si="0"/>
        <v>42985</v>
      </c>
      <c r="M5" s="105">
        <f t="shared" si="0"/>
        <v>42986</v>
      </c>
      <c r="N5" s="105">
        <f t="shared" si="0"/>
        <v>42987</v>
      </c>
      <c r="O5" s="105">
        <f t="shared" si="0"/>
        <v>42988</v>
      </c>
      <c r="P5" s="105">
        <f t="shared" si="0"/>
        <v>42989</v>
      </c>
      <c r="Q5" s="105">
        <f t="shared" si="0"/>
        <v>42990</v>
      </c>
      <c r="R5" s="105">
        <f t="shared" si="0"/>
        <v>42991</v>
      </c>
      <c r="S5" s="105">
        <f t="shared" si="0"/>
        <v>42992</v>
      </c>
      <c r="T5" s="105">
        <f t="shared" si="0"/>
        <v>42993</v>
      </c>
      <c r="U5" s="105">
        <f t="shared" si="0"/>
        <v>42994</v>
      </c>
      <c r="V5" s="105">
        <f t="shared" si="0"/>
        <v>42995</v>
      </c>
      <c r="W5" s="105">
        <f t="shared" si="0"/>
        <v>42996</v>
      </c>
      <c r="X5" s="105">
        <f t="shared" si="0"/>
        <v>42997</v>
      </c>
      <c r="Y5" s="105">
        <f t="shared" si="0"/>
        <v>42998</v>
      </c>
      <c r="Z5" s="105">
        <f t="shared" si="0"/>
        <v>42999</v>
      </c>
      <c r="AA5" s="105">
        <f t="shared" si="0"/>
        <v>43000</v>
      </c>
      <c r="AB5" s="105">
        <f t="shared" si="0"/>
        <v>43001</v>
      </c>
      <c r="AC5" s="105">
        <f t="shared" si="0"/>
        <v>43002</v>
      </c>
      <c r="AD5" s="105">
        <f t="shared" si="0"/>
        <v>43003</v>
      </c>
      <c r="AE5" s="105">
        <f t="shared" si="0"/>
        <v>43004</v>
      </c>
      <c r="AF5" s="105">
        <f t="shared" si="0"/>
        <v>43005</v>
      </c>
      <c r="AG5" s="105">
        <f t="shared" si="0"/>
        <v>43006</v>
      </c>
      <c r="AH5" s="105">
        <f>AG5+1</f>
        <v>43007</v>
      </c>
      <c r="AI5" s="105">
        <f t="shared" si="0"/>
        <v>43008</v>
      </c>
      <c r="AJ5" s="105">
        <f t="shared" si="0"/>
        <v>43009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T.Sáu</v>
      </c>
      <c r="G6" s="160" t="str">
        <f t="shared" ref="G6:AJ6" si="1">CHOOSE(WEEKDAY(G5),"C.Nhật","T.Hai","T.Ba","T.Tư","T.Năm","T.Sáu","T.Bảy")</f>
        <v>T.Bảy</v>
      </c>
      <c r="H6" s="160" t="str">
        <f t="shared" si="1"/>
        <v>C.Nhật</v>
      </c>
      <c r="I6" s="160" t="str">
        <f t="shared" si="1"/>
        <v>T.Hai</v>
      </c>
      <c r="J6" s="160" t="str">
        <f t="shared" si="1"/>
        <v>T.Ba</v>
      </c>
      <c r="K6" s="160" t="str">
        <f t="shared" si="1"/>
        <v>T.Tư</v>
      </c>
      <c r="L6" s="160" t="str">
        <f t="shared" si="1"/>
        <v>T.Năm</v>
      </c>
      <c r="M6" s="160" t="str">
        <f t="shared" si="1"/>
        <v>T.Sáu</v>
      </c>
      <c r="N6" s="160" t="str">
        <f t="shared" si="1"/>
        <v>T.Bảy</v>
      </c>
      <c r="O6" s="160" t="str">
        <f t="shared" si="1"/>
        <v>C.Nhật</v>
      </c>
      <c r="P6" s="160" t="str">
        <f t="shared" si="1"/>
        <v>T.Hai</v>
      </c>
      <c r="Q6" s="160" t="str">
        <f t="shared" si="1"/>
        <v>T.Ba</v>
      </c>
      <c r="R6" s="160" t="str">
        <f t="shared" si="1"/>
        <v>T.Tư</v>
      </c>
      <c r="S6" s="160" t="str">
        <f t="shared" si="1"/>
        <v>T.Năm</v>
      </c>
      <c r="T6" s="160" t="str">
        <f t="shared" si="1"/>
        <v>T.Sáu</v>
      </c>
      <c r="U6" s="160" t="str">
        <f t="shared" si="1"/>
        <v>T.Bảy</v>
      </c>
      <c r="V6" s="160" t="str">
        <f t="shared" si="1"/>
        <v>C.Nhật</v>
      </c>
      <c r="W6" s="160" t="str">
        <f t="shared" si="1"/>
        <v>T.Hai</v>
      </c>
      <c r="X6" s="160" t="str">
        <f t="shared" si="1"/>
        <v>T.Ba</v>
      </c>
      <c r="Y6" s="160" t="str">
        <f t="shared" si="1"/>
        <v>T.Tư</v>
      </c>
      <c r="Z6" s="160" t="str">
        <f t="shared" si="1"/>
        <v>T.Năm</v>
      </c>
      <c r="AA6" s="160" t="str">
        <f t="shared" si="1"/>
        <v>T.Sáu</v>
      </c>
      <c r="AB6" s="160" t="str">
        <f t="shared" si="1"/>
        <v>T.Bảy</v>
      </c>
      <c r="AC6" s="160" t="str">
        <f t="shared" si="1"/>
        <v>C.Nhật</v>
      </c>
      <c r="AD6" s="160" t="str">
        <f t="shared" si="1"/>
        <v>T.Hai</v>
      </c>
      <c r="AE6" s="160" t="str">
        <f t="shared" si="1"/>
        <v>T.Ba</v>
      </c>
      <c r="AF6" s="160" t="str">
        <f t="shared" si="1"/>
        <v>T.Tư</v>
      </c>
      <c r="AG6" s="160" t="str">
        <f t="shared" si="1"/>
        <v>T.Năm</v>
      </c>
      <c r="AH6" s="160" t="str">
        <f t="shared" si="1"/>
        <v>T.Sáu</v>
      </c>
      <c r="AI6" s="160" t="str">
        <f t="shared" si="1"/>
        <v>T.Bảy</v>
      </c>
      <c r="AJ6" s="160" t="str">
        <f t="shared" si="1"/>
        <v>C.Nhật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18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/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4">
        <f>((SUM(F9:AJ9))/8)-(SUMIF($F$6:$AJ$6,"C.Nhật",F9:AJ9)/8)</f>
        <v>25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25</v>
      </c>
      <c r="AO9" s="250">
        <v>0</v>
      </c>
      <c r="AP9" s="248"/>
      <c r="AQ9" s="248"/>
      <c r="AR9" s="248"/>
      <c r="AS9" s="252"/>
      <c r="AT9" s="18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18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/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4">
        <f t="shared" ref="AK12" si="2">((SUM(F12:AJ12))/8)-(SUMIF($F$6:$AJ$6,"C.Nhật",F12:AJ12)/8)</f>
        <v>25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25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/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4">
        <f t="shared" ref="AK14" si="4">((SUM(F14:AJ14))/8)-(SUMIF($F$6:$AJ$6,"C.Nhật",F14:AJ14)/8)</f>
        <v>25</v>
      </c>
      <c r="AL14" s="244">
        <f t="shared" ref="AL14" si="5">SUM(F15:AJ15)/8*1.5</f>
        <v>0</v>
      </c>
      <c r="AM14" s="246">
        <f>SUMIF($F$6:$AJ$6,"C.Nhật",$F14:$AJ15)/8*2</f>
        <v>0</v>
      </c>
      <c r="AN14" s="248">
        <f t="shared" ref="AN14" si="6">SUM(AK14:AM15)</f>
        <v>25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/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4">
        <f t="shared" ref="AK16" si="7">((SUM(F16:AJ16))/8)-(SUMIF($F$6:$AJ$6,"C.Nhật",F16:AJ16)/8)</f>
        <v>25</v>
      </c>
      <c r="AL16" s="244">
        <f t="shared" ref="AL16" si="8">SUM(F17:AJ17)/8*1.5</f>
        <v>0</v>
      </c>
      <c r="AM16" s="246">
        <f>SUMIF($F$6:$AJ$6,"C.Nhật",$F16:$AJ17)/8*2</f>
        <v>0</v>
      </c>
      <c r="AN16" s="248">
        <f t="shared" ref="AN16" si="9">SUM(AK16:AM17)</f>
        <v>25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0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0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0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0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0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0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0" s="60" customFormat="1" ht="12.75">
      <c r="A25" s="2"/>
      <c r="B25" s="2" t="s">
        <v>0</v>
      </c>
      <c r="C25" s="2"/>
      <c r="D25" s="182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0" s="60" customFormat="1" ht="12.75">
      <c r="A26" s="2"/>
      <c r="B26" s="2"/>
      <c r="C26" s="2" t="s">
        <v>40</v>
      </c>
      <c r="D26" s="182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41</v>
      </c>
    </row>
    <row r="28" spans="1:90" ht="15" customHeight="1">
      <c r="C28" s="2" t="s">
        <v>42</v>
      </c>
    </row>
    <row r="29" spans="1:90" ht="15" customHeight="1">
      <c r="C29" s="2" t="s">
        <v>43</v>
      </c>
    </row>
    <row r="30" spans="1:90" ht="15" customHeight="1">
      <c r="C30" s="2" t="s">
        <v>44</v>
      </c>
    </row>
    <row r="31" spans="1:90" ht="15" customHeight="1">
      <c r="C31" s="2" t="s">
        <v>45</v>
      </c>
    </row>
    <row r="32" spans="1:90" ht="15" customHeight="1">
      <c r="C32" s="2" t="s">
        <v>46</v>
      </c>
    </row>
    <row r="33" spans="3:3" ht="15" customHeight="1">
      <c r="C33" s="2" t="s">
        <v>47</v>
      </c>
    </row>
    <row r="34" spans="3:3" ht="15" customHeight="1">
      <c r="C34" s="2" t="s">
        <v>48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Q16:AQ17"/>
    <mergeCell ref="AR16:AR17"/>
    <mergeCell ref="AS16:AS17"/>
    <mergeCell ref="AP12:AP13"/>
    <mergeCell ref="AQ12:AQ13"/>
    <mergeCell ref="AP16:AP17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6:AL17"/>
    <mergeCell ref="AM16:AM17"/>
    <mergeCell ref="C14:C15"/>
    <mergeCell ref="D14:D15"/>
    <mergeCell ref="AL14:AL15"/>
    <mergeCell ref="AM14:AM15"/>
    <mergeCell ref="AL12:AL13"/>
    <mergeCell ref="AM12:AM13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AM1:AS1"/>
    <mergeCell ref="AK5:AM5"/>
    <mergeCell ref="AN5:AN6"/>
    <mergeCell ref="AO5:AO6"/>
    <mergeCell ref="AP5:AP6"/>
    <mergeCell ref="AQ5:AQ6"/>
    <mergeCell ref="AR5:AR6"/>
    <mergeCell ref="AS5:AS6"/>
    <mergeCell ref="AN16:AN17"/>
    <mergeCell ref="AO16:AO17"/>
    <mergeCell ref="AK14:AK15"/>
    <mergeCell ref="A14:A15"/>
    <mergeCell ref="B14:B15"/>
    <mergeCell ref="A16:A17"/>
    <mergeCell ref="B16:B17"/>
    <mergeCell ref="C16:C17"/>
    <mergeCell ref="D16:D17"/>
    <mergeCell ref="AK16:AK17"/>
  </mergeCells>
  <conditionalFormatting sqref="F5:AJ6 F9:AJ10 F12:AI17">
    <cfRule type="expression" dxfId="35" priority="58" stopIfTrue="1">
      <formula>IF(WEEKDAY(F$5)=1,TRUE,FALSE)</formula>
    </cfRule>
  </conditionalFormatting>
  <conditionalFormatting sqref="F9:AJ10">
    <cfRule type="expression" dxfId="34" priority="57" stopIfTrue="1">
      <formula>IF(WEEKDAY(F$5)=1,TRUE,FALSE)</formula>
    </cfRule>
  </conditionalFormatting>
  <conditionalFormatting sqref="AJ12:AJ13">
    <cfRule type="expression" dxfId="33" priority="44" stopIfTrue="1">
      <formula>IF(WEEKDAY(AJ$5)=1,TRUE,FALSE)</formula>
    </cfRule>
  </conditionalFormatting>
  <conditionalFormatting sqref="AJ12:AJ13">
    <cfRule type="expression" dxfId="32" priority="43" stopIfTrue="1">
      <formula>IF(WEEKDAY(AJ$5)=1,TRUE,FALSE)</formula>
    </cfRule>
  </conditionalFormatting>
  <conditionalFormatting sqref="AJ12:AJ13">
    <cfRule type="expression" dxfId="31" priority="42" stopIfTrue="1">
      <formula>IF(WEEKDAY(AJ$5)=1,TRUE,FALSE)</formula>
    </cfRule>
  </conditionalFormatting>
  <conditionalFormatting sqref="AJ12:AJ13">
    <cfRule type="expression" dxfId="30" priority="41" stopIfTrue="1">
      <formula>IF(WEEKDAY(AJ$5)=1,TRUE,FALSE)</formula>
    </cfRule>
  </conditionalFormatting>
  <conditionalFormatting sqref="AJ12:AJ13">
    <cfRule type="expression" dxfId="29" priority="40" stopIfTrue="1">
      <formula>IF(WEEKDAY(AJ$5)=1,TRUE,FALSE)</formula>
    </cfRule>
  </conditionalFormatting>
  <conditionalFormatting sqref="AJ12:AJ13">
    <cfRule type="expression" dxfId="28" priority="39" stopIfTrue="1">
      <formula>IF(WEEKDAY(AJ$5)=1,TRUE,FALSE)</formula>
    </cfRule>
  </conditionalFormatting>
  <conditionalFormatting sqref="AJ12:AJ13">
    <cfRule type="expression" dxfId="27" priority="38" stopIfTrue="1">
      <formula>IF(WEEKDAY(AJ$5)=1,TRUE,FALSE)</formula>
    </cfRule>
  </conditionalFormatting>
  <conditionalFormatting sqref="AJ16:AJ17">
    <cfRule type="expression" dxfId="26" priority="21" stopIfTrue="1">
      <formula>IF(WEEKDAY(AJ$5)=1,TRUE,FALSE)</formula>
    </cfRule>
  </conditionalFormatting>
  <conditionalFormatting sqref="AJ16:AJ17">
    <cfRule type="expression" dxfId="25" priority="20" stopIfTrue="1">
      <formula>IF(WEEKDAY(AJ$5)=1,TRUE,FALSE)</formula>
    </cfRule>
  </conditionalFormatting>
  <conditionalFormatting sqref="AJ16:AJ17">
    <cfRule type="expression" dxfId="24" priority="19" stopIfTrue="1">
      <formula>IF(WEEKDAY(AJ$5)=1,TRUE,FALSE)</formula>
    </cfRule>
  </conditionalFormatting>
  <conditionalFormatting sqref="AJ16:AJ17">
    <cfRule type="expression" dxfId="23" priority="18" stopIfTrue="1">
      <formula>IF(WEEKDAY(AJ$5)=1,TRUE,FALSE)</formula>
    </cfRule>
  </conditionalFormatting>
  <conditionalFormatting sqref="AJ16:AJ17">
    <cfRule type="expression" dxfId="22" priority="17" stopIfTrue="1">
      <formula>IF(WEEKDAY(AJ$5)=1,TRUE,FALSE)</formula>
    </cfRule>
  </conditionalFormatting>
  <conditionalFormatting sqref="AJ16:AJ17">
    <cfRule type="expression" dxfId="21" priority="16" stopIfTrue="1">
      <formula>IF(WEEKDAY(AJ$5)=1,TRUE,FALSE)</formula>
    </cfRule>
  </conditionalFormatting>
  <conditionalFormatting sqref="AJ16:AJ17">
    <cfRule type="expression" dxfId="20" priority="15" stopIfTrue="1">
      <formula>IF(WEEKDAY(AJ$5)=1,TRUE,FALSE)</formula>
    </cfRule>
  </conditionalFormatting>
  <conditionalFormatting sqref="AJ14:AJ15">
    <cfRule type="expression" dxfId="19" priority="12" stopIfTrue="1">
      <formula>IF(WEEKDAY(AJ$5)=1,TRUE,FALSE)</formula>
    </cfRule>
  </conditionalFormatting>
  <conditionalFormatting sqref="AJ14:AJ15">
    <cfRule type="expression" dxfId="18" priority="11" stopIfTrue="1">
      <formula>IF(WEEKDAY(AJ$5)=1,TRUE,FALSE)</formula>
    </cfRule>
  </conditionalFormatting>
  <conditionalFormatting sqref="AJ14:AJ15">
    <cfRule type="expression" dxfId="17" priority="10" stopIfTrue="1">
      <formula>IF(WEEKDAY(AJ$5)=1,TRUE,FALSE)</formula>
    </cfRule>
  </conditionalFormatting>
  <conditionalFormatting sqref="AJ14:AJ15">
    <cfRule type="expression" dxfId="16" priority="9" stopIfTrue="1">
      <formula>IF(WEEKDAY(AJ$5)=1,TRUE,FALSE)</formula>
    </cfRule>
  </conditionalFormatting>
  <conditionalFormatting sqref="AJ14:AJ15">
    <cfRule type="expression" dxfId="15" priority="8" stopIfTrue="1">
      <formula>IF(WEEKDAY(AJ$5)=1,TRUE,FALSE)</formula>
    </cfRule>
  </conditionalFormatting>
  <conditionalFormatting sqref="AJ14:AJ15">
    <cfRule type="expression" dxfId="14" priority="7" stopIfTrue="1">
      <formula>IF(WEEKDAY(AJ$5)=1,TRUE,FALSE)</formula>
    </cfRule>
  </conditionalFormatting>
  <conditionalFormatting sqref="AJ14:AJ15">
    <cfRule type="expression" dxfId="13" priority="6" stopIfTrue="1">
      <formula>IF(WEEKDAY(AJ$5)=1,TRUE,FALSE)</formula>
    </cfRule>
  </conditionalFormatting>
  <conditionalFormatting sqref="F12:AI17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186"/>
      <c r="C1" s="186"/>
      <c r="D1" s="266" t="str">
        <f>"BẢNG THANH TOÁN LƯƠNG THÁNG"&amp;" "&amp;TEXT($E$4,"mm")&amp;" / "&amp;TEXT($E$4,"yyyy")</f>
        <v>BẢNG THANH TOÁN LƯƠNG THÁNG 09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186"/>
      <c r="C2" s="186"/>
      <c r="D2" s="186"/>
      <c r="E2" s="68"/>
      <c r="F2" s="186"/>
      <c r="G2" s="186"/>
      <c r="H2" s="186"/>
      <c r="I2" s="186"/>
      <c r="J2" s="69"/>
      <c r="K2" s="186"/>
      <c r="L2" s="186"/>
      <c r="M2" s="186"/>
      <c r="N2" s="186"/>
      <c r="O2" s="186"/>
      <c r="P2" s="186"/>
      <c r="Q2" s="186"/>
      <c r="R2" s="186"/>
      <c r="S2" s="186"/>
      <c r="T2" s="46"/>
      <c r="U2" s="67">
        <f>MAX(F10:F18)</f>
        <v>25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186"/>
      <c r="C3" s="186"/>
      <c r="D3" s="186"/>
      <c r="E3" s="68"/>
      <c r="F3" s="186"/>
      <c r="G3" s="186"/>
      <c r="H3" s="186"/>
      <c r="I3" s="186"/>
      <c r="J3" s="69"/>
      <c r="K3" s="186"/>
      <c r="L3" s="186"/>
      <c r="M3" s="186"/>
      <c r="N3" s="186"/>
      <c r="O3" s="186"/>
      <c r="P3" s="186"/>
      <c r="Q3" s="186"/>
      <c r="R3" s="186"/>
      <c r="S3" s="186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-9'!$E$4</f>
        <v>42979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185" t="s">
        <v>34</v>
      </c>
      <c r="G7" s="183" t="s">
        <v>18</v>
      </c>
      <c r="H7" s="185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-9'!$B$8:$AS$17,36,0)</f>
        <v>25</v>
      </c>
      <c r="G10" s="132">
        <f t="shared" ref="G10" si="3">ROUND(E10/$U$2*F10,0)</f>
        <v>5000000</v>
      </c>
      <c r="H10" s="79">
        <f>(VLOOKUP(B10,'CC -9'!$B$8:$AS$17,37,0)+VLOOKUP(B10,'CC -9'!$B$8:$AS$17,38,0))</f>
        <v>0</v>
      </c>
      <c r="I10" s="132">
        <f t="shared" ref="I10" si="4">ROUND(E10/$U$2*H10,0)</f>
        <v>0</v>
      </c>
      <c r="J10" s="80">
        <f t="shared" ref="J10" si="5">F10+H10</f>
        <v>25</v>
      </c>
      <c r="K10" s="32">
        <f>G10+I10</f>
        <v>5000000</v>
      </c>
      <c r="L10" s="77">
        <f t="shared" ref="L10" si="6">+F10*15000</f>
        <v>375000</v>
      </c>
      <c r="M10" s="33">
        <f t="shared" ref="M10" si="7">K10+L10</f>
        <v>5375000</v>
      </c>
      <c r="N10" s="33">
        <f>IF(VLOOKUP($B10,DS,25,0)="x",$E10*N$4,0)</f>
        <v>0</v>
      </c>
      <c r="O10" s="33">
        <f>IF(VLOOKUP($B10,DS,25,0)="x",$E10*O$4,0)</f>
        <v>0</v>
      </c>
      <c r="P10" s="33">
        <f>IF(VLOOKUP($B10,DS,25,0)="x",$E10*P$4,0)</f>
        <v>0</v>
      </c>
      <c r="Q10" s="32">
        <f t="shared" ref="Q10" si="8">M10-SUM(N10:P10)</f>
        <v>5375000</v>
      </c>
      <c r="R10" s="32">
        <f>VLOOKUP(B10,DS,23,0)</f>
        <v>0</v>
      </c>
      <c r="S10" s="38">
        <f t="shared" ref="S10" si="9">Q10-R10</f>
        <v>5375000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0">SUM(K9:K10)</f>
        <v>5000000</v>
      </c>
      <c r="L12" s="127">
        <f t="shared" si="10"/>
        <v>375000</v>
      </c>
      <c r="M12" s="127">
        <f t="shared" si="10"/>
        <v>5375000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5375000</v>
      </c>
      <c r="R12" s="127">
        <f t="shared" si="10"/>
        <v>0</v>
      </c>
      <c r="S12" s="127">
        <f t="shared" si="10"/>
        <v>5375000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Bùi Trường Giang</v>
      </c>
      <c r="D14" s="103" t="str">
        <f t="shared" ref="D14:D16" si="12">VLOOKUP(B14,DS,3,0)</f>
        <v>Thợ in</v>
      </c>
      <c r="E14" s="77">
        <f t="shared" ref="E14:E16" si="13">VLOOKUP(B14,DS,4,0)</f>
        <v>5000000</v>
      </c>
      <c r="F14" s="79">
        <f>VLOOKUP(B14,'CC -9'!$B$8:$AS$17,36,0)</f>
        <v>25</v>
      </c>
      <c r="G14" s="132">
        <f t="shared" ref="G14:G16" si="14">ROUND(E14/$U$2*F14,0)</f>
        <v>5000000</v>
      </c>
      <c r="H14" s="79">
        <f>(VLOOKUP(B14,'CC -9'!$B$8:$AS$17,37,0)+VLOOKUP(B14,'CC -9'!$B$8:$AS$17,38,0))</f>
        <v>0</v>
      </c>
      <c r="I14" s="132">
        <f t="shared" ref="I14:I16" si="15">ROUND(E14/$U$2*H14,0)</f>
        <v>0</v>
      </c>
      <c r="J14" s="133">
        <f t="shared" ref="J14:K16" si="16">F14+H14</f>
        <v>25</v>
      </c>
      <c r="K14" s="32">
        <f t="shared" si="16"/>
        <v>5000000</v>
      </c>
      <c r="L14" s="77">
        <f t="shared" ref="L14:L16" si="17">+F14*15000</f>
        <v>375000</v>
      </c>
      <c r="M14" s="33">
        <f t="shared" ref="M14:M16" si="18">K14+L14</f>
        <v>5375000</v>
      </c>
      <c r="N14" s="33">
        <f t="shared" ref="N14:P16" si="19">IF(VLOOKUP($B14,DS,25,0)="x",$E14*N$4,0)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5375000</v>
      </c>
      <c r="R14" s="32">
        <f t="shared" ref="R14:R16" si="20">VLOOKUP(B14,DS,23,0)</f>
        <v>0</v>
      </c>
      <c r="S14" s="38">
        <f>Q14-R14</f>
        <v>5375000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Lê Văn Hữu</v>
      </c>
      <c r="D15" s="103" t="str">
        <f t="shared" ref="D15" si="22">VLOOKUP(B15,DS,3,0)</f>
        <v>Công Đoạn 2</v>
      </c>
      <c r="E15" s="77">
        <f t="shared" ref="E15" si="23">VLOOKUP(B15,DS,4,0)</f>
        <v>5000000</v>
      </c>
      <c r="F15" s="79">
        <f>VLOOKUP(B15,'CC -9'!$B$8:$AS$17,36,0)</f>
        <v>25</v>
      </c>
      <c r="G15" s="132">
        <f t="shared" ref="G15" si="24">ROUND(E15/$U$2*F15,0)</f>
        <v>5000000</v>
      </c>
      <c r="H15" s="79">
        <f>(VLOOKUP(B15,'CC -9'!$B$8:$AS$17,37,0)+VLOOKUP(B15,'CC -9'!$B$8:$AS$17,38,0))</f>
        <v>0</v>
      </c>
      <c r="I15" s="132">
        <f t="shared" ref="I15" si="25">ROUND(E15/$U$2*H15,0)</f>
        <v>0</v>
      </c>
      <c r="J15" s="133">
        <f t="shared" ref="J15" si="26">F15+H15</f>
        <v>25</v>
      </c>
      <c r="K15" s="32">
        <f t="shared" ref="K15" si="27">G15+I15</f>
        <v>5000000</v>
      </c>
      <c r="L15" s="77">
        <f t="shared" ref="L15" si="28">+F15*15000</f>
        <v>375000</v>
      </c>
      <c r="M15" s="33">
        <f t="shared" ref="M15" si="29">K15+L15</f>
        <v>5375000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5375000</v>
      </c>
      <c r="R15" s="32">
        <f t="shared" ref="R15" si="31">VLOOKUP(B15,DS,23,0)</f>
        <v>0</v>
      </c>
      <c r="S15" s="38">
        <f t="shared" ref="S15" si="32">Q15-R15</f>
        <v>5375000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Phan Thị Sương</v>
      </c>
      <c r="D16" s="103" t="str">
        <f t="shared" si="12"/>
        <v>Công Đoạn 1</v>
      </c>
      <c r="E16" s="77">
        <f t="shared" si="13"/>
        <v>3000000</v>
      </c>
      <c r="F16" s="79">
        <f>VLOOKUP(B16,'CC -9'!$B$8:$AS$17,36,0)</f>
        <v>25</v>
      </c>
      <c r="G16" s="132">
        <f t="shared" si="14"/>
        <v>3000000</v>
      </c>
      <c r="H16" s="79">
        <f>(VLOOKUP(B16,'CC -9'!$B$8:$AS$17,37,0)+VLOOKUP(B16,'CC -9'!$B$8:$AS$17,38,0))</f>
        <v>0</v>
      </c>
      <c r="I16" s="132">
        <f t="shared" si="15"/>
        <v>0</v>
      </c>
      <c r="J16" s="133">
        <f t="shared" si="16"/>
        <v>25</v>
      </c>
      <c r="K16" s="32">
        <f t="shared" si="16"/>
        <v>3000000</v>
      </c>
      <c r="L16" s="77">
        <f t="shared" si="17"/>
        <v>375000</v>
      </c>
      <c r="M16" s="33">
        <f t="shared" si="18"/>
        <v>3375000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3375000</v>
      </c>
      <c r="R16" s="32">
        <f t="shared" si="20"/>
        <v>0</v>
      </c>
      <c r="S16" s="38">
        <f t="shared" ref="S16" si="34">Q16-R16</f>
        <v>3375000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5">SUM(K13:K17)</f>
        <v>13000000</v>
      </c>
      <c r="L18" s="127">
        <f t="shared" si="35"/>
        <v>1125000</v>
      </c>
      <c r="M18" s="127">
        <f t="shared" si="35"/>
        <v>14125000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14125000</v>
      </c>
      <c r="R18" s="127">
        <f t="shared" si="35"/>
        <v>0</v>
      </c>
      <c r="S18" s="127">
        <f t="shared" si="35"/>
        <v>14125000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09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7" sqref="F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10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43009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43009</v>
      </c>
      <c r="G5" s="105">
        <f t="shared" ref="G5:AJ5" si="0">F5+1</f>
        <v>43010</v>
      </c>
      <c r="H5" s="105">
        <f t="shared" si="0"/>
        <v>43011</v>
      </c>
      <c r="I5" s="105">
        <f t="shared" si="0"/>
        <v>43012</v>
      </c>
      <c r="J5" s="105">
        <f t="shared" si="0"/>
        <v>43013</v>
      </c>
      <c r="K5" s="105">
        <f t="shared" si="0"/>
        <v>43014</v>
      </c>
      <c r="L5" s="105">
        <f t="shared" si="0"/>
        <v>43015</v>
      </c>
      <c r="M5" s="105">
        <f t="shared" si="0"/>
        <v>43016</v>
      </c>
      <c r="N5" s="105">
        <f t="shared" si="0"/>
        <v>43017</v>
      </c>
      <c r="O5" s="105">
        <f t="shared" si="0"/>
        <v>43018</v>
      </c>
      <c r="P5" s="105">
        <f t="shared" si="0"/>
        <v>43019</v>
      </c>
      <c r="Q5" s="105">
        <f t="shared" si="0"/>
        <v>43020</v>
      </c>
      <c r="R5" s="105">
        <f t="shared" si="0"/>
        <v>43021</v>
      </c>
      <c r="S5" s="105">
        <f t="shared" si="0"/>
        <v>43022</v>
      </c>
      <c r="T5" s="105">
        <f t="shared" si="0"/>
        <v>43023</v>
      </c>
      <c r="U5" s="105">
        <f t="shared" si="0"/>
        <v>43024</v>
      </c>
      <c r="V5" s="105">
        <f t="shared" si="0"/>
        <v>43025</v>
      </c>
      <c r="W5" s="105">
        <f t="shared" si="0"/>
        <v>43026</v>
      </c>
      <c r="X5" s="105">
        <f t="shared" si="0"/>
        <v>43027</v>
      </c>
      <c r="Y5" s="105">
        <f t="shared" si="0"/>
        <v>43028</v>
      </c>
      <c r="Z5" s="105">
        <f t="shared" si="0"/>
        <v>43029</v>
      </c>
      <c r="AA5" s="105">
        <f t="shared" si="0"/>
        <v>43030</v>
      </c>
      <c r="AB5" s="105">
        <f t="shared" si="0"/>
        <v>43031</v>
      </c>
      <c r="AC5" s="105">
        <f t="shared" si="0"/>
        <v>43032</v>
      </c>
      <c r="AD5" s="105">
        <f t="shared" si="0"/>
        <v>43033</v>
      </c>
      <c r="AE5" s="105">
        <f t="shared" si="0"/>
        <v>43034</v>
      </c>
      <c r="AF5" s="105">
        <f t="shared" si="0"/>
        <v>43035</v>
      </c>
      <c r="AG5" s="105">
        <f t="shared" si="0"/>
        <v>43036</v>
      </c>
      <c r="AH5" s="105">
        <f>AG5+1</f>
        <v>43037</v>
      </c>
      <c r="AI5" s="105">
        <f t="shared" si="0"/>
        <v>43038</v>
      </c>
      <c r="AJ5" s="105">
        <f t="shared" si="0"/>
        <v>43039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C.Nhật</v>
      </c>
      <c r="G6" s="160" t="str">
        <f t="shared" ref="G6:AJ6" si="1">CHOOSE(WEEKDAY(G5),"C.Nhật","T.Hai","T.Ba","T.Tư","T.Năm","T.Sáu","T.Bảy")</f>
        <v>T.Hai</v>
      </c>
      <c r="H6" s="160" t="str">
        <f t="shared" si="1"/>
        <v>T.Ba</v>
      </c>
      <c r="I6" s="160" t="str">
        <f t="shared" si="1"/>
        <v>T.Tư</v>
      </c>
      <c r="J6" s="160" t="str">
        <f t="shared" si="1"/>
        <v>T.Năm</v>
      </c>
      <c r="K6" s="160" t="str">
        <f t="shared" si="1"/>
        <v>T.Sáu</v>
      </c>
      <c r="L6" s="160" t="str">
        <f t="shared" si="1"/>
        <v>T.Bảy</v>
      </c>
      <c r="M6" s="160" t="str">
        <f t="shared" si="1"/>
        <v>C.Nhật</v>
      </c>
      <c r="N6" s="160" t="str">
        <f t="shared" si="1"/>
        <v>T.Hai</v>
      </c>
      <c r="O6" s="160" t="str">
        <f t="shared" si="1"/>
        <v>T.Ba</v>
      </c>
      <c r="P6" s="160" t="str">
        <f t="shared" si="1"/>
        <v>T.Tư</v>
      </c>
      <c r="Q6" s="160" t="str">
        <f t="shared" si="1"/>
        <v>T.Năm</v>
      </c>
      <c r="R6" s="160" t="str">
        <f t="shared" si="1"/>
        <v>T.Sáu</v>
      </c>
      <c r="S6" s="160" t="str">
        <f t="shared" si="1"/>
        <v>T.Bảy</v>
      </c>
      <c r="T6" s="160" t="str">
        <f t="shared" si="1"/>
        <v>C.Nhật</v>
      </c>
      <c r="U6" s="160" t="str">
        <f t="shared" si="1"/>
        <v>T.Hai</v>
      </c>
      <c r="V6" s="160" t="str">
        <f t="shared" si="1"/>
        <v>T.Ba</v>
      </c>
      <c r="W6" s="160" t="str">
        <f t="shared" si="1"/>
        <v>T.Tư</v>
      </c>
      <c r="X6" s="160" t="str">
        <f t="shared" si="1"/>
        <v>T.Năm</v>
      </c>
      <c r="Y6" s="160" t="str">
        <f t="shared" si="1"/>
        <v>T.Sáu</v>
      </c>
      <c r="Z6" s="160" t="str">
        <f t="shared" si="1"/>
        <v>T.Bảy</v>
      </c>
      <c r="AA6" s="160" t="str">
        <f t="shared" si="1"/>
        <v>C.Nhật</v>
      </c>
      <c r="AB6" s="160" t="str">
        <f t="shared" si="1"/>
        <v>T.Hai</v>
      </c>
      <c r="AC6" s="160" t="str">
        <f t="shared" si="1"/>
        <v>T.Ba</v>
      </c>
      <c r="AD6" s="160" t="str">
        <f t="shared" si="1"/>
        <v>T.Tư</v>
      </c>
      <c r="AE6" s="160" t="str">
        <f t="shared" si="1"/>
        <v>T.Năm</v>
      </c>
      <c r="AF6" s="160" t="str">
        <f t="shared" si="1"/>
        <v>T.Sáu</v>
      </c>
      <c r="AG6" s="160" t="str">
        <f t="shared" si="1"/>
        <v>T.Bảy</v>
      </c>
      <c r="AH6" s="160" t="str">
        <f t="shared" si="1"/>
        <v>C.Nhật</v>
      </c>
      <c r="AI6" s="160" t="str">
        <f t="shared" si="1"/>
        <v>T.Hai</v>
      </c>
      <c r="AJ6" s="160" t="str">
        <f t="shared" si="1"/>
        <v>T.Ba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/>
      <c r="G9" s="130">
        <v>8</v>
      </c>
      <c r="H9" s="130">
        <v>8</v>
      </c>
      <c r="I9" s="130">
        <v>8</v>
      </c>
      <c r="J9" s="130">
        <v>8</v>
      </c>
      <c r="K9" s="130">
        <v>8</v>
      </c>
      <c r="L9" s="130">
        <v>8</v>
      </c>
      <c r="M9" s="130"/>
      <c r="N9" s="130">
        <v>8</v>
      </c>
      <c r="O9" s="130">
        <v>8</v>
      </c>
      <c r="P9" s="130">
        <v>8</v>
      </c>
      <c r="Q9" s="130">
        <v>8</v>
      </c>
      <c r="R9" s="130">
        <v>8</v>
      </c>
      <c r="S9" s="130">
        <v>8</v>
      </c>
      <c r="T9" s="130"/>
      <c r="U9" s="130">
        <v>8</v>
      </c>
      <c r="V9" s="130">
        <v>8</v>
      </c>
      <c r="W9" s="130">
        <v>8</v>
      </c>
      <c r="X9" s="130">
        <v>8</v>
      </c>
      <c r="Y9" s="130">
        <v>8</v>
      </c>
      <c r="Z9" s="130">
        <v>8</v>
      </c>
      <c r="AA9" s="130"/>
      <c r="AB9" s="130">
        <v>8</v>
      </c>
      <c r="AC9" s="130">
        <v>8</v>
      </c>
      <c r="AD9" s="130">
        <v>8</v>
      </c>
      <c r="AE9" s="130">
        <v>8</v>
      </c>
      <c r="AF9" s="130">
        <v>8</v>
      </c>
      <c r="AG9" s="130">
        <v>8</v>
      </c>
      <c r="AH9" s="130"/>
      <c r="AI9" s="130">
        <v>8</v>
      </c>
      <c r="AJ9" s="130">
        <v>8</v>
      </c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2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/>
      <c r="G12" s="130">
        <v>8</v>
      </c>
      <c r="H12" s="130">
        <v>8</v>
      </c>
      <c r="I12" s="130">
        <v>8</v>
      </c>
      <c r="J12" s="130">
        <v>8</v>
      </c>
      <c r="K12" s="130">
        <v>8</v>
      </c>
      <c r="L12" s="130">
        <v>8</v>
      </c>
      <c r="M12" s="130"/>
      <c r="N12" s="130">
        <v>8</v>
      </c>
      <c r="O12" s="130">
        <v>8</v>
      </c>
      <c r="P12" s="130">
        <v>8</v>
      </c>
      <c r="Q12" s="130">
        <v>8</v>
      </c>
      <c r="R12" s="130">
        <v>8</v>
      </c>
      <c r="S12" s="130">
        <v>8</v>
      </c>
      <c r="T12" s="130"/>
      <c r="U12" s="130">
        <v>8</v>
      </c>
      <c r="V12" s="130">
        <v>8</v>
      </c>
      <c r="W12" s="130">
        <v>8</v>
      </c>
      <c r="X12" s="130">
        <v>8</v>
      </c>
      <c r="Y12" s="130">
        <v>8</v>
      </c>
      <c r="Z12" s="130">
        <v>8</v>
      </c>
      <c r="AA12" s="130"/>
      <c r="AB12" s="130">
        <v>8</v>
      </c>
      <c r="AC12" s="130">
        <v>8</v>
      </c>
      <c r="AD12" s="130">
        <v>8</v>
      </c>
      <c r="AE12" s="130">
        <v>8</v>
      </c>
      <c r="AF12" s="130">
        <v>8</v>
      </c>
      <c r="AG12" s="130">
        <v>8</v>
      </c>
      <c r="AH12" s="130"/>
      <c r="AI12" s="130">
        <v>8</v>
      </c>
      <c r="AJ12" s="130">
        <v>8</v>
      </c>
      <c r="AK12" s="244">
        <f t="shared" ref="AK12" si="2">((SUM(F12:AJ12))/8)-(SUMIF($F$6:$AJ$6,"C.Nhật",F12:AJ12)/8)</f>
        <v>26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26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/>
      <c r="G14" s="130">
        <v>8</v>
      </c>
      <c r="H14" s="130">
        <v>8</v>
      </c>
      <c r="I14" s="130">
        <v>8</v>
      </c>
      <c r="J14" s="130">
        <v>8</v>
      </c>
      <c r="K14" s="130">
        <v>8</v>
      </c>
      <c r="L14" s="130">
        <v>8</v>
      </c>
      <c r="M14" s="130"/>
      <c r="N14" s="130">
        <v>8</v>
      </c>
      <c r="O14" s="130">
        <v>8</v>
      </c>
      <c r="P14" s="130">
        <v>8</v>
      </c>
      <c r="Q14" s="130">
        <v>8</v>
      </c>
      <c r="R14" s="130">
        <v>8</v>
      </c>
      <c r="S14" s="130">
        <v>8</v>
      </c>
      <c r="T14" s="130"/>
      <c r="U14" s="130">
        <v>8</v>
      </c>
      <c r="V14" s="130">
        <v>8</v>
      </c>
      <c r="W14" s="130">
        <v>8</v>
      </c>
      <c r="X14" s="130">
        <v>8</v>
      </c>
      <c r="Y14" s="130">
        <v>8</v>
      </c>
      <c r="Z14" s="130">
        <v>8</v>
      </c>
      <c r="AA14" s="130"/>
      <c r="AB14" s="130">
        <v>8</v>
      </c>
      <c r="AC14" s="130">
        <v>8</v>
      </c>
      <c r="AD14" s="130">
        <v>8</v>
      </c>
      <c r="AE14" s="130">
        <v>8</v>
      </c>
      <c r="AF14" s="130">
        <v>8</v>
      </c>
      <c r="AG14" s="130">
        <v>8</v>
      </c>
      <c r="AH14" s="130"/>
      <c r="AI14" s="130">
        <v>8</v>
      </c>
      <c r="AJ14" s="130">
        <v>8</v>
      </c>
      <c r="AK14" s="244">
        <f t="shared" ref="AK14" si="4">((SUM(F14:AJ14))/8)-(SUMIF($F$6:$AJ$6,"C.Nhật",F14:AJ14)/8)</f>
        <v>26</v>
      </c>
      <c r="AL14" s="244">
        <f t="shared" ref="AL14" si="5">SUM(F15:AJ15)/8*1.5</f>
        <v>0</v>
      </c>
      <c r="AM14" s="246">
        <f>SUMIF($F$6:$AJ$6,"C.Nhật",$F14:$AJ15)/8*2</f>
        <v>0</v>
      </c>
      <c r="AN14" s="248">
        <f t="shared" ref="AN14" si="6">SUM(AK14:AM15)</f>
        <v>26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/>
      <c r="G16" s="130">
        <v>8</v>
      </c>
      <c r="H16" s="130">
        <v>8</v>
      </c>
      <c r="I16" s="130">
        <v>8</v>
      </c>
      <c r="J16" s="130">
        <v>8</v>
      </c>
      <c r="K16" s="130">
        <v>8</v>
      </c>
      <c r="L16" s="130">
        <v>8</v>
      </c>
      <c r="M16" s="130"/>
      <c r="N16" s="130">
        <v>8</v>
      </c>
      <c r="O16" s="130">
        <v>8</v>
      </c>
      <c r="P16" s="130">
        <v>8</v>
      </c>
      <c r="Q16" s="130">
        <v>8</v>
      </c>
      <c r="R16" s="130">
        <v>8</v>
      </c>
      <c r="S16" s="130">
        <v>8</v>
      </c>
      <c r="T16" s="130"/>
      <c r="U16" s="130">
        <v>8</v>
      </c>
      <c r="V16" s="130">
        <v>8</v>
      </c>
      <c r="W16" s="130">
        <v>8</v>
      </c>
      <c r="X16" s="130">
        <v>8</v>
      </c>
      <c r="Y16" s="130">
        <v>8</v>
      </c>
      <c r="Z16" s="130">
        <v>8</v>
      </c>
      <c r="AA16" s="130"/>
      <c r="AB16" s="130">
        <v>8</v>
      </c>
      <c r="AC16" s="130">
        <v>8</v>
      </c>
      <c r="AD16" s="130">
        <v>8</v>
      </c>
      <c r="AE16" s="130">
        <v>8</v>
      </c>
      <c r="AF16" s="130">
        <v>8</v>
      </c>
      <c r="AG16" s="130">
        <v>8</v>
      </c>
      <c r="AH16" s="130"/>
      <c r="AI16" s="130">
        <v>8</v>
      </c>
      <c r="AJ16" s="130">
        <v>8</v>
      </c>
      <c r="AK16" s="244">
        <f t="shared" ref="AK16" si="7">((SUM(F16:AJ16))/8)-(SUMIF($F$6:$AJ$6,"C.Nhật",F16:AJ16)/8)</f>
        <v>26</v>
      </c>
      <c r="AL16" s="244">
        <f t="shared" ref="AL16" si="8">SUM(F17:AJ17)/8*1.5</f>
        <v>0</v>
      </c>
      <c r="AM16" s="246">
        <f>SUMIF($F$6:$AJ$6,"C.Nhật",$F16:$AJ17)/8*2</f>
        <v>0</v>
      </c>
      <c r="AN16" s="248">
        <f t="shared" ref="AN16" si="9">SUM(AK16:AM17)</f>
        <v>26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8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198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198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8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8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8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8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8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B12:B13"/>
    <mergeCell ref="C12:C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4:AQ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D12:D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D16:D17"/>
    <mergeCell ref="AK16:AK17"/>
    <mergeCell ref="AL16:AL17"/>
    <mergeCell ref="AR16:AR17"/>
    <mergeCell ref="AS16:AS17"/>
    <mergeCell ref="AM16:AM17"/>
    <mergeCell ref="AN16:AN17"/>
    <mergeCell ref="AO16:AO17"/>
    <mergeCell ref="AP16:AP17"/>
    <mergeCell ref="AR14:AR15"/>
    <mergeCell ref="AS14:AS15"/>
    <mergeCell ref="A16:A17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6:AQ17"/>
    <mergeCell ref="B16:B17"/>
    <mergeCell ref="C16:C17"/>
  </mergeCells>
  <conditionalFormatting sqref="F5:AJ6 F9:AJ10 F12:AJ17">
    <cfRule type="expression" dxfId="11" priority="39" stopIfTrue="1">
      <formula>IF(WEEKDAY(F$5)=1,TRUE,FALSE)</formula>
    </cfRule>
  </conditionalFormatting>
  <conditionalFormatting sqref="F9:AJ10">
    <cfRule type="expression" dxfId="10" priority="38" stopIfTrue="1">
      <formula>IF(WEEKDAY(F$5)=1,TRUE,FALSE)</formula>
    </cfRule>
  </conditionalFormatting>
  <conditionalFormatting sqref="F12:AJ17">
    <cfRule type="expression" dxfId="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1"/>
      <c r="C1" s="201"/>
      <c r="D1" s="266" t="str">
        <f>"BẢNG THANH TOÁN LƯƠNG THÁNG"&amp;" "&amp;TEXT($E$4,"mm")&amp;" / "&amp;TEXT($E$4,"yyyy")</f>
        <v>BẢNG THANH TOÁN LƯƠNG THÁNG 10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1"/>
      <c r="C2" s="201"/>
      <c r="D2" s="201"/>
      <c r="E2" s="68"/>
      <c r="F2" s="201"/>
      <c r="G2" s="201"/>
      <c r="H2" s="201"/>
      <c r="I2" s="201"/>
      <c r="J2" s="69"/>
      <c r="K2" s="201"/>
      <c r="L2" s="201"/>
      <c r="M2" s="201"/>
      <c r="N2" s="201"/>
      <c r="O2" s="201"/>
      <c r="P2" s="201"/>
      <c r="Q2" s="201"/>
      <c r="R2" s="201"/>
      <c r="S2" s="201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1"/>
      <c r="C3" s="201"/>
      <c r="D3" s="201"/>
      <c r="E3" s="68"/>
      <c r="F3" s="201"/>
      <c r="G3" s="201"/>
      <c r="H3" s="201"/>
      <c r="I3" s="201"/>
      <c r="J3" s="69"/>
      <c r="K3" s="201"/>
      <c r="L3" s="201"/>
      <c r="M3" s="201"/>
      <c r="N3" s="201"/>
      <c r="O3" s="201"/>
      <c r="P3" s="201"/>
      <c r="Q3" s="201"/>
      <c r="R3" s="201"/>
      <c r="S3" s="201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-10'!$E$4</f>
        <v>43009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02" t="s">
        <v>34</v>
      </c>
      <c r="G7" s="199" t="s">
        <v>18</v>
      </c>
      <c r="H7" s="202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-10'!$B$8:$AS$17,36,0)</f>
        <v>26</v>
      </c>
      <c r="G10" s="132">
        <f t="shared" ref="G10" si="3">ROUND(E10/$U$2*F10,0)</f>
        <v>5000000</v>
      </c>
      <c r="H10" s="79">
        <f>(VLOOKUP(B10,'CC -10'!$B$8:$AS$17,37,0)+VLOOKUP(B10,'CC -10'!$B$8:$AS$17,38,0))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5000000</v>
      </c>
      <c r="L10" s="77">
        <f t="shared" ref="L10" si="6">+F10*15000</f>
        <v>390000</v>
      </c>
      <c r="M10" s="33">
        <f t="shared" ref="M10" si="7">K10+L10</f>
        <v>5390000</v>
      </c>
      <c r="N10" s="33">
        <f>IF(VLOOKUP($B10,DS,27,0)="x",$E10*N$4,0)</f>
        <v>0</v>
      </c>
      <c r="O10" s="33">
        <f>IF(VLOOKUP($B10,DS,27,0)="x",$E10*O$4,0)</f>
        <v>0</v>
      </c>
      <c r="P10" s="33">
        <f>IF(VLOOKUP($B10,DS,27,0)="x",$E10*P$4,0)</f>
        <v>0</v>
      </c>
      <c r="Q10" s="32">
        <f t="shared" ref="Q10" si="8">M10-SUM(N10:P10)</f>
        <v>5390000</v>
      </c>
      <c r="R10" s="32">
        <f>VLOOKUP(B10,DS,23,0)</f>
        <v>0</v>
      </c>
      <c r="S10" s="38">
        <f t="shared" ref="S10" si="9">Q10-R10</f>
        <v>5390000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SUM(E9:E10)</f>
        <v>5000000</v>
      </c>
      <c r="F12" s="127"/>
      <c r="G12" s="127">
        <f>SUM(G9:G10)</f>
        <v>5000000</v>
      </c>
      <c r="H12" s="127"/>
      <c r="I12" s="127">
        <f>SUM(I9:I10)</f>
        <v>0</v>
      </c>
      <c r="J12" s="127"/>
      <c r="K12" s="127">
        <f t="shared" ref="K12:S12" si="10">SUM(K9:K10)</f>
        <v>5000000</v>
      </c>
      <c r="L12" s="127">
        <f t="shared" si="10"/>
        <v>390000</v>
      </c>
      <c r="M12" s="127">
        <f t="shared" si="10"/>
        <v>5390000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5390000</v>
      </c>
      <c r="R12" s="127">
        <f t="shared" si="10"/>
        <v>0</v>
      </c>
      <c r="S12" s="127">
        <f t="shared" si="10"/>
        <v>5390000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Bùi Trường Giang</v>
      </c>
      <c r="D14" s="103" t="str">
        <f t="shared" ref="D14:D16" si="12">VLOOKUP(B14,DS,3,0)</f>
        <v>Thợ in</v>
      </c>
      <c r="E14" s="77">
        <f t="shared" ref="E14:E16" si="13">VLOOKUP(B14,DS,4,0)</f>
        <v>5000000</v>
      </c>
      <c r="F14" s="79">
        <f>VLOOKUP(B14,'CC -10'!$B$8:$AS$17,36,0)</f>
        <v>26</v>
      </c>
      <c r="G14" s="132">
        <f t="shared" ref="G14:G16" si="14">ROUND(E14/$U$2*F14,0)</f>
        <v>5000000</v>
      </c>
      <c r="H14" s="79">
        <f>(VLOOKUP(B14,'CC -10'!$B$8:$AS$17,37,0)+VLOOKUP(B14,'CC -10'!$B$8:$AS$17,38,0))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5000000</v>
      </c>
      <c r="L14" s="77">
        <f t="shared" ref="L14:L16" si="17">+F14*15000</f>
        <v>390000</v>
      </c>
      <c r="M14" s="33">
        <f t="shared" ref="M14:M16" si="18">K14+L14</f>
        <v>5390000</v>
      </c>
      <c r="N14" s="33">
        <f t="shared" ref="N14:P16" si="19">IF(VLOOKUP($B14,DS,27,0)="x",$E14*N$4,0)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5390000</v>
      </c>
      <c r="R14" s="32">
        <f t="shared" ref="R14:R16" si="20">VLOOKUP(B14,DS,23,0)</f>
        <v>0</v>
      </c>
      <c r="S14" s="38">
        <f>Q14-R14</f>
        <v>5390000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Lê Văn Hữu</v>
      </c>
      <c r="D15" s="103" t="str">
        <f t="shared" ref="D15" si="22">VLOOKUP(B15,DS,3,0)</f>
        <v>Công Đoạn 2</v>
      </c>
      <c r="E15" s="77">
        <f t="shared" ref="E15" si="23">VLOOKUP(B15,DS,4,0)</f>
        <v>5000000</v>
      </c>
      <c r="F15" s="79">
        <f>VLOOKUP(B15,'CC -10'!$B$8:$AS$17,36,0)</f>
        <v>26</v>
      </c>
      <c r="G15" s="132">
        <f t="shared" ref="G15" si="24">ROUND(E15/$U$2*F15,0)</f>
        <v>5000000</v>
      </c>
      <c r="H15" s="79">
        <f>(VLOOKUP(B15,'CC -10'!$B$8:$AS$17,37,0)+VLOOKUP(B15,'CC -10'!$B$8:$AS$17,38,0))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Phan Thị Sương</v>
      </c>
      <c r="D16" s="103" t="str">
        <f t="shared" si="12"/>
        <v>Công Đoạn 1</v>
      </c>
      <c r="E16" s="77">
        <f t="shared" si="13"/>
        <v>3000000</v>
      </c>
      <c r="F16" s="79">
        <f>VLOOKUP(B16,'CC -10'!$B$8:$AS$17,36,0)</f>
        <v>26</v>
      </c>
      <c r="G16" s="132">
        <f t="shared" si="14"/>
        <v>3000000</v>
      </c>
      <c r="H16" s="79">
        <f>(VLOOKUP(B16,'CC -10'!$B$8:$AS$17,37,0)+VLOOKUP(B16,'CC -10'!$B$8:$AS$17,38,0))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3000000</v>
      </c>
      <c r="L16" s="77">
        <f t="shared" si="17"/>
        <v>390000</v>
      </c>
      <c r="M16" s="33">
        <f t="shared" si="18"/>
        <v>3390000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3390000</v>
      </c>
      <c r="R16" s="32">
        <f t="shared" si="20"/>
        <v>0</v>
      </c>
      <c r="S16" s="38">
        <f t="shared" ref="S16" si="34">Q16-R16</f>
        <v>3390000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5">SUM(K13:K17)</f>
        <v>13000000</v>
      </c>
      <c r="L18" s="127">
        <f t="shared" si="35"/>
        <v>1170000</v>
      </c>
      <c r="M18" s="127">
        <f t="shared" si="35"/>
        <v>14170000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14170000</v>
      </c>
      <c r="R18" s="127">
        <f t="shared" si="35"/>
        <v>0</v>
      </c>
      <c r="S18" s="127">
        <f t="shared" si="35"/>
        <v>14170000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10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W10:W11 AF5:IK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U4:U13 X5:AE1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F14:IK16 A14:B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2" sqref="F12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10" customWidth="1"/>
    <col min="34" max="35" width="3.42578125" style="111" customWidth="1"/>
    <col min="36" max="36" width="3.42578125" style="111" hidden="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11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43040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43040</v>
      </c>
      <c r="G5" s="105">
        <f t="shared" ref="G5:AI5" si="0">F5+1</f>
        <v>43041</v>
      </c>
      <c r="H5" s="105">
        <f t="shared" si="0"/>
        <v>43042</v>
      </c>
      <c r="I5" s="105">
        <f t="shared" si="0"/>
        <v>43043</v>
      </c>
      <c r="J5" s="105">
        <f t="shared" si="0"/>
        <v>43044</v>
      </c>
      <c r="K5" s="105">
        <f t="shared" si="0"/>
        <v>43045</v>
      </c>
      <c r="L5" s="105">
        <f t="shared" si="0"/>
        <v>43046</v>
      </c>
      <c r="M5" s="105">
        <f t="shared" si="0"/>
        <v>43047</v>
      </c>
      <c r="N5" s="105">
        <f t="shared" si="0"/>
        <v>43048</v>
      </c>
      <c r="O5" s="105">
        <f t="shared" si="0"/>
        <v>43049</v>
      </c>
      <c r="P5" s="105">
        <f t="shared" si="0"/>
        <v>43050</v>
      </c>
      <c r="Q5" s="105">
        <f t="shared" si="0"/>
        <v>43051</v>
      </c>
      <c r="R5" s="105">
        <f t="shared" si="0"/>
        <v>43052</v>
      </c>
      <c r="S5" s="105">
        <f t="shared" si="0"/>
        <v>43053</v>
      </c>
      <c r="T5" s="105">
        <f t="shared" si="0"/>
        <v>43054</v>
      </c>
      <c r="U5" s="105">
        <f t="shared" si="0"/>
        <v>43055</v>
      </c>
      <c r="V5" s="105">
        <f t="shared" si="0"/>
        <v>43056</v>
      </c>
      <c r="W5" s="105">
        <f t="shared" si="0"/>
        <v>43057</v>
      </c>
      <c r="X5" s="105">
        <f t="shared" si="0"/>
        <v>43058</v>
      </c>
      <c r="Y5" s="105">
        <f t="shared" si="0"/>
        <v>43059</v>
      </c>
      <c r="Z5" s="105">
        <f t="shared" si="0"/>
        <v>43060</v>
      </c>
      <c r="AA5" s="105">
        <f t="shared" si="0"/>
        <v>43061</v>
      </c>
      <c r="AB5" s="105">
        <f t="shared" si="0"/>
        <v>43062</v>
      </c>
      <c r="AC5" s="105">
        <f t="shared" si="0"/>
        <v>43063</v>
      </c>
      <c r="AD5" s="105">
        <f t="shared" si="0"/>
        <v>43064</v>
      </c>
      <c r="AE5" s="105">
        <f t="shared" si="0"/>
        <v>43065</v>
      </c>
      <c r="AF5" s="105">
        <f t="shared" si="0"/>
        <v>43066</v>
      </c>
      <c r="AG5" s="105">
        <f t="shared" si="0"/>
        <v>43067</v>
      </c>
      <c r="AH5" s="105">
        <f>AG5+1</f>
        <v>43068</v>
      </c>
      <c r="AI5" s="105">
        <f t="shared" si="0"/>
        <v>43069</v>
      </c>
      <c r="AJ5" s="209"/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T.Tư</v>
      </c>
      <c r="G6" s="160" t="str">
        <f t="shared" ref="G6:AI6" si="1">CHOOSE(WEEKDAY(G5),"C.Nhật","T.Hai","T.Ba","T.Tư","T.Năm","T.Sáu","T.Bảy")</f>
        <v>T.Năm</v>
      </c>
      <c r="H6" s="160" t="str">
        <f t="shared" si="1"/>
        <v>T.Sáu</v>
      </c>
      <c r="I6" s="160" t="str">
        <f t="shared" si="1"/>
        <v>T.Bảy</v>
      </c>
      <c r="J6" s="160" t="str">
        <f t="shared" si="1"/>
        <v>C.Nhật</v>
      </c>
      <c r="K6" s="160" t="str">
        <f t="shared" si="1"/>
        <v>T.Hai</v>
      </c>
      <c r="L6" s="160" t="str">
        <f t="shared" si="1"/>
        <v>T.Ba</v>
      </c>
      <c r="M6" s="160" t="str">
        <f t="shared" si="1"/>
        <v>T.Tư</v>
      </c>
      <c r="N6" s="160" t="str">
        <f t="shared" si="1"/>
        <v>T.Năm</v>
      </c>
      <c r="O6" s="160" t="str">
        <f t="shared" si="1"/>
        <v>T.Sáu</v>
      </c>
      <c r="P6" s="160" t="str">
        <f t="shared" si="1"/>
        <v>T.Bảy</v>
      </c>
      <c r="Q6" s="160" t="str">
        <f t="shared" si="1"/>
        <v>C.Nhật</v>
      </c>
      <c r="R6" s="160" t="str">
        <f t="shared" si="1"/>
        <v>T.Hai</v>
      </c>
      <c r="S6" s="160" t="str">
        <f t="shared" si="1"/>
        <v>T.Ba</v>
      </c>
      <c r="T6" s="160" t="str">
        <f t="shared" si="1"/>
        <v>T.Tư</v>
      </c>
      <c r="U6" s="160" t="str">
        <f t="shared" si="1"/>
        <v>T.Năm</v>
      </c>
      <c r="V6" s="160" t="str">
        <f t="shared" si="1"/>
        <v>T.Sáu</v>
      </c>
      <c r="W6" s="160" t="str">
        <f t="shared" si="1"/>
        <v>T.Bảy</v>
      </c>
      <c r="X6" s="160" t="str">
        <f t="shared" si="1"/>
        <v>C.Nhật</v>
      </c>
      <c r="Y6" s="160" t="str">
        <f t="shared" si="1"/>
        <v>T.Hai</v>
      </c>
      <c r="Z6" s="160" t="str">
        <f t="shared" si="1"/>
        <v>T.Ba</v>
      </c>
      <c r="AA6" s="160" t="str">
        <f t="shared" si="1"/>
        <v>T.Tư</v>
      </c>
      <c r="AB6" s="160" t="str">
        <f t="shared" si="1"/>
        <v>T.Năm</v>
      </c>
      <c r="AC6" s="160" t="str">
        <f t="shared" si="1"/>
        <v>T.Sáu</v>
      </c>
      <c r="AD6" s="160" t="str">
        <f t="shared" si="1"/>
        <v>T.Bảy</v>
      </c>
      <c r="AE6" s="160" t="str">
        <f t="shared" si="1"/>
        <v>C.Nhật</v>
      </c>
      <c r="AF6" s="160" t="str">
        <f t="shared" si="1"/>
        <v>T.Hai</v>
      </c>
      <c r="AG6" s="160" t="str">
        <f t="shared" si="1"/>
        <v>T.Ba</v>
      </c>
      <c r="AH6" s="160" t="str">
        <f t="shared" si="1"/>
        <v>T.Tư</v>
      </c>
      <c r="AI6" s="160" t="str">
        <f t="shared" si="1"/>
        <v>T.Năm</v>
      </c>
      <c r="AJ6" s="160"/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/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>
        <v>8</v>
      </c>
      <c r="H9" s="130">
        <v>8</v>
      </c>
      <c r="I9" s="130">
        <v>8</v>
      </c>
      <c r="J9" s="130"/>
      <c r="K9" s="130">
        <v>8</v>
      </c>
      <c r="L9" s="130">
        <v>8</v>
      </c>
      <c r="M9" s="130">
        <v>8</v>
      </c>
      <c r="N9" s="130">
        <v>8</v>
      </c>
      <c r="O9" s="130">
        <v>8</v>
      </c>
      <c r="P9" s="130">
        <v>8</v>
      </c>
      <c r="Q9" s="130"/>
      <c r="R9" s="130">
        <v>8</v>
      </c>
      <c r="S9" s="130">
        <v>8</v>
      </c>
      <c r="T9" s="130">
        <v>8</v>
      </c>
      <c r="U9" s="130">
        <v>8</v>
      </c>
      <c r="V9" s="130">
        <v>8</v>
      </c>
      <c r="W9" s="130">
        <v>8</v>
      </c>
      <c r="X9" s="130"/>
      <c r="Y9" s="130">
        <v>8</v>
      </c>
      <c r="Z9" s="130">
        <v>8</v>
      </c>
      <c r="AA9" s="130">
        <v>8</v>
      </c>
      <c r="AB9" s="130">
        <v>8</v>
      </c>
      <c r="AC9" s="130">
        <v>8</v>
      </c>
      <c r="AD9" s="130">
        <v>8</v>
      </c>
      <c r="AE9" s="130"/>
      <c r="AF9" s="130">
        <v>8</v>
      </c>
      <c r="AG9" s="130">
        <v>8</v>
      </c>
      <c r="AH9" s="130">
        <v>8</v>
      </c>
      <c r="AI9" s="130">
        <v>8</v>
      </c>
      <c r="AJ9" s="210"/>
      <c r="AK9" s="244">
        <f>((SUM(F9:AI9))/8)-(SUMIF($F$6:$AI$6,"C.Nhật",F9:AI9)/8)</f>
        <v>26</v>
      </c>
      <c r="AL9" s="244">
        <f>SUM(F10:AI10)/8*1.5</f>
        <v>0</v>
      </c>
      <c r="AM9" s="246">
        <f>SUMIF($F$6:$AI$6,"C.Nhật",$F9:$AI10)/8*2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2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211"/>
      <c r="AK10" s="245"/>
      <c r="AL10" s="245"/>
      <c r="AM10" s="247"/>
      <c r="AN10" s="249"/>
      <c r="AO10" s="251"/>
      <c r="AP10" s="249"/>
      <c r="AQ10" s="249"/>
      <c r="AR10" s="249"/>
      <c r="AS10" s="253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>
        <v>8</v>
      </c>
      <c r="H12" s="130">
        <v>8</v>
      </c>
      <c r="I12" s="130">
        <v>8</v>
      </c>
      <c r="J12" s="130"/>
      <c r="K12" s="130">
        <v>8</v>
      </c>
      <c r="L12" s="130">
        <v>8</v>
      </c>
      <c r="M12" s="130">
        <v>8</v>
      </c>
      <c r="N12" s="130">
        <v>8</v>
      </c>
      <c r="O12" s="130">
        <v>8</v>
      </c>
      <c r="P12" s="130">
        <v>8</v>
      </c>
      <c r="Q12" s="130"/>
      <c r="R12" s="130">
        <v>8</v>
      </c>
      <c r="S12" s="130">
        <v>8</v>
      </c>
      <c r="T12" s="130">
        <v>8</v>
      </c>
      <c r="U12" s="130">
        <v>8</v>
      </c>
      <c r="V12" s="130">
        <v>8</v>
      </c>
      <c r="W12" s="130">
        <v>8</v>
      </c>
      <c r="X12" s="130"/>
      <c r="Y12" s="130">
        <v>8</v>
      </c>
      <c r="Z12" s="130">
        <v>8</v>
      </c>
      <c r="AA12" s="130">
        <v>8</v>
      </c>
      <c r="AB12" s="130">
        <v>8</v>
      </c>
      <c r="AC12" s="130">
        <v>8</v>
      </c>
      <c r="AD12" s="130">
        <v>8</v>
      </c>
      <c r="AE12" s="130"/>
      <c r="AF12" s="130">
        <v>8</v>
      </c>
      <c r="AG12" s="130">
        <v>8</v>
      </c>
      <c r="AH12" s="130">
        <v>8</v>
      </c>
      <c r="AI12" s="130">
        <v>8</v>
      </c>
      <c r="AJ12" s="210"/>
      <c r="AK12" s="244">
        <f>((SUM(F12:AI12))/8)-(SUMIF($F$6:$AI$6,"C.Nhật",F12:AI12)/8)</f>
        <v>26</v>
      </c>
      <c r="AL12" s="244">
        <f>SUM(F13:AI13)/8*1.5</f>
        <v>0</v>
      </c>
      <c r="AM12" s="246">
        <f>SUMIF($F$6:$AI$6,"C.Nhật",$F12:$AI13)/8*2</f>
        <v>0</v>
      </c>
      <c r="AN12" s="248">
        <f>SUM(AK12:AM13)</f>
        <v>26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21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>
        <v>8</v>
      </c>
      <c r="H14" s="130">
        <v>8</v>
      </c>
      <c r="I14" s="130">
        <v>8</v>
      </c>
      <c r="J14" s="130"/>
      <c r="K14" s="130">
        <v>8</v>
      </c>
      <c r="L14" s="130">
        <v>8</v>
      </c>
      <c r="M14" s="130">
        <v>8</v>
      </c>
      <c r="N14" s="130">
        <v>8</v>
      </c>
      <c r="O14" s="130">
        <v>8</v>
      </c>
      <c r="P14" s="130">
        <v>8</v>
      </c>
      <c r="Q14" s="130"/>
      <c r="R14" s="130">
        <v>8</v>
      </c>
      <c r="S14" s="130">
        <v>8</v>
      </c>
      <c r="T14" s="130">
        <v>8</v>
      </c>
      <c r="U14" s="130">
        <v>8</v>
      </c>
      <c r="V14" s="130">
        <v>8</v>
      </c>
      <c r="W14" s="130">
        <v>8</v>
      </c>
      <c r="X14" s="130"/>
      <c r="Y14" s="130">
        <v>8</v>
      </c>
      <c r="Z14" s="130">
        <v>8</v>
      </c>
      <c r="AA14" s="130">
        <v>8</v>
      </c>
      <c r="AB14" s="130">
        <v>8</v>
      </c>
      <c r="AC14" s="130">
        <v>8</v>
      </c>
      <c r="AD14" s="130">
        <v>8</v>
      </c>
      <c r="AE14" s="130"/>
      <c r="AF14" s="130">
        <v>8</v>
      </c>
      <c r="AG14" s="130">
        <v>8</v>
      </c>
      <c r="AH14" s="130">
        <v>8</v>
      </c>
      <c r="AI14" s="130">
        <v>8</v>
      </c>
      <c r="AJ14" s="210"/>
      <c r="AK14" s="244">
        <f>((SUM(F14:AI14))/8)-(SUMIF($F$6:$AI$6,"C.Nhật",F14:AI14)/8)</f>
        <v>26</v>
      </c>
      <c r="AL14" s="244">
        <f>SUM(F15:AI15)/8*1.5</f>
        <v>0</v>
      </c>
      <c r="AM14" s="246">
        <f>SUMIF($F$6:$AI$6,"C.Nhật",$F14:$AI15)/8*2</f>
        <v>0</v>
      </c>
      <c r="AN14" s="248">
        <f t="shared" ref="AN14" si="2">SUM(AK14:AM15)</f>
        <v>26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21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>
        <v>8</v>
      </c>
      <c r="I16" s="130">
        <v>8</v>
      </c>
      <c r="J16" s="130"/>
      <c r="K16" s="130">
        <v>8</v>
      </c>
      <c r="L16" s="130">
        <v>8</v>
      </c>
      <c r="M16" s="130">
        <v>8</v>
      </c>
      <c r="N16" s="130">
        <v>8</v>
      </c>
      <c r="O16" s="130">
        <v>8</v>
      </c>
      <c r="P16" s="130">
        <v>8</v>
      </c>
      <c r="Q16" s="130"/>
      <c r="R16" s="130">
        <v>8</v>
      </c>
      <c r="S16" s="130">
        <v>8</v>
      </c>
      <c r="T16" s="130">
        <v>8</v>
      </c>
      <c r="U16" s="130">
        <v>8</v>
      </c>
      <c r="V16" s="130">
        <v>8</v>
      </c>
      <c r="W16" s="130">
        <v>8</v>
      </c>
      <c r="X16" s="130"/>
      <c r="Y16" s="130">
        <v>8</v>
      </c>
      <c r="Z16" s="130">
        <v>8</v>
      </c>
      <c r="AA16" s="130">
        <v>8</v>
      </c>
      <c r="AB16" s="130">
        <v>8</v>
      </c>
      <c r="AC16" s="130">
        <v>8</v>
      </c>
      <c r="AD16" s="130">
        <v>8</v>
      </c>
      <c r="AE16" s="130"/>
      <c r="AF16" s="130">
        <v>8</v>
      </c>
      <c r="AG16" s="130">
        <v>8</v>
      </c>
      <c r="AH16" s="130">
        <v>8</v>
      </c>
      <c r="AI16" s="130">
        <v>8</v>
      </c>
      <c r="AJ16" s="210"/>
      <c r="AK16" s="244">
        <f>((SUM(F16:AI16))/8)-(SUMIF($F$6:$AI$6,"C.Nhật",F16:AI16)/8)</f>
        <v>26</v>
      </c>
      <c r="AL16" s="244">
        <f>SUM(F17:AI17)/8*1.5</f>
        <v>0</v>
      </c>
      <c r="AM16" s="246">
        <f>SUMIF($F$6:$AI$6,"C.Nhật",$F16:$AI17)/8*2</f>
        <v>0</v>
      </c>
      <c r="AN16" s="248">
        <f t="shared" ref="AN16" si="3">SUM(AK16:AM17)</f>
        <v>26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21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8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198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198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8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8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8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8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8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I17">
    <cfRule type="expression" dxfId="8" priority="66" stopIfTrue="1">
      <formula>IF(WEEKDAY(F$5)=1,TRUE,FALSE)</formula>
    </cfRule>
  </conditionalFormatting>
  <conditionalFormatting sqref="AJ12:AJ13">
    <cfRule type="expression" dxfId="7" priority="17" stopIfTrue="1">
      <formula>IF(WEEKDAY(AJ$5)=1,TRUE,FALSE)</formula>
    </cfRule>
  </conditionalFormatting>
  <conditionalFormatting sqref="AJ16:AJ17">
    <cfRule type="expression" dxfId="6" priority="9" stopIfTrue="1">
      <formula>IF(WEEKDAY(AJ$5)=1,TRUE,FALSE)</formula>
    </cfRule>
  </conditionalFormatting>
  <conditionalFormatting sqref="AJ16:AJ17">
    <cfRule type="expression" dxfId="5" priority="8" stopIfTrue="1">
      <formula>IF(WEEKDAY(AJ$5)=1,TRUE,FALSE)</formula>
    </cfRule>
  </conditionalFormatting>
  <conditionalFormatting sqref="AJ14:AJ15">
    <cfRule type="expression" dxfId="4" priority="5" stopIfTrue="1">
      <formula>IF(WEEKDAY(AJ$5)=1,TRUE,FALSE)</formula>
    </cfRule>
  </conditionalFormatting>
  <conditionalFormatting sqref="AJ14:AJ15">
    <cfRule type="expression" dxfId="3" priority="4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1"/>
      <c r="C1" s="201"/>
      <c r="D1" s="266" t="str">
        <f>"BẢNG THANH TOÁN LƯƠNG THÁNG"&amp;" "&amp;TEXT($E$4,"mm")&amp;" / "&amp;TEXT($E$4,"yyyy")</f>
        <v>BẢNG THANH TOÁN LƯƠNG THÁNG 11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1"/>
      <c r="C2" s="201"/>
      <c r="D2" s="201"/>
      <c r="E2" s="68"/>
      <c r="F2" s="201"/>
      <c r="G2" s="201"/>
      <c r="H2" s="201"/>
      <c r="I2" s="201"/>
      <c r="J2" s="69"/>
      <c r="K2" s="201"/>
      <c r="L2" s="201"/>
      <c r="M2" s="201"/>
      <c r="N2" s="201"/>
      <c r="O2" s="201"/>
      <c r="P2" s="201"/>
      <c r="Q2" s="201"/>
      <c r="R2" s="201"/>
      <c r="S2" s="201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1"/>
      <c r="C3" s="201"/>
      <c r="D3" s="201"/>
      <c r="E3" s="68"/>
      <c r="F3" s="201"/>
      <c r="G3" s="201"/>
      <c r="H3" s="201"/>
      <c r="I3" s="201"/>
      <c r="J3" s="69"/>
      <c r="K3" s="201"/>
      <c r="L3" s="201"/>
      <c r="M3" s="201"/>
      <c r="N3" s="201"/>
      <c r="O3" s="201"/>
      <c r="P3" s="201"/>
      <c r="Q3" s="201"/>
      <c r="R3" s="201"/>
      <c r="S3" s="201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-11'!$E$4</f>
        <v>43040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02" t="s">
        <v>34</v>
      </c>
      <c r="G7" s="199" t="s">
        <v>18</v>
      </c>
      <c r="H7" s="202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-11'!$B$8:$AS$17,36,0)</f>
        <v>26</v>
      </c>
      <c r="G10" s="132">
        <f>ROUND(E10/$U$2*F10,0)</f>
        <v>5000000</v>
      </c>
      <c r="H10" s="79">
        <f>(VLOOKUP(B10,'CC -11'!$B$8:$AS$17,37,0)+VLOOKUP(B10,'CC -11'!$B$8:$AS$17,38,0))</f>
        <v>0</v>
      </c>
      <c r="I10" s="132">
        <f t="shared" ref="I10" si="3">ROUND(E10/$U$2*H10,0)</f>
        <v>0</v>
      </c>
      <c r="J10" s="80">
        <f t="shared" ref="J10" si="4">F10+H10</f>
        <v>26</v>
      </c>
      <c r="K10" s="32">
        <f>G10+I10</f>
        <v>5000000</v>
      </c>
      <c r="L10" s="77">
        <f t="shared" ref="L10" si="5">+F10*15000</f>
        <v>390000</v>
      </c>
      <c r="M10" s="33">
        <f t="shared" ref="M10" si="6">K10+L10</f>
        <v>5390000</v>
      </c>
      <c r="N10" s="33">
        <f>IF(VLOOKUP($B10,DS,29,0)="x",$E10*N$4,0)</f>
        <v>0</v>
      </c>
      <c r="O10" s="33">
        <f>IF(VLOOKUP($B10,DS,29,0)="x",$E10*O$4,0)</f>
        <v>0</v>
      </c>
      <c r="P10" s="33">
        <f>IF(VLOOKUP($B10,DS,29,0)="x",$E10*P$4,0)</f>
        <v>0</v>
      </c>
      <c r="Q10" s="32">
        <f t="shared" ref="Q10" si="7">M10-SUM(N10:P10)</f>
        <v>5390000</v>
      </c>
      <c r="R10" s="32">
        <f>VLOOKUP(B10,DS,23,0)</f>
        <v>0</v>
      </c>
      <c r="S10" s="38">
        <f t="shared" ref="S10" si="8">Q10-R10</f>
        <v>5390000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S12" si="9">SUM(K9:K11)</f>
        <v>5000000</v>
      </c>
      <c r="L12" s="127">
        <f t="shared" si="9"/>
        <v>390000</v>
      </c>
      <c r="M12" s="127">
        <f t="shared" si="9"/>
        <v>5390000</v>
      </c>
      <c r="N12" s="127">
        <f t="shared" si="9"/>
        <v>0</v>
      </c>
      <c r="O12" s="127">
        <f t="shared" si="9"/>
        <v>0</v>
      </c>
      <c r="P12" s="127">
        <f t="shared" si="9"/>
        <v>0</v>
      </c>
      <c r="Q12" s="127">
        <f t="shared" si="9"/>
        <v>5390000</v>
      </c>
      <c r="R12" s="127">
        <f t="shared" si="9"/>
        <v>0</v>
      </c>
      <c r="S12" s="127">
        <f t="shared" si="9"/>
        <v>5390000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0">VLOOKUP(B14,DS,2,0)</f>
        <v>Bùi Trường Giang</v>
      </c>
      <c r="D14" s="103" t="str">
        <f t="shared" ref="D14:D16" si="11">VLOOKUP(B14,DS,3,0)</f>
        <v>Thợ in</v>
      </c>
      <c r="E14" s="77">
        <f t="shared" ref="E14:E16" si="12">VLOOKUP(B14,DS,4,0)</f>
        <v>5000000</v>
      </c>
      <c r="F14" s="79">
        <f>VLOOKUP(B14,'CC -11'!$B$8:$AS$17,36,0)</f>
        <v>26</v>
      </c>
      <c r="G14" s="132">
        <f t="shared" ref="G14:G16" si="13">ROUND(E14/$U$2*F14,0)</f>
        <v>5000000</v>
      </c>
      <c r="H14" s="79">
        <f>(VLOOKUP(B14,'CC -11'!$B$8:$AS$17,37,0)+VLOOKUP(B14,'CC -11'!$B$8:$AS$17,38,0))</f>
        <v>0</v>
      </c>
      <c r="I14" s="132">
        <f t="shared" ref="I14:I16" si="14">ROUND(E14/$U$2*H14,0)</f>
        <v>0</v>
      </c>
      <c r="J14" s="133">
        <f t="shared" ref="J14:K16" si="15">F14+H14</f>
        <v>26</v>
      </c>
      <c r="K14" s="32">
        <f t="shared" si="15"/>
        <v>5000000</v>
      </c>
      <c r="L14" s="77">
        <f t="shared" ref="L14:L16" si="16">+F14*15000</f>
        <v>390000</v>
      </c>
      <c r="M14" s="33">
        <f t="shared" ref="M14:M16" si="17">K14+L14</f>
        <v>5390000</v>
      </c>
      <c r="N14" s="33">
        <f t="shared" ref="N14:P16" si="18">IF(VLOOKUP($B14,DS,29,0)="x",$E14*N$4,0)</f>
        <v>0</v>
      </c>
      <c r="O14" s="33">
        <f t="shared" si="18"/>
        <v>0</v>
      </c>
      <c r="P14" s="33">
        <f t="shared" si="18"/>
        <v>0</v>
      </c>
      <c r="Q14" s="32">
        <f>M14-SUM(N14:P14)</f>
        <v>5390000</v>
      </c>
      <c r="R14" s="32">
        <f t="shared" ref="R14:R16" si="19">VLOOKUP(B14,DS,23,0)</f>
        <v>0</v>
      </c>
      <c r="S14" s="38">
        <f>Q14-R14</f>
        <v>5390000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0">VLOOKUP(B15,DS,2,0)</f>
        <v>Lê Văn Hữu</v>
      </c>
      <c r="D15" s="103" t="str">
        <f t="shared" ref="D15" si="21">VLOOKUP(B15,DS,3,0)</f>
        <v>Công Đoạn 2</v>
      </c>
      <c r="E15" s="77">
        <f t="shared" ref="E15" si="22">VLOOKUP(B15,DS,4,0)</f>
        <v>5000000</v>
      </c>
      <c r="F15" s="79">
        <f>VLOOKUP(B15,'CC -11'!$B$8:$AS$17,36,0)</f>
        <v>26</v>
      </c>
      <c r="G15" s="132">
        <f t="shared" ref="G15" si="23">ROUND(E15/$U$2*F15,0)</f>
        <v>5000000</v>
      </c>
      <c r="H15" s="79">
        <f>(VLOOKUP(B15,'CC -11'!$B$8:$AS$17,37,0)+VLOOKUP(B15,'CC -11'!$B$8:$AS$17,38,0))</f>
        <v>0</v>
      </c>
      <c r="I15" s="132">
        <f t="shared" ref="I15" si="24">ROUND(E15/$U$2*H15,0)</f>
        <v>0</v>
      </c>
      <c r="J15" s="133">
        <f t="shared" ref="J15" si="25">F15+H15</f>
        <v>26</v>
      </c>
      <c r="K15" s="32">
        <f t="shared" ref="K15" si="26">G15+I15</f>
        <v>5000000</v>
      </c>
      <c r="L15" s="77">
        <f t="shared" ref="L15" si="27">+F15*15000</f>
        <v>390000</v>
      </c>
      <c r="M15" s="33">
        <f t="shared" ref="M15" si="28">K15+L15</f>
        <v>5390000</v>
      </c>
      <c r="N15" s="33">
        <f t="shared" si="18"/>
        <v>0</v>
      </c>
      <c r="O15" s="33">
        <f t="shared" si="18"/>
        <v>0</v>
      </c>
      <c r="P15" s="33">
        <f t="shared" si="18"/>
        <v>0</v>
      </c>
      <c r="Q15" s="32">
        <f t="shared" ref="Q15" si="29">M15-SUM(N15:P15)</f>
        <v>5390000</v>
      </c>
      <c r="R15" s="32">
        <f t="shared" ref="R15" si="30">VLOOKUP(B15,DS,23,0)</f>
        <v>0</v>
      </c>
      <c r="S15" s="38">
        <f t="shared" ref="S15" si="31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0"/>
        <v>Phan Thị Sương</v>
      </c>
      <c r="D16" s="103" t="str">
        <f t="shared" si="11"/>
        <v>Công Đoạn 1</v>
      </c>
      <c r="E16" s="77">
        <f t="shared" si="12"/>
        <v>3000000</v>
      </c>
      <c r="F16" s="79">
        <f>VLOOKUP(B16,'CC -11'!$B$8:$AS$17,36,0)</f>
        <v>26</v>
      </c>
      <c r="G16" s="132">
        <f t="shared" si="13"/>
        <v>3000000</v>
      </c>
      <c r="H16" s="79">
        <f>(VLOOKUP(B16,'CC -11'!$B$8:$AS$17,37,0)+VLOOKUP(B16,'CC -11'!$B$8:$AS$17,38,0))</f>
        <v>0</v>
      </c>
      <c r="I16" s="132">
        <f t="shared" si="14"/>
        <v>0</v>
      </c>
      <c r="J16" s="133">
        <f t="shared" si="15"/>
        <v>26</v>
      </c>
      <c r="K16" s="32">
        <f t="shared" si="15"/>
        <v>3000000</v>
      </c>
      <c r="L16" s="77">
        <f t="shared" si="16"/>
        <v>390000</v>
      </c>
      <c r="M16" s="33">
        <f t="shared" si="17"/>
        <v>3390000</v>
      </c>
      <c r="N16" s="33">
        <f t="shared" si="18"/>
        <v>0</v>
      </c>
      <c r="O16" s="33">
        <f t="shared" si="18"/>
        <v>0</v>
      </c>
      <c r="P16" s="33">
        <f t="shared" si="18"/>
        <v>0</v>
      </c>
      <c r="Q16" s="32">
        <f t="shared" ref="Q16" si="32">M16-SUM(N16:P16)</f>
        <v>3390000</v>
      </c>
      <c r="R16" s="32">
        <f t="shared" si="19"/>
        <v>0</v>
      </c>
      <c r="S16" s="38">
        <f t="shared" ref="S16" si="33">Q16-R16</f>
        <v>3390000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4">SUM(K13:K17)</f>
        <v>13000000</v>
      </c>
      <c r="L18" s="127">
        <f t="shared" si="34"/>
        <v>1170000</v>
      </c>
      <c r="M18" s="127">
        <f t="shared" si="34"/>
        <v>14170000</v>
      </c>
      <c r="N18" s="127">
        <f t="shared" si="34"/>
        <v>0</v>
      </c>
      <c r="O18" s="127">
        <f t="shared" si="34"/>
        <v>0</v>
      </c>
      <c r="P18" s="127">
        <f t="shared" si="34"/>
        <v>0</v>
      </c>
      <c r="Q18" s="127">
        <f t="shared" si="34"/>
        <v>14170000</v>
      </c>
      <c r="R18" s="127">
        <f t="shared" si="34"/>
        <v>0</v>
      </c>
      <c r="S18" s="127">
        <f t="shared" si="34"/>
        <v>14170000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11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AF5:IK11 W10:W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4:W16 Q14:S16 AF14:IK16 A14:B16" name="Range1_5"/>
    <protectedRange password="CC78" sqref="U14:U16 X14:AE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L16" sqref="AL16:AL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8" customWidth="1"/>
    <col min="5" max="5" width="7.140625" style="2" customWidth="1"/>
    <col min="6" max="33" width="3.42578125" style="110" customWidth="1"/>
    <col min="34" max="36" width="3.42578125" style="111" customWidth="1"/>
    <col min="37" max="38" width="4.42578125" style="2" customWidth="1"/>
    <col min="39" max="39" width="5.5703125" style="8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6"/>
      <c r="B1" s="41"/>
      <c r="C1" s="41"/>
      <c r="D1" s="45"/>
      <c r="E1" s="41"/>
      <c r="F1" s="45"/>
      <c r="G1" s="45"/>
      <c r="H1" s="45"/>
      <c r="I1" s="45"/>
      <c r="J1" s="45"/>
      <c r="K1" s="106"/>
      <c r="L1" s="106"/>
      <c r="M1" s="106"/>
      <c r="N1" s="106"/>
      <c r="O1" s="106"/>
      <c r="P1" s="106"/>
      <c r="Q1" s="106"/>
      <c r="R1" s="106"/>
      <c r="S1" s="43" t="str">
        <f>CONCATENATE("BẢNG CHẤM CÔNG THÁNG ",TEXT($E$4,"mm")," NĂM ",TEXT($E$4,"yyyy"))</f>
        <v>BẢNG CHẤM CÔNG THÁNG 12 NĂM 2017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42"/>
      <c r="AL1" s="42"/>
      <c r="AM1" s="254" t="s">
        <v>80</v>
      </c>
      <c r="AN1" s="255"/>
      <c r="AO1" s="255"/>
      <c r="AP1" s="255"/>
      <c r="AQ1" s="255"/>
      <c r="AR1" s="255"/>
      <c r="AS1" s="256"/>
      <c r="AT1" s="44"/>
    </row>
    <row r="2" spans="1:91" ht="20.25">
      <c r="A2" s="126"/>
      <c r="B2" s="45"/>
      <c r="C2" s="45"/>
      <c r="D2" s="45"/>
      <c r="E2" s="45"/>
      <c r="F2" s="45"/>
      <c r="G2" s="45"/>
      <c r="H2" s="45"/>
      <c r="I2" s="45"/>
      <c r="J2" s="45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42"/>
      <c r="AL2" s="42"/>
      <c r="AM2" s="83"/>
      <c r="AN2" s="46"/>
      <c r="AO2" s="46"/>
      <c r="AP2" s="46"/>
      <c r="AQ2" s="46"/>
      <c r="AR2" s="46"/>
      <c r="AS2" s="82"/>
      <c r="AT2" s="82"/>
    </row>
    <row r="3" spans="1:91" ht="21" customHeight="1">
      <c r="A3" s="126"/>
      <c r="B3" s="47"/>
      <c r="C3" s="47"/>
      <c r="D3" s="48"/>
      <c r="E3" s="48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42"/>
      <c r="AL3" s="42"/>
      <c r="AM3" s="83"/>
      <c r="AN3" s="44"/>
      <c r="AO3" s="44"/>
      <c r="AP3" s="44"/>
      <c r="AQ3" s="44"/>
      <c r="AR3" s="44"/>
      <c r="AS3" s="49"/>
      <c r="AT3" s="49"/>
    </row>
    <row r="4" spans="1:91" ht="14.25" customHeight="1">
      <c r="A4" s="50"/>
      <c r="B4" s="50"/>
      <c r="C4" s="142"/>
      <c r="D4" s="141"/>
      <c r="E4" s="51">
        <v>43070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3"/>
      <c r="AI4" s="53"/>
      <c r="AJ4" s="53"/>
      <c r="AK4" s="50"/>
      <c r="AL4" s="50"/>
      <c r="AM4" s="84"/>
      <c r="AN4" s="50"/>
      <c r="AO4" s="50"/>
      <c r="AP4" s="50"/>
      <c r="AQ4" s="50"/>
      <c r="AR4" s="50"/>
      <c r="AS4" s="50"/>
      <c r="AT4" s="88"/>
    </row>
    <row r="5" spans="1:91" s="54" customFormat="1" ht="18.75" customHeight="1">
      <c r="A5" s="257" t="s">
        <v>26</v>
      </c>
      <c r="B5" s="257" t="s">
        <v>3</v>
      </c>
      <c r="C5" s="257" t="s">
        <v>1</v>
      </c>
      <c r="D5" s="259" t="s">
        <v>27</v>
      </c>
      <c r="E5" s="257" t="s">
        <v>28</v>
      </c>
      <c r="F5" s="105">
        <f>+E4</f>
        <v>43070</v>
      </c>
      <c r="G5" s="105">
        <f t="shared" ref="G5:AJ5" si="0">F5+1</f>
        <v>43071</v>
      </c>
      <c r="H5" s="105">
        <f t="shared" si="0"/>
        <v>43072</v>
      </c>
      <c r="I5" s="105">
        <f t="shared" si="0"/>
        <v>43073</v>
      </c>
      <c r="J5" s="105">
        <f t="shared" si="0"/>
        <v>43074</v>
      </c>
      <c r="K5" s="105">
        <f t="shared" si="0"/>
        <v>43075</v>
      </c>
      <c r="L5" s="105">
        <f t="shared" si="0"/>
        <v>43076</v>
      </c>
      <c r="M5" s="105">
        <f t="shared" si="0"/>
        <v>43077</v>
      </c>
      <c r="N5" s="105">
        <f t="shared" si="0"/>
        <v>43078</v>
      </c>
      <c r="O5" s="105">
        <f t="shared" si="0"/>
        <v>43079</v>
      </c>
      <c r="P5" s="105">
        <f t="shared" si="0"/>
        <v>43080</v>
      </c>
      <c r="Q5" s="105">
        <f t="shared" si="0"/>
        <v>43081</v>
      </c>
      <c r="R5" s="105">
        <f t="shared" si="0"/>
        <v>43082</v>
      </c>
      <c r="S5" s="105">
        <f t="shared" si="0"/>
        <v>43083</v>
      </c>
      <c r="T5" s="105">
        <f t="shared" si="0"/>
        <v>43084</v>
      </c>
      <c r="U5" s="105">
        <f t="shared" si="0"/>
        <v>43085</v>
      </c>
      <c r="V5" s="105">
        <f t="shared" si="0"/>
        <v>43086</v>
      </c>
      <c r="W5" s="105">
        <f t="shared" si="0"/>
        <v>43087</v>
      </c>
      <c r="X5" s="105">
        <f t="shared" si="0"/>
        <v>43088</v>
      </c>
      <c r="Y5" s="105">
        <f t="shared" si="0"/>
        <v>43089</v>
      </c>
      <c r="Z5" s="105">
        <f t="shared" si="0"/>
        <v>43090</v>
      </c>
      <c r="AA5" s="105">
        <f t="shared" si="0"/>
        <v>43091</v>
      </c>
      <c r="AB5" s="105">
        <f t="shared" si="0"/>
        <v>43092</v>
      </c>
      <c r="AC5" s="105">
        <f t="shared" si="0"/>
        <v>43093</v>
      </c>
      <c r="AD5" s="105">
        <f t="shared" si="0"/>
        <v>43094</v>
      </c>
      <c r="AE5" s="105">
        <f t="shared" si="0"/>
        <v>43095</v>
      </c>
      <c r="AF5" s="105">
        <f t="shared" si="0"/>
        <v>43096</v>
      </c>
      <c r="AG5" s="105">
        <f t="shared" si="0"/>
        <v>43097</v>
      </c>
      <c r="AH5" s="105">
        <f>AG5+1</f>
        <v>43098</v>
      </c>
      <c r="AI5" s="105">
        <f t="shared" si="0"/>
        <v>43099</v>
      </c>
      <c r="AJ5" s="105">
        <f t="shared" si="0"/>
        <v>43100</v>
      </c>
      <c r="AK5" s="260" t="s">
        <v>15</v>
      </c>
      <c r="AL5" s="261"/>
      <c r="AM5" s="262"/>
      <c r="AN5" s="263" t="s">
        <v>39</v>
      </c>
      <c r="AO5" s="263" t="s">
        <v>35</v>
      </c>
      <c r="AP5" s="263" t="s">
        <v>36</v>
      </c>
      <c r="AQ5" s="263" t="s">
        <v>37</v>
      </c>
      <c r="AR5" s="263" t="s">
        <v>38</v>
      </c>
      <c r="AS5" s="259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4" customFormat="1" ht="39.75" customHeight="1">
      <c r="A6" s="258"/>
      <c r="B6" s="258"/>
      <c r="C6" s="258"/>
      <c r="D6" s="258"/>
      <c r="E6" s="258"/>
      <c r="F6" s="160" t="str">
        <f>CHOOSE(WEEKDAY(F5),"C.Nhật","T.Hai","T.Ba","T.Tư","T.Năm","T.Sáu","T.Bảy")</f>
        <v>T.Sáu</v>
      </c>
      <c r="G6" s="160" t="str">
        <f t="shared" ref="G6:AJ6" si="1">CHOOSE(WEEKDAY(G5),"C.Nhật","T.Hai","T.Ba","T.Tư","T.Năm","T.Sáu","T.Bảy")</f>
        <v>T.Bảy</v>
      </c>
      <c r="H6" s="160" t="str">
        <f t="shared" si="1"/>
        <v>C.Nhật</v>
      </c>
      <c r="I6" s="160" t="str">
        <f t="shared" si="1"/>
        <v>T.Hai</v>
      </c>
      <c r="J6" s="160" t="str">
        <f t="shared" si="1"/>
        <v>T.Ba</v>
      </c>
      <c r="K6" s="160" t="str">
        <f t="shared" si="1"/>
        <v>T.Tư</v>
      </c>
      <c r="L6" s="160" t="str">
        <f t="shared" si="1"/>
        <v>T.Năm</v>
      </c>
      <c r="M6" s="160" t="str">
        <f t="shared" si="1"/>
        <v>T.Sáu</v>
      </c>
      <c r="N6" s="160" t="str">
        <f t="shared" si="1"/>
        <v>T.Bảy</v>
      </c>
      <c r="O6" s="160" t="str">
        <f t="shared" si="1"/>
        <v>C.Nhật</v>
      </c>
      <c r="P6" s="160" t="str">
        <f t="shared" si="1"/>
        <v>T.Hai</v>
      </c>
      <c r="Q6" s="160" t="str">
        <f t="shared" si="1"/>
        <v>T.Ba</v>
      </c>
      <c r="R6" s="160" t="str">
        <f t="shared" si="1"/>
        <v>T.Tư</v>
      </c>
      <c r="S6" s="160" t="str">
        <f t="shared" si="1"/>
        <v>T.Năm</v>
      </c>
      <c r="T6" s="160" t="str">
        <f t="shared" si="1"/>
        <v>T.Sáu</v>
      </c>
      <c r="U6" s="160" t="str">
        <f t="shared" si="1"/>
        <v>T.Bảy</v>
      </c>
      <c r="V6" s="160" t="str">
        <f t="shared" si="1"/>
        <v>C.Nhật</v>
      </c>
      <c r="W6" s="160" t="str">
        <f t="shared" si="1"/>
        <v>T.Hai</v>
      </c>
      <c r="X6" s="160" t="str">
        <f t="shared" si="1"/>
        <v>T.Ba</v>
      </c>
      <c r="Y6" s="160" t="str">
        <f t="shared" si="1"/>
        <v>T.Tư</v>
      </c>
      <c r="Z6" s="160" t="str">
        <f t="shared" si="1"/>
        <v>T.Năm</v>
      </c>
      <c r="AA6" s="160" t="str">
        <f t="shared" si="1"/>
        <v>T.Sáu</v>
      </c>
      <c r="AB6" s="160" t="str">
        <f t="shared" si="1"/>
        <v>T.Bảy</v>
      </c>
      <c r="AC6" s="160" t="str">
        <f t="shared" si="1"/>
        <v>C.Nhật</v>
      </c>
      <c r="AD6" s="160" t="str">
        <f t="shared" si="1"/>
        <v>T.Hai</v>
      </c>
      <c r="AE6" s="160" t="str">
        <f t="shared" si="1"/>
        <v>T.Ba</v>
      </c>
      <c r="AF6" s="160" t="str">
        <f t="shared" si="1"/>
        <v>T.Tư</v>
      </c>
      <c r="AG6" s="160" t="str">
        <f t="shared" si="1"/>
        <v>T.Năm</v>
      </c>
      <c r="AH6" s="160" t="str">
        <f t="shared" si="1"/>
        <v>T.Sáu</v>
      </c>
      <c r="AI6" s="160" t="str">
        <f t="shared" si="1"/>
        <v>T.Bảy</v>
      </c>
      <c r="AJ6" s="160" t="str">
        <f t="shared" si="1"/>
        <v>C.Nhật</v>
      </c>
      <c r="AK6" s="161" t="s">
        <v>16</v>
      </c>
      <c r="AL6" s="161" t="s">
        <v>29</v>
      </c>
      <c r="AM6" s="162" t="s">
        <v>17</v>
      </c>
      <c r="AN6" s="264"/>
      <c r="AO6" s="264"/>
      <c r="AP6" s="264"/>
      <c r="AQ6" s="264"/>
      <c r="AR6" s="264"/>
      <c r="AS6" s="258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4" customFormat="1" ht="12.75" customHeight="1">
      <c r="A7" s="163">
        <v>1</v>
      </c>
      <c r="B7" s="163">
        <v>1</v>
      </c>
      <c r="C7" s="163">
        <v>2</v>
      </c>
      <c r="D7" s="163">
        <v>3</v>
      </c>
      <c r="E7" s="163">
        <v>4</v>
      </c>
      <c r="F7" s="163">
        <v>5</v>
      </c>
      <c r="G7" s="163">
        <v>6</v>
      </c>
      <c r="H7" s="163">
        <v>7</v>
      </c>
      <c r="I7" s="163">
        <v>8</v>
      </c>
      <c r="J7" s="163">
        <v>9</v>
      </c>
      <c r="K7" s="163">
        <v>10</v>
      </c>
      <c r="L7" s="163">
        <v>11</v>
      </c>
      <c r="M7" s="163">
        <v>12</v>
      </c>
      <c r="N7" s="163">
        <v>13</v>
      </c>
      <c r="O7" s="163">
        <v>14</v>
      </c>
      <c r="P7" s="163">
        <v>15</v>
      </c>
      <c r="Q7" s="163">
        <v>16</v>
      </c>
      <c r="R7" s="163">
        <v>17</v>
      </c>
      <c r="S7" s="163">
        <v>18</v>
      </c>
      <c r="T7" s="163">
        <v>19</v>
      </c>
      <c r="U7" s="163">
        <v>20</v>
      </c>
      <c r="V7" s="163">
        <v>21</v>
      </c>
      <c r="W7" s="163">
        <v>22</v>
      </c>
      <c r="X7" s="163">
        <v>23</v>
      </c>
      <c r="Y7" s="163">
        <v>24</v>
      </c>
      <c r="Z7" s="163">
        <v>25</v>
      </c>
      <c r="AA7" s="163">
        <v>26</v>
      </c>
      <c r="AB7" s="163">
        <v>27</v>
      </c>
      <c r="AC7" s="163">
        <v>28</v>
      </c>
      <c r="AD7" s="163">
        <v>29</v>
      </c>
      <c r="AE7" s="163">
        <v>30</v>
      </c>
      <c r="AF7" s="163">
        <v>31</v>
      </c>
      <c r="AG7" s="163">
        <v>32</v>
      </c>
      <c r="AH7" s="163">
        <v>33</v>
      </c>
      <c r="AI7" s="163">
        <v>34</v>
      </c>
      <c r="AJ7" s="163">
        <v>35</v>
      </c>
      <c r="AK7" s="163">
        <v>36</v>
      </c>
      <c r="AL7" s="163">
        <v>37</v>
      </c>
      <c r="AM7" s="163">
        <v>38</v>
      </c>
      <c r="AN7" s="163">
        <v>39</v>
      </c>
      <c r="AO7" s="163">
        <v>40</v>
      </c>
      <c r="AP7" s="163">
        <v>41</v>
      </c>
      <c r="AQ7" s="163">
        <v>42</v>
      </c>
      <c r="AR7" s="163">
        <v>43</v>
      </c>
      <c r="AS7" s="163">
        <v>44</v>
      </c>
      <c r="AT7" s="2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6" customFormat="1" ht="21" customHeight="1">
      <c r="A8" s="164" t="s">
        <v>68</v>
      </c>
      <c r="B8" s="167" t="s">
        <v>81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9"/>
      <c r="AT8" s="165"/>
    </row>
    <row r="9" spans="1:91" s="54" customFormat="1" ht="18" customHeight="1">
      <c r="A9" s="238">
        <v>1</v>
      </c>
      <c r="B9" s="238" t="s">
        <v>74</v>
      </c>
      <c r="C9" s="240" t="str">
        <f>VLOOKUP(B9,DS,2,0)</f>
        <v>Lê Kim Ngọc Thảo</v>
      </c>
      <c r="D9" s="242" t="str">
        <f>VLOOKUP(B9,DS,3,0)</f>
        <v>Văn Phòng</v>
      </c>
      <c r="E9" s="55" t="s">
        <v>30</v>
      </c>
      <c r="F9" s="130">
        <v>8</v>
      </c>
      <c r="G9" s="130">
        <v>8</v>
      </c>
      <c r="H9" s="130"/>
      <c r="I9" s="130">
        <v>8</v>
      </c>
      <c r="J9" s="130">
        <v>8</v>
      </c>
      <c r="K9" s="130">
        <v>8</v>
      </c>
      <c r="L9" s="130">
        <v>8</v>
      </c>
      <c r="M9" s="130">
        <v>8</v>
      </c>
      <c r="N9" s="130">
        <v>8</v>
      </c>
      <c r="O9" s="130"/>
      <c r="P9" s="130">
        <v>8</v>
      </c>
      <c r="Q9" s="130">
        <v>8</v>
      </c>
      <c r="R9" s="130">
        <v>8</v>
      </c>
      <c r="S9" s="130">
        <v>8</v>
      </c>
      <c r="T9" s="130">
        <v>8</v>
      </c>
      <c r="U9" s="130">
        <v>8</v>
      </c>
      <c r="V9" s="130"/>
      <c r="W9" s="130">
        <v>8</v>
      </c>
      <c r="X9" s="130">
        <v>8</v>
      </c>
      <c r="Y9" s="130">
        <v>8</v>
      </c>
      <c r="Z9" s="130">
        <v>8</v>
      </c>
      <c r="AA9" s="130">
        <v>8</v>
      </c>
      <c r="AB9" s="130">
        <v>8</v>
      </c>
      <c r="AC9" s="130"/>
      <c r="AD9" s="130">
        <v>8</v>
      </c>
      <c r="AE9" s="130">
        <v>8</v>
      </c>
      <c r="AF9" s="130">
        <v>8</v>
      </c>
      <c r="AG9" s="130">
        <v>8</v>
      </c>
      <c r="AH9" s="130">
        <v>8</v>
      </c>
      <c r="AI9" s="130">
        <v>8</v>
      </c>
      <c r="AJ9" s="130"/>
      <c r="AK9" s="244">
        <f>((SUM(F9:AJ9))/8)-(SUMIF($F$6:$AJ$6,"C.Nhật",F9:AJ9)/8)</f>
        <v>26</v>
      </c>
      <c r="AL9" s="244">
        <f>SUM(F10:AJ10)/8*1.5</f>
        <v>0</v>
      </c>
      <c r="AM9" s="246">
        <f>SUMIF($F$6:$AJ$6,"C.Nhật",$F9:$AJ10)/8*2</f>
        <v>0</v>
      </c>
      <c r="AN9" s="248">
        <f>SUM(AK9:AM10)</f>
        <v>26</v>
      </c>
      <c r="AO9" s="250">
        <v>0</v>
      </c>
      <c r="AP9" s="248"/>
      <c r="AQ9" s="248"/>
      <c r="AR9" s="248"/>
      <c r="AS9" s="252"/>
      <c r="AT9" s="2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4" customFormat="1" ht="18" customHeight="1">
      <c r="A10" s="239"/>
      <c r="B10" s="239"/>
      <c r="C10" s="241"/>
      <c r="D10" s="243"/>
      <c r="E10" s="56" t="s">
        <v>29</v>
      </c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245"/>
      <c r="AL10" s="245"/>
      <c r="AM10" s="247"/>
      <c r="AN10" s="249"/>
      <c r="AO10" s="251"/>
      <c r="AP10" s="249"/>
      <c r="AQ10" s="249"/>
      <c r="AR10" s="249"/>
      <c r="AS10" s="253"/>
      <c r="AT10" s="2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66" customFormat="1" ht="21" customHeight="1">
      <c r="A11" s="164" t="s">
        <v>69</v>
      </c>
      <c r="B11" s="167" t="s">
        <v>73</v>
      </c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9"/>
      <c r="AT11" s="165"/>
    </row>
    <row r="12" spans="1:91" s="54" customFormat="1" ht="18" customHeight="1">
      <c r="A12" s="238">
        <v>1</v>
      </c>
      <c r="B12" s="238" t="s">
        <v>75</v>
      </c>
      <c r="C12" s="240" t="str">
        <f>VLOOKUP(B12,DS,2,0)</f>
        <v>Bùi Trường Giang</v>
      </c>
      <c r="D12" s="242" t="str">
        <f>VLOOKUP(B12,DS,3,0)</f>
        <v>Thợ in</v>
      </c>
      <c r="E12" s="55" t="s">
        <v>30</v>
      </c>
      <c r="F12" s="130">
        <v>8</v>
      </c>
      <c r="G12" s="130">
        <v>8</v>
      </c>
      <c r="H12" s="130"/>
      <c r="I12" s="130">
        <v>8</v>
      </c>
      <c r="J12" s="130">
        <v>8</v>
      </c>
      <c r="K12" s="130">
        <v>8</v>
      </c>
      <c r="L12" s="130">
        <v>8</v>
      </c>
      <c r="M12" s="130">
        <v>8</v>
      </c>
      <c r="N12" s="130">
        <v>8</v>
      </c>
      <c r="O12" s="130"/>
      <c r="P12" s="130">
        <v>8</v>
      </c>
      <c r="Q12" s="130">
        <v>8</v>
      </c>
      <c r="R12" s="130">
        <v>8</v>
      </c>
      <c r="S12" s="130">
        <v>8</v>
      </c>
      <c r="T12" s="130">
        <v>8</v>
      </c>
      <c r="U12" s="130">
        <v>8</v>
      </c>
      <c r="V12" s="130"/>
      <c r="W12" s="130">
        <v>8</v>
      </c>
      <c r="X12" s="130">
        <v>8</v>
      </c>
      <c r="Y12" s="130">
        <v>8</v>
      </c>
      <c r="Z12" s="130">
        <v>8</v>
      </c>
      <c r="AA12" s="130">
        <v>8</v>
      </c>
      <c r="AB12" s="130">
        <v>8</v>
      </c>
      <c r="AC12" s="130"/>
      <c r="AD12" s="130">
        <v>8</v>
      </c>
      <c r="AE12" s="130">
        <v>8</v>
      </c>
      <c r="AF12" s="130">
        <v>8</v>
      </c>
      <c r="AG12" s="130">
        <v>8</v>
      </c>
      <c r="AH12" s="130">
        <v>8</v>
      </c>
      <c r="AI12" s="130">
        <v>8</v>
      </c>
      <c r="AJ12" s="130"/>
      <c r="AK12" s="244">
        <f t="shared" ref="AK12" si="2">((SUM(F12:AJ12))/8)-(SUMIF($F$6:$AJ$6,"C.Nhật",F12:AJ12)/8)</f>
        <v>26</v>
      </c>
      <c r="AL12" s="244">
        <f t="shared" ref="AL12" si="3">SUM(F13:AJ13)/8*1.5</f>
        <v>0</v>
      </c>
      <c r="AM12" s="246">
        <f>SUMIF($F$6:$AJ$6,"C.Nhật",$F12:$AJ13)/8*2</f>
        <v>0</v>
      </c>
      <c r="AN12" s="248">
        <f>SUM(AK12:AM13)</f>
        <v>26</v>
      </c>
      <c r="AO12" s="250">
        <v>0</v>
      </c>
      <c r="AP12" s="248"/>
      <c r="AQ12" s="248"/>
      <c r="AR12" s="248"/>
      <c r="AS12" s="252"/>
      <c r="AT12" s="20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4" customFormat="1" ht="18" customHeight="1">
      <c r="A13" s="239"/>
      <c r="B13" s="239"/>
      <c r="C13" s="241"/>
      <c r="D13" s="243"/>
      <c r="E13" s="56" t="s">
        <v>29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245"/>
      <c r="AL13" s="245"/>
      <c r="AM13" s="247"/>
      <c r="AN13" s="249"/>
      <c r="AO13" s="251"/>
      <c r="AP13" s="249"/>
      <c r="AQ13" s="249"/>
      <c r="AR13" s="249"/>
      <c r="AS13" s="253"/>
      <c r="AT13" s="20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4" customFormat="1" ht="18" customHeight="1">
      <c r="A14" s="238">
        <v>2</v>
      </c>
      <c r="B14" s="238" t="s">
        <v>76</v>
      </c>
      <c r="C14" s="240" t="str">
        <f>VLOOKUP(B14,DS,2,0)</f>
        <v>Lê Văn Hữu</v>
      </c>
      <c r="D14" s="242" t="str">
        <f>VLOOKUP(B14,DS,3,0)</f>
        <v>Công Đoạn 2</v>
      </c>
      <c r="E14" s="55" t="s">
        <v>30</v>
      </c>
      <c r="F14" s="130">
        <v>8</v>
      </c>
      <c r="G14" s="130">
        <v>8</v>
      </c>
      <c r="H14" s="130"/>
      <c r="I14" s="130">
        <v>8</v>
      </c>
      <c r="J14" s="130">
        <v>8</v>
      </c>
      <c r="K14" s="130">
        <v>8</v>
      </c>
      <c r="L14" s="130">
        <v>8</v>
      </c>
      <c r="M14" s="130">
        <v>8</v>
      </c>
      <c r="N14" s="130">
        <v>8</v>
      </c>
      <c r="O14" s="130"/>
      <c r="P14" s="130">
        <v>8</v>
      </c>
      <c r="Q14" s="130">
        <v>8</v>
      </c>
      <c r="R14" s="130">
        <v>8</v>
      </c>
      <c r="S14" s="130">
        <v>8</v>
      </c>
      <c r="T14" s="130">
        <v>8</v>
      </c>
      <c r="U14" s="130">
        <v>8</v>
      </c>
      <c r="V14" s="130"/>
      <c r="W14" s="130">
        <v>8</v>
      </c>
      <c r="X14" s="130">
        <v>8</v>
      </c>
      <c r="Y14" s="130">
        <v>8</v>
      </c>
      <c r="Z14" s="130">
        <v>8</v>
      </c>
      <c r="AA14" s="130">
        <v>8</v>
      </c>
      <c r="AB14" s="130">
        <v>8</v>
      </c>
      <c r="AC14" s="130"/>
      <c r="AD14" s="130">
        <v>8</v>
      </c>
      <c r="AE14" s="130">
        <v>8</v>
      </c>
      <c r="AF14" s="130">
        <v>8</v>
      </c>
      <c r="AG14" s="130">
        <v>8</v>
      </c>
      <c r="AH14" s="130">
        <v>8</v>
      </c>
      <c r="AI14" s="130">
        <v>8</v>
      </c>
      <c r="AJ14" s="130"/>
      <c r="AK14" s="244">
        <f t="shared" ref="AK14" si="4">((SUM(F14:AJ14))/8)-(SUMIF($F$6:$AJ$6,"C.Nhật",F14:AJ14)/8)</f>
        <v>26</v>
      </c>
      <c r="AL14" s="244">
        <f t="shared" ref="AL14" si="5">SUM(F15:AJ15)/8*1.5</f>
        <v>0</v>
      </c>
      <c r="AM14" s="246">
        <f t="shared" ref="AM14" si="6">SUMIF($F$6:$AJ$6,"C.Nhật",$F14:$AJ15)/8*2</f>
        <v>0</v>
      </c>
      <c r="AN14" s="248">
        <f t="shared" ref="AN14" si="7">SUM(AK14:AM15)</f>
        <v>26</v>
      </c>
      <c r="AO14" s="250">
        <v>0</v>
      </c>
      <c r="AP14" s="248"/>
      <c r="AQ14" s="248"/>
      <c r="AR14" s="248"/>
      <c r="AS14" s="252"/>
      <c r="AT14" s="21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4" customFormat="1" ht="18" customHeight="1">
      <c r="A15" s="239"/>
      <c r="B15" s="239"/>
      <c r="C15" s="241"/>
      <c r="D15" s="243"/>
      <c r="E15" s="56" t="s">
        <v>29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245"/>
      <c r="AL15" s="245"/>
      <c r="AM15" s="247"/>
      <c r="AN15" s="249"/>
      <c r="AO15" s="251"/>
      <c r="AP15" s="249"/>
      <c r="AQ15" s="249"/>
      <c r="AR15" s="249"/>
      <c r="AS15" s="253"/>
      <c r="AT15" s="21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4" customFormat="1" ht="18" customHeight="1">
      <c r="A16" s="238">
        <v>3</v>
      </c>
      <c r="B16" s="238" t="s">
        <v>77</v>
      </c>
      <c r="C16" s="240" t="str">
        <f>VLOOKUP(B16,DS,2,0)</f>
        <v>Phan Thị Sương</v>
      </c>
      <c r="D16" s="242" t="str">
        <f>VLOOKUP(B16,DS,3,0)</f>
        <v>Công Đoạn 1</v>
      </c>
      <c r="E16" s="55" t="s">
        <v>30</v>
      </c>
      <c r="F16" s="130">
        <v>8</v>
      </c>
      <c r="G16" s="130">
        <v>8</v>
      </c>
      <c r="H16" s="130"/>
      <c r="I16" s="130">
        <v>8</v>
      </c>
      <c r="J16" s="130">
        <v>8</v>
      </c>
      <c r="K16" s="130">
        <v>8</v>
      </c>
      <c r="L16" s="130">
        <v>8</v>
      </c>
      <c r="M16" s="130">
        <v>8</v>
      </c>
      <c r="N16" s="130">
        <v>8</v>
      </c>
      <c r="O16" s="130"/>
      <c r="P16" s="130">
        <v>8</v>
      </c>
      <c r="Q16" s="130">
        <v>8</v>
      </c>
      <c r="R16" s="130">
        <v>8</v>
      </c>
      <c r="S16" s="130">
        <v>8</v>
      </c>
      <c r="T16" s="130">
        <v>8</v>
      </c>
      <c r="U16" s="130">
        <v>8</v>
      </c>
      <c r="V16" s="130"/>
      <c r="W16" s="130">
        <v>8</v>
      </c>
      <c r="X16" s="130">
        <v>8</v>
      </c>
      <c r="Y16" s="130">
        <v>8</v>
      </c>
      <c r="Z16" s="130">
        <v>8</v>
      </c>
      <c r="AA16" s="130">
        <v>8</v>
      </c>
      <c r="AB16" s="130">
        <v>8</v>
      </c>
      <c r="AC16" s="130"/>
      <c r="AD16" s="130">
        <v>8</v>
      </c>
      <c r="AE16" s="130">
        <v>8</v>
      </c>
      <c r="AF16" s="130">
        <v>8</v>
      </c>
      <c r="AG16" s="130">
        <v>8</v>
      </c>
      <c r="AH16" s="130">
        <v>8</v>
      </c>
      <c r="AI16" s="130">
        <v>8</v>
      </c>
      <c r="AJ16" s="130"/>
      <c r="AK16" s="244">
        <f t="shared" ref="AK16" si="8">((SUM(F16:AJ16))/8)-(SUMIF($F$6:$AJ$6,"C.Nhật",F16:AJ16)/8)</f>
        <v>26</v>
      </c>
      <c r="AL16" s="244">
        <f t="shared" ref="AL16" si="9">SUM(F17:AJ17)/8*1.5</f>
        <v>0</v>
      </c>
      <c r="AM16" s="246">
        <f t="shared" ref="AM16" si="10">SUMIF($F$6:$AJ$6,"C.Nhật",$F16:$AJ17)/8*2</f>
        <v>0</v>
      </c>
      <c r="AN16" s="248">
        <f t="shared" ref="AN16" si="11">SUM(AK16:AM17)</f>
        <v>26</v>
      </c>
      <c r="AO16" s="250">
        <v>0</v>
      </c>
      <c r="AP16" s="248"/>
      <c r="AQ16" s="248"/>
      <c r="AR16" s="248"/>
      <c r="AS16" s="252"/>
      <c r="AT16" s="21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4" customFormat="1" ht="18" customHeight="1">
      <c r="A17" s="239"/>
      <c r="B17" s="239"/>
      <c r="C17" s="241"/>
      <c r="D17" s="243"/>
      <c r="E17" s="56" t="s">
        <v>29</v>
      </c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245"/>
      <c r="AL17" s="245"/>
      <c r="AM17" s="247"/>
      <c r="AN17" s="249"/>
      <c r="AO17" s="251"/>
      <c r="AP17" s="249"/>
      <c r="AQ17" s="249"/>
      <c r="AR17" s="249"/>
      <c r="AS17" s="253"/>
      <c r="AT17" s="21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7" customFormat="1" ht="12.75">
      <c r="A18" s="14"/>
      <c r="B18" s="58"/>
      <c r="C18" s="4"/>
      <c r="D18" s="100"/>
      <c r="E18" s="4"/>
      <c r="F18" s="62"/>
      <c r="G18" s="62"/>
      <c r="H18" s="59"/>
      <c r="I18" s="59"/>
      <c r="J18" s="107"/>
      <c r="K18" s="62"/>
      <c r="L18" s="59"/>
      <c r="M18" s="62"/>
      <c r="N18" s="62"/>
      <c r="O18" s="62"/>
      <c r="P18" s="62"/>
      <c r="Q18" s="59"/>
      <c r="R18" s="62"/>
      <c r="S18" s="62"/>
      <c r="T18" s="107"/>
      <c r="U18" s="62"/>
      <c r="V18" s="62"/>
      <c r="W18" s="62"/>
      <c r="X18" s="58"/>
      <c r="Y18" s="62"/>
      <c r="Z18" s="62"/>
      <c r="AA18" s="62"/>
      <c r="AB18" s="62"/>
      <c r="AC18" s="62"/>
      <c r="AD18" s="59"/>
      <c r="AE18" s="62"/>
      <c r="AF18" s="62"/>
      <c r="AG18" s="62"/>
      <c r="AH18" s="62"/>
      <c r="AI18" s="62"/>
      <c r="AJ18" s="62"/>
      <c r="AK18" s="4"/>
      <c r="AL18" s="4"/>
      <c r="AM18" s="85"/>
      <c r="AN18" s="61"/>
      <c r="AO18" s="61"/>
      <c r="AP18" s="61"/>
      <c r="AQ18" s="61"/>
      <c r="AR18" s="61"/>
      <c r="AS18" s="4"/>
      <c r="AT18" s="91"/>
    </row>
    <row r="19" spans="1:91" s="57" customFormat="1" ht="12.75">
      <c r="A19" s="14"/>
      <c r="B19" s="58"/>
      <c r="C19" s="14" t="s">
        <v>14</v>
      </c>
      <c r="D19" s="100"/>
      <c r="E19" s="4"/>
      <c r="F19" s="62"/>
      <c r="G19" s="62"/>
      <c r="H19" s="59"/>
      <c r="I19" s="59"/>
      <c r="J19" s="107"/>
      <c r="K19" s="62"/>
      <c r="L19" s="59"/>
      <c r="M19" s="62"/>
      <c r="N19" s="62"/>
      <c r="O19" s="62"/>
      <c r="P19" s="62"/>
      <c r="Q19" s="59"/>
      <c r="R19" s="62"/>
      <c r="S19" s="62"/>
      <c r="T19" s="107"/>
      <c r="U19" s="62"/>
      <c r="V19" s="62"/>
      <c r="W19" s="62"/>
      <c r="X19" s="58"/>
      <c r="Y19" s="62"/>
      <c r="Z19" s="62"/>
      <c r="AA19" s="62"/>
      <c r="AB19" s="62"/>
      <c r="AC19" s="62"/>
      <c r="AD19" s="59"/>
      <c r="AE19" s="62"/>
      <c r="AF19" s="62"/>
      <c r="AG19" s="62"/>
      <c r="AH19" s="62"/>
      <c r="AI19" s="62"/>
      <c r="AJ19" s="62"/>
      <c r="AK19" s="4"/>
      <c r="AL19" s="4"/>
      <c r="AM19" s="85"/>
      <c r="AN19" s="61"/>
      <c r="AO19" s="61"/>
      <c r="AP19" s="61"/>
      <c r="AQ19" s="61"/>
      <c r="AR19" s="61"/>
      <c r="AS19" s="4"/>
      <c r="AT19" s="91"/>
    </row>
    <row r="20" spans="1:91" s="57" customFormat="1" ht="12.75">
      <c r="A20" s="12"/>
      <c r="B20" s="12"/>
      <c r="C20" s="4"/>
      <c r="D20" s="100"/>
      <c r="E20" s="4"/>
      <c r="F20" s="62"/>
      <c r="G20" s="62"/>
      <c r="H20" s="108"/>
      <c r="I20" s="108"/>
      <c r="J20" s="108"/>
      <c r="K20" s="62"/>
      <c r="L20" s="108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108"/>
      <c r="AE20" s="62"/>
      <c r="AF20" s="62"/>
      <c r="AG20" s="62"/>
      <c r="AH20" s="62"/>
      <c r="AI20" s="62"/>
      <c r="AJ20" s="62"/>
      <c r="AK20" s="4"/>
      <c r="AL20" s="4"/>
      <c r="AM20" s="85"/>
      <c r="AN20" s="63"/>
      <c r="AO20" s="63"/>
      <c r="AP20" s="63"/>
      <c r="AQ20" s="63"/>
      <c r="AR20" s="63"/>
      <c r="AS20" s="4"/>
      <c r="AT20" s="91"/>
    </row>
    <row r="21" spans="1:91" s="60" customFormat="1" ht="15" customHeight="1">
      <c r="A21" s="12"/>
      <c r="B21" s="12"/>
      <c r="C21" s="4"/>
      <c r="D21" s="100"/>
      <c r="E21" s="4"/>
      <c r="F21" s="62"/>
      <c r="G21" s="62"/>
      <c r="H21" s="108"/>
      <c r="I21" s="108"/>
      <c r="J21" s="108"/>
      <c r="K21" s="62"/>
      <c r="L21" s="108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108"/>
      <c r="AE21" s="62"/>
      <c r="AF21" s="62"/>
      <c r="AG21" s="62"/>
      <c r="AH21" s="62"/>
      <c r="AI21" s="62"/>
      <c r="AJ21" s="62"/>
      <c r="AK21" s="4"/>
      <c r="AL21" s="4"/>
      <c r="AM21" s="85"/>
      <c r="AN21" s="63"/>
      <c r="AO21" s="63"/>
      <c r="AP21" s="63"/>
      <c r="AQ21" s="63"/>
      <c r="AR21" s="63"/>
      <c r="AS21" s="4"/>
      <c r="AT21" s="4"/>
    </row>
    <row r="22" spans="1:91" s="60" customFormat="1" ht="11.25">
      <c r="A22" s="12"/>
      <c r="B22" s="12"/>
      <c r="C22" s="4"/>
      <c r="D22" s="100"/>
      <c r="E22" s="4"/>
      <c r="F22" s="62"/>
      <c r="G22" s="62"/>
      <c r="H22" s="108"/>
      <c r="I22" s="108"/>
      <c r="J22" s="108"/>
      <c r="K22" s="62"/>
      <c r="L22" s="108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108"/>
      <c r="AE22" s="62"/>
      <c r="AF22" s="62"/>
      <c r="AG22" s="62"/>
      <c r="AH22" s="62"/>
      <c r="AI22" s="62"/>
      <c r="AJ22" s="62"/>
      <c r="AK22" s="4"/>
      <c r="AL22" s="4"/>
      <c r="AM22" s="85"/>
      <c r="AN22" s="63"/>
      <c r="AO22" s="63"/>
      <c r="AP22" s="63"/>
      <c r="AQ22" s="63"/>
      <c r="AR22" s="63"/>
      <c r="AS22" s="4"/>
      <c r="AT22" s="4"/>
    </row>
    <row r="23" spans="1:91" s="60" customFormat="1" ht="11.25">
      <c r="A23" s="12"/>
      <c r="B23" s="12"/>
      <c r="C23" s="4"/>
      <c r="D23" s="100"/>
      <c r="E23" s="4"/>
      <c r="F23" s="62"/>
      <c r="G23" s="62"/>
      <c r="H23" s="108"/>
      <c r="I23" s="108"/>
      <c r="J23" s="108"/>
      <c r="K23" s="62"/>
      <c r="L23" s="108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108"/>
      <c r="AE23" s="62"/>
      <c r="AF23" s="62"/>
      <c r="AG23" s="62"/>
      <c r="AH23" s="62"/>
      <c r="AI23" s="62"/>
      <c r="AJ23" s="62"/>
      <c r="AK23" s="4"/>
      <c r="AL23" s="4"/>
      <c r="AM23" s="85"/>
      <c r="AN23" s="63"/>
      <c r="AO23" s="63"/>
      <c r="AP23" s="63"/>
      <c r="AQ23" s="63"/>
      <c r="AR23" s="63"/>
      <c r="AS23" s="4"/>
      <c r="AT23" s="4"/>
    </row>
    <row r="24" spans="1:91" s="60" customFormat="1" ht="11.25">
      <c r="A24" s="10"/>
      <c r="B24" s="10"/>
      <c r="C24" s="14"/>
      <c r="D24" s="101"/>
      <c r="E24" s="64"/>
      <c r="F24" s="107"/>
      <c r="G24" s="109"/>
      <c r="H24" s="59"/>
      <c r="I24" s="59"/>
      <c r="J24" s="59"/>
      <c r="K24" s="109"/>
      <c r="L24" s="59"/>
      <c r="M24" s="109"/>
      <c r="N24" s="109"/>
      <c r="O24" s="109"/>
      <c r="P24" s="109"/>
      <c r="Q24" s="59"/>
      <c r="R24" s="107"/>
      <c r="S24" s="109"/>
      <c r="T24" s="109"/>
      <c r="U24" s="59"/>
      <c r="V24" s="109"/>
      <c r="W24" s="109"/>
      <c r="X24" s="59"/>
      <c r="Y24" s="109"/>
      <c r="Z24" s="109"/>
      <c r="AA24" s="109"/>
      <c r="AB24" s="109"/>
      <c r="AC24" s="109"/>
      <c r="AD24" s="59"/>
      <c r="AE24" s="109"/>
      <c r="AF24" s="109"/>
      <c r="AG24" s="109"/>
      <c r="AH24" s="109"/>
      <c r="AI24" s="109"/>
      <c r="AJ24" s="109"/>
      <c r="AK24" s="64"/>
      <c r="AM24" s="86"/>
      <c r="AN24" s="10"/>
      <c r="AO24" s="10"/>
      <c r="AP24" s="10"/>
      <c r="AQ24" s="10"/>
      <c r="AR24" s="10"/>
      <c r="AS24" s="14"/>
      <c r="AT24" s="4"/>
    </row>
    <row r="25" spans="1:91" s="60" customFormat="1" ht="12.75">
      <c r="A25" s="2"/>
      <c r="B25" s="2" t="s">
        <v>0</v>
      </c>
      <c r="C25" s="2"/>
      <c r="D25" s="198"/>
      <c r="E25" s="2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1"/>
      <c r="AI25" s="111"/>
      <c r="AJ25" s="111"/>
      <c r="AK25" s="2"/>
      <c r="AL25" s="2"/>
      <c r="AM25" s="87"/>
      <c r="AN25" s="2"/>
      <c r="AO25" s="2"/>
      <c r="AP25" s="2"/>
      <c r="AQ25" s="2"/>
      <c r="AR25" s="2"/>
      <c r="AS25" s="2"/>
      <c r="AT25" s="4"/>
    </row>
    <row r="26" spans="1:91" s="60" customFormat="1" ht="12.75">
      <c r="A26" s="2"/>
      <c r="B26" s="2"/>
      <c r="C26" s="2" t="s">
        <v>40</v>
      </c>
      <c r="D26" s="198"/>
      <c r="E26" s="2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1"/>
      <c r="AI26" s="111"/>
      <c r="AJ26" s="111"/>
      <c r="AK26" s="2"/>
      <c r="AL26" s="2"/>
      <c r="AM26" s="8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41</v>
      </c>
    </row>
    <row r="28" spans="1:91" ht="15" customHeight="1">
      <c r="C28" s="2" t="s">
        <v>42</v>
      </c>
    </row>
    <row r="29" spans="1:91" s="198" customFormat="1" ht="15" customHeight="1">
      <c r="A29" s="2"/>
      <c r="B29" s="2"/>
      <c r="C29" s="2" t="s">
        <v>43</v>
      </c>
      <c r="E29" s="2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1"/>
      <c r="AI29" s="111"/>
      <c r="AJ29" s="111"/>
      <c r="AK29" s="2"/>
      <c r="AL29" s="2"/>
      <c r="AM29" s="8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8" customFormat="1" ht="15" customHeight="1">
      <c r="A30" s="2"/>
      <c r="B30" s="2"/>
      <c r="C30" s="2" t="s">
        <v>44</v>
      </c>
      <c r="E30" s="2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1"/>
      <c r="AI30" s="111"/>
      <c r="AJ30" s="111"/>
      <c r="AK30" s="2"/>
      <c r="AL30" s="2"/>
      <c r="AM30" s="8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8" customFormat="1" ht="15" customHeight="1">
      <c r="A31" s="2"/>
      <c r="B31" s="2"/>
      <c r="C31" s="2" t="s">
        <v>45</v>
      </c>
      <c r="E31" s="2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1"/>
      <c r="AI31" s="111"/>
      <c r="AJ31" s="111"/>
      <c r="AK31" s="2"/>
      <c r="AL31" s="2"/>
      <c r="AM31" s="8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8" customFormat="1" ht="15" customHeight="1">
      <c r="A32" s="2"/>
      <c r="B32" s="2"/>
      <c r="C32" s="2" t="s">
        <v>46</v>
      </c>
      <c r="E32" s="2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1"/>
      <c r="AI32" s="111"/>
      <c r="AJ32" s="111"/>
      <c r="AK32" s="2"/>
      <c r="AL32" s="2"/>
      <c r="AM32" s="8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8" customFormat="1" ht="15" customHeight="1">
      <c r="A33" s="2"/>
      <c r="B33" s="2"/>
      <c r="C33" s="2" t="s">
        <v>47</v>
      </c>
      <c r="E33" s="2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1"/>
      <c r="AI33" s="111"/>
      <c r="AJ33" s="111"/>
      <c r="AK33" s="2"/>
      <c r="AL33" s="2"/>
      <c r="AM33" s="8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8" customFormat="1" ht="15" customHeight="1">
      <c r="A34" s="2"/>
      <c r="B34" s="2"/>
      <c r="C34" s="2" t="s">
        <v>48</v>
      </c>
      <c r="E34" s="2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111"/>
      <c r="AJ34" s="111"/>
      <c r="AK34" s="2"/>
      <c r="AL34" s="2"/>
      <c r="AM34" s="8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0:J23 Q18:Q19" name="Range1_1_1_1"/>
    <protectedRange password="CC78" sqref="J24" name="Range1_3_1_1"/>
    <protectedRange password="CC78" sqref="A12:A17" name="Range1_1_2"/>
    <protectedRange password="CC78" sqref="A12:A17 C12:E17" name="Range1_6_2"/>
    <protectedRange password="CC78" sqref="B12:B17" name="Range1_4_2"/>
  </protectedRanges>
  <mergeCells count="66">
    <mergeCell ref="A12:A13"/>
    <mergeCell ref="B12:B13"/>
    <mergeCell ref="C12:C13"/>
    <mergeCell ref="A14:A15"/>
    <mergeCell ref="B14:B15"/>
    <mergeCell ref="C14:C15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6:AQ17"/>
    <mergeCell ref="AR16:AR17"/>
    <mergeCell ref="AS16:AS17"/>
    <mergeCell ref="AL12:AL13"/>
    <mergeCell ref="AM12:AM13"/>
    <mergeCell ref="AN12:AN13"/>
    <mergeCell ref="AO12:AO13"/>
    <mergeCell ref="AP12:AP13"/>
    <mergeCell ref="AR12:AR13"/>
    <mergeCell ref="AS12:AS13"/>
    <mergeCell ref="AL16:AL17"/>
    <mergeCell ref="AM16:AM17"/>
    <mergeCell ref="AN16:AN17"/>
    <mergeCell ref="AO16:AO17"/>
    <mergeCell ref="AP16:AP17"/>
    <mergeCell ref="AO14:AO15"/>
    <mergeCell ref="A16:A17"/>
    <mergeCell ref="B16:B17"/>
    <mergeCell ref="C16:C17"/>
    <mergeCell ref="D16:D17"/>
    <mergeCell ref="AK16:AK17"/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</mergeCells>
  <conditionalFormatting sqref="F5:AJ6 F9:AJ10 F12:AJ17">
    <cfRule type="expression" dxfId="2" priority="43" stopIfTrue="1">
      <formula>IF(WEEKDAY(F$5)=1,TRUE,FALSE)</formula>
    </cfRule>
  </conditionalFormatting>
  <conditionalFormatting sqref="F9:AJ10">
    <cfRule type="expression" dxfId="1" priority="42" stopIfTrue="1">
      <formula>IF(WEEKDAY(F$5)=1,TRUE,FALSE)</formula>
    </cfRule>
  </conditionalFormatting>
  <conditionalFormatting sqref="F12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5" sqref="B15: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26"/>
      <c r="B1" s="201"/>
      <c r="C1" s="201"/>
      <c r="D1" s="266" t="str">
        <f>"BẢNG THANH TOÁN LƯƠNG THÁNG"&amp;" "&amp;TEXT($E$4,"mm")&amp;" / "&amp;TEXT($E$4,"yyyy")</f>
        <v>BẢNG THANH TOÁN LƯƠNG THÁNG 12 / 2017</v>
      </c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7"/>
      <c r="R1" s="268" t="s">
        <v>80</v>
      </c>
      <c r="S1" s="269"/>
      <c r="T1" s="270"/>
      <c r="U1" s="117" t="s">
        <v>51</v>
      </c>
      <c r="V1" s="97" t="s">
        <v>33</v>
      </c>
      <c r="W1" s="70"/>
      <c r="X1" s="70"/>
      <c r="Y1" s="5"/>
      <c r="Z1" s="5"/>
    </row>
    <row r="2" spans="1:31" s="4" customFormat="1" ht="15" customHeight="1">
      <c r="A2" s="126"/>
      <c r="B2" s="201"/>
      <c r="C2" s="201"/>
      <c r="D2" s="201"/>
      <c r="E2" s="68"/>
      <c r="F2" s="201"/>
      <c r="G2" s="201"/>
      <c r="H2" s="201"/>
      <c r="I2" s="201"/>
      <c r="J2" s="69"/>
      <c r="K2" s="201"/>
      <c r="L2" s="201"/>
      <c r="M2" s="201"/>
      <c r="N2" s="201"/>
      <c r="O2" s="201"/>
      <c r="P2" s="201"/>
      <c r="Q2" s="201"/>
      <c r="R2" s="201"/>
      <c r="S2" s="201"/>
      <c r="T2" s="46"/>
      <c r="U2" s="67">
        <f>MAX(F10:F18)</f>
        <v>26</v>
      </c>
      <c r="V2" s="98">
        <v>31</v>
      </c>
      <c r="W2" s="70"/>
      <c r="X2" s="70"/>
      <c r="Y2" s="5"/>
      <c r="Z2" s="5"/>
    </row>
    <row r="3" spans="1:31" s="4" customFormat="1" ht="15" customHeight="1">
      <c r="A3" s="126"/>
      <c r="B3" s="201"/>
      <c r="C3" s="201"/>
      <c r="D3" s="201"/>
      <c r="E3" s="68"/>
      <c r="F3" s="201"/>
      <c r="G3" s="201"/>
      <c r="H3" s="201"/>
      <c r="I3" s="201"/>
      <c r="J3" s="69"/>
      <c r="K3" s="201"/>
      <c r="L3" s="201"/>
      <c r="M3" s="201"/>
      <c r="N3" s="201"/>
      <c r="O3" s="201"/>
      <c r="P3" s="201"/>
      <c r="Q3" s="201"/>
      <c r="R3" s="201"/>
      <c r="S3" s="201"/>
      <c r="T3" s="46"/>
      <c r="U3" s="118"/>
      <c r="V3" s="119"/>
      <c r="W3" s="70"/>
      <c r="X3" s="70"/>
      <c r="Y3" s="5"/>
      <c r="Z3" s="5"/>
    </row>
    <row r="4" spans="1:31" s="92" customFormat="1" ht="14.25" customHeight="1">
      <c r="A4" s="90"/>
      <c r="B4" s="91"/>
      <c r="C4" s="91"/>
      <c r="D4" s="91"/>
      <c r="E4" s="175">
        <f>'CC -12'!$E$4</f>
        <v>43070</v>
      </c>
      <c r="F4" s="91"/>
      <c r="G4" s="91"/>
      <c r="H4" s="91"/>
      <c r="I4" s="91"/>
      <c r="J4" s="91"/>
      <c r="K4" s="91"/>
      <c r="L4" s="91"/>
      <c r="M4" s="91"/>
      <c r="N4" s="148">
        <v>0.08</v>
      </c>
      <c r="O4" s="148">
        <v>1.4999999999999999E-2</v>
      </c>
      <c r="P4" s="148">
        <v>0.01</v>
      </c>
      <c r="Q4" s="91"/>
      <c r="R4" s="91"/>
      <c r="S4" s="91"/>
      <c r="T4" s="91"/>
      <c r="U4" s="91"/>
      <c r="V4" s="93"/>
      <c r="W4" s="93"/>
      <c r="X4" s="93"/>
      <c r="Y4" s="93"/>
      <c r="Z4" s="93"/>
    </row>
    <row r="5" spans="1:31" s="21" customFormat="1" ht="24" customHeight="1">
      <c r="A5" s="271" t="s">
        <v>19</v>
      </c>
      <c r="B5" s="271" t="s">
        <v>20</v>
      </c>
      <c r="C5" s="233" t="s">
        <v>1</v>
      </c>
      <c r="D5" s="233" t="s">
        <v>2</v>
      </c>
      <c r="E5" s="236" t="s">
        <v>49</v>
      </c>
      <c r="F5" s="274" t="s">
        <v>24</v>
      </c>
      <c r="G5" s="275"/>
      <c r="H5" s="275"/>
      <c r="I5" s="275"/>
      <c r="J5" s="275"/>
      <c r="K5" s="276"/>
      <c r="L5" s="273" t="s">
        <v>50</v>
      </c>
      <c r="M5" s="273" t="s">
        <v>5</v>
      </c>
      <c r="N5" s="233" t="s">
        <v>6</v>
      </c>
      <c r="O5" s="233"/>
      <c r="P5" s="233"/>
      <c r="Q5" s="273" t="s">
        <v>7</v>
      </c>
      <c r="R5" s="273" t="s">
        <v>8</v>
      </c>
      <c r="S5" s="273" t="s">
        <v>9</v>
      </c>
      <c r="T5" s="234" t="s">
        <v>10</v>
      </c>
      <c r="U5" s="91"/>
      <c r="V5" s="22"/>
      <c r="W5" s="22"/>
      <c r="X5" s="5"/>
      <c r="Y5" s="5"/>
      <c r="Z5" s="5"/>
      <c r="AA5" s="4"/>
      <c r="AB5" s="4"/>
      <c r="AC5" s="4"/>
      <c r="AD5" s="4"/>
      <c r="AE5" s="4"/>
    </row>
    <row r="6" spans="1:31" s="21" customFormat="1" ht="33.75" customHeight="1">
      <c r="A6" s="272"/>
      <c r="B6" s="272"/>
      <c r="C6" s="233"/>
      <c r="D6" s="233"/>
      <c r="E6" s="236"/>
      <c r="F6" s="274" t="s">
        <v>52</v>
      </c>
      <c r="G6" s="276"/>
      <c r="H6" s="274" t="s">
        <v>71</v>
      </c>
      <c r="I6" s="275"/>
      <c r="J6" s="279" t="s">
        <v>25</v>
      </c>
      <c r="K6" s="273" t="s">
        <v>4</v>
      </c>
      <c r="L6" s="277"/>
      <c r="M6" s="277"/>
      <c r="N6" s="281" t="s">
        <v>12</v>
      </c>
      <c r="O6" s="273" t="s">
        <v>13</v>
      </c>
      <c r="P6" s="273" t="s">
        <v>31</v>
      </c>
      <c r="Q6" s="277"/>
      <c r="R6" s="277"/>
      <c r="S6" s="277"/>
      <c r="T6" s="235"/>
      <c r="U6" s="91"/>
      <c r="V6" s="22"/>
      <c r="W6" s="22"/>
      <c r="X6" s="5"/>
      <c r="Y6" s="5"/>
      <c r="Z6" s="5"/>
      <c r="AA6" s="4"/>
      <c r="AB6" s="4"/>
      <c r="AC6" s="4"/>
      <c r="AD6" s="4"/>
      <c r="AE6" s="4"/>
    </row>
    <row r="7" spans="1:31" s="21" customFormat="1" ht="35.25" customHeight="1">
      <c r="A7" s="272"/>
      <c r="B7" s="272"/>
      <c r="C7" s="273"/>
      <c r="D7" s="273"/>
      <c r="E7" s="236"/>
      <c r="F7" s="202" t="s">
        <v>34</v>
      </c>
      <c r="G7" s="199" t="s">
        <v>18</v>
      </c>
      <c r="H7" s="202" t="s">
        <v>34</v>
      </c>
      <c r="I7" s="115" t="s">
        <v>18</v>
      </c>
      <c r="J7" s="280"/>
      <c r="K7" s="277"/>
      <c r="L7" s="278"/>
      <c r="M7" s="278"/>
      <c r="N7" s="282"/>
      <c r="O7" s="277"/>
      <c r="P7" s="277"/>
      <c r="Q7" s="277"/>
      <c r="R7" s="277"/>
      <c r="S7" s="277"/>
      <c r="T7" s="235"/>
      <c r="U7" s="91"/>
      <c r="V7" s="22"/>
      <c r="W7" s="22"/>
      <c r="X7" s="5"/>
      <c r="Y7" s="5"/>
      <c r="Z7" s="5"/>
      <c r="AA7" s="4"/>
      <c r="AB7" s="4"/>
      <c r="AC7" s="4"/>
      <c r="AD7" s="4"/>
      <c r="AE7" s="4"/>
    </row>
    <row r="8" spans="1:31" s="72" customFormat="1" ht="12.75" customHeight="1">
      <c r="A8" s="71">
        <v>1</v>
      </c>
      <c r="B8" s="71">
        <v>1</v>
      </c>
      <c r="C8" s="71">
        <v>2</v>
      </c>
      <c r="D8" s="71">
        <v>3</v>
      </c>
      <c r="E8" s="71">
        <v>4</v>
      </c>
      <c r="F8" s="71">
        <v>5</v>
      </c>
      <c r="G8" s="71">
        <v>6</v>
      </c>
      <c r="H8" s="71">
        <v>7</v>
      </c>
      <c r="I8" s="71">
        <v>8</v>
      </c>
      <c r="J8" s="71">
        <v>9</v>
      </c>
      <c r="K8" s="71">
        <v>10</v>
      </c>
      <c r="L8" s="71">
        <v>11</v>
      </c>
      <c r="M8" s="71">
        <v>12</v>
      </c>
      <c r="N8" s="71">
        <v>13</v>
      </c>
      <c r="O8" s="71">
        <v>14</v>
      </c>
      <c r="P8" s="71">
        <v>15</v>
      </c>
      <c r="Q8" s="71">
        <v>16</v>
      </c>
      <c r="R8" s="71">
        <v>17</v>
      </c>
      <c r="S8" s="71">
        <v>18</v>
      </c>
      <c r="T8" s="71">
        <v>19</v>
      </c>
      <c r="U8" s="91"/>
      <c r="V8" s="73"/>
      <c r="W8" s="73"/>
      <c r="X8" s="74"/>
      <c r="Y8" s="74"/>
      <c r="Z8" s="74"/>
      <c r="AA8" s="75"/>
      <c r="AB8" s="75"/>
      <c r="AC8" s="75"/>
      <c r="AD8" s="75"/>
      <c r="AE8" s="75"/>
    </row>
    <row r="9" spans="1:31" s="72" customFormat="1" ht="24" customHeight="1">
      <c r="A9" s="174" t="s">
        <v>68</v>
      </c>
      <c r="B9" s="173" t="s">
        <v>81</v>
      </c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91"/>
      <c r="V9" s="73"/>
      <c r="W9" s="73"/>
      <c r="X9" s="74"/>
      <c r="Y9" s="74"/>
      <c r="Z9" s="74"/>
      <c r="AA9" s="75"/>
      <c r="AB9" s="75"/>
      <c r="AC9" s="75"/>
      <c r="AD9" s="75"/>
      <c r="AE9" s="75"/>
    </row>
    <row r="10" spans="1:31" s="29" customFormat="1" ht="24" customHeight="1">
      <c r="A10" s="31">
        <v>1</v>
      </c>
      <c r="B10" s="128" t="s">
        <v>74</v>
      </c>
      <c r="C10" s="76" t="str">
        <f t="shared" ref="C10" si="0">VLOOKUP(B10,DS,2,0)</f>
        <v>Lê Kim Ngọc Thảo</v>
      </c>
      <c r="D10" s="103" t="str">
        <f t="shared" ref="D10" si="1">VLOOKUP(B10,DS,3,0)</f>
        <v>Văn Phòng</v>
      </c>
      <c r="E10" s="77">
        <f t="shared" ref="E10" si="2">VLOOKUP(B10,DS,4,0)</f>
        <v>5000000</v>
      </c>
      <c r="F10" s="79">
        <f>VLOOKUP(B10,'CC -12'!$B$8:$AS$17,36,0)</f>
        <v>26</v>
      </c>
      <c r="G10" s="132">
        <f t="shared" ref="G10" si="3">ROUND(E10/$U$2*F10,0)</f>
        <v>5000000</v>
      </c>
      <c r="H10" s="79">
        <f>(VLOOKUP(B10,'CC -12'!$B$8:$AS$17,37,0)+VLOOKUP(B10,'CC -12'!$B$8:$AS$17,38,0))</f>
        <v>0</v>
      </c>
      <c r="I10" s="132">
        <f t="shared" ref="I10" si="4">ROUND(E10/$U$2*H10,0)</f>
        <v>0</v>
      </c>
      <c r="J10" s="80">
        <f t="shared" ref="J10" si="5">F10+H10</f>
        <v>26</v>
      </c>
      <c r="K10" s="32">
        <f>G10+I10</f>
        <v>5000000</v>
      </c>
      <c r="L10" s="77">
        <f t="shared" ref="L10" si="6">+F10*15000</f>
        <v>390000</v>
      </c>
      <c r="M10" s="33">
        <f t="shared" ref="M10" si="7">K10+L10</f>
        <v>5390000</v>
      </c>
      <c r="N10" s="33">
        <f>IF(VLOOKUP($B10,DS,31,0)="x",$E10*N$4,0)</f>
        <v>0</v>
      </c>
      <c r="O10" s="33">
        <f>IF(VLOOKUP($B10,DS,31,0)="x",$E10*O$4,0)</f>
        <v>0</v>
      </c>
      <c r="P10" s="33">
        <f>IF(VLOOKUP($B10,DS,31,0)="x",$E10*P$4,0)</f>
        <v>0</v>
      </c>
      <c r="Q10" s="32">
        <f t="shared" ref="Q10" si="8">M10-SUM(N10:P10)</f>
        <v>5390000</v>
      </c>
      <c r="R10" s="32">
        <f>VLOOKUP(B10,DS,23,0)</f>
        <v>0</v>
      </c>
      <c r="S10" s="38">
        <f t="shared" ref="S10" si="9">Q10-R10</f>
        <v>5390000</v>
      </c>
      <c r="T10" s="32"/>
      <c r="U10" s="91"/>
      <c r="V10" s="30"/>
      <c r="W10" s="22"/>
      <c r="X10" s="5"/>
      <c r="Y10" s="5"/>
      <c r="Z10" s="5"/>
      <c r="AA10" s="4"/>
      <c r="AB10" s="4"/>
      <c r="AC10" s="4"/>
      <c r="AD10" s="4"/>
      <c r="AE10" s="4"/>
    </row>
    <row r="11" spans="1:31" s="29" customFormat="1" ht="24" customHeight="1">
      <c r="A11" s="187"/>
      <c r="B11" s="188"/>
      <c r="C11" s="189"/>
      <c r="D11" s="190"/>
      <c r="E11" s="191"/>
      <c r="F11" s="192"/>
      <c r="G11" s="193"/>
      <c r="H11" s="192"/>
      <c r="I11" s="193"/>
      <c r="J11" s="194"/>
      <c r="K11" s="195"/>
      <c r="L11" s="191"/>
      <c r="M11" s="196"/>
      <c r="N11" s="196"/>
      <c r="O11" s="196"/>
      <c r="P11" s="196"/>
      <c r="Q11" s="195"/>
      <c r="R11" s="195"/>
      <c r="S11" s="197"/>
      <c r="T11" s="195"/>
      <c r="U11" s="91"/>
      <c r="V11" s="30"/>
      <c r="W11" s="22"/>
      <c r="X11" s="5"/>
      <c r="Y11" s="5"/>
      <c r="Z11" s="5"/>
      <c r="AA11" s="4"/>
      <c r="AB11" s="4"/>
      <c r="AC11" s="4"/>
      <c r="AD11" s="4"/>
      <c r="AE11" s="4"/>
    </row>
    <row r="12" spans="1:31" s="25" customFormat="1" ht="21" customHeight="1">
      <c r="A12" s="222" t="s">
        <v>23</v>
      </c>
      <c r="B12" s="223"/>
      <c r="C12" s="223"/>
      <c r="D12" s="224"/>
      <c r="E12" s="127">
        <f>SUM(E9:E11)</f>
        <v>5000000</v>
      </c>
      <c r="F12" s="127"/>
      <c r="G12" s="127">
        <f>SUM(G9:G11)</f>
        <v>5000000</v>
      </c>
      <c r="H12" s="127"/>
      <c r="I12" s="127">
        <f>SUM(I9:I11)</f>
        <v>0</v>
      </c>
      <c r="J12" s="127"/>
      <c r="K12" s="127">
        <f t="shared" ref="K12:S12" si="10">SUM(K9:K11)</f>
        <v>5000000</v>
      </c>
      <c r="L12" s="127">
        <f t="shared" si="10"/>
        <v>390000</v>
      </c>
      <c r="M12" s="127">
        <f t="shared" si="10"/>
        <v>5390000</v>
      </c>
      <c r="N12" s="127">
        <f t="shared" si="10"/>
        <v>0</v>
      </c>
      <c r="O12" s="127">
        <f t="shared" si="10"/>
        <v>0</v>
      </c>
      <c r="P12" s="127">
        <f t="shared" si="10"/>
        <v>0</v>
      </c>
      <c r="Q12" s="127">
        <f t="shared" si="10"/>
        <v>5390000</v>
      </c>
      <c r="R12" s="127">
        <f t="shared" si="10"/>
        <v>0</v>
      </c>
      <c r="S12" s="127">
        <f t="shared" si="10"/>
        <v>5390000</v>
      </c>
      <c r="T12" s="20"/>
      <c r="U12" s="91"/>
      <c r="V12" s="26"/>
      <c r="W12" s="26"/>
      <c r="X12" s="26"/>
      <c r="Y12" s="26"/>
      <c r="Z12" s="26"/>
    </row>
    <row r="13" spans="1:31" s="72" customFormat="1" ht="24" customHeight="1">
      <c r="A13" s="174" t="s">
        <v>69</v>
      </c>
      <c r="B13" s="173" t="s">
        <v>70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91"/>
      <c r="V13" s="73"/>
      <c r="W13" s="73"/>
      <c r="X13" s="74"/>
      <c r="Y13" s="74"/>
      <c r="Z13" s="74"/>
      <c r="AA13" s="75"/>
      <c r="AB13" s="75"/>
      <c r="AC13" s="75"/>
      <c r="AD13" s="75"/>
      <c r="AE13" s="75"/>
    </row>
    <row r="14" spans="1:31" s="29" customFormat="1" ht="24" customHeight="1">
      <c r="A14" s="31">
        <v>1</v>
      </c>
      <c r="B14" s="128" t="s">
        <v>75</v>
      </c>
      <c r="C14" s="76" t="str">
        <f t="shared" ref="C14:C16" si="11">VLOOKUP(B14,DS,2,0)</f>
        <v>Bùi Trường Giang</v>
      </c>
      <c r="D14" s="103" t="str">
        <f t="shared" ref="D14:D16" si="12">VLOOKUP(B14,DS,3,0)</f>
        <v>Thợ in</v>
      </c>
      <c r="E14" s="77">
        <f t="shared" ref="E14:E16" si="13">VLOOKUP(B14,DS,4,0)</f>
        <v>5000000</v>
      </c>
      <c r="F14" s="79">
        <f>VLOOKUP(B14,'CC -12'!$B$8:$AS$17,36,0)</f>
        <v>26</v>
      </c>
      <c r="G14" s="132">
        <f t="shared" ref="G14:G16" si="14">ROUND(E14/$U$2*F14,0)</f>
        <v>5000000</v>
      </c>
      <c r="H14" s="79">
        <f>(VLOOKUP(B14,'CC -12'!$B$8:$AS$17,37,0)+VLOOKUP(B14,'CC -12'!$B$8:$AS$17,38,0))</f>
        <v>0</v>
      </c>
      <c r="I14" s="132">
        <f t="shared" ref="I14:I16" si="15">ROUND(E14/$U$2*H14,0)</f>
        <v>0</v>
      </c>
      <c r="J14" s="133">
        <f t="shared" ref="J14:K16" si="16">F14+H14</f>
        <v>26</v>
      </c>
      <c r="K14" s="32">
        <f t="shared" si="16"/>
        <v>5000000</v>
      </c>
      <c r="L14" s="77">
        <f t="shared" ref="L14:L16" si="17">+F14*15000</f>
        <v>390000</v>
      </c>
      <c r="M14" s="33">
        <f t="shared" ref="M14:M16" si="18">K14+L14</f>
        <v>5390000</v>
      </c>
      <c r="N14" s="33">
        <f t="shared" ref="N14:P16" si="19">IF(VLOOKUP($B14,DS,31,0)="x",$E14*N$4,0)</f>
        <v>0</v>
      </c>
      <c r="O14" s="33">
        <f t="shared" si="19"/>
        <v>0</v>
      </c>
      <c r="P14" s="33">
        <f t="shared" si="19"/>
        <v>0</v>
      </c>
      <c r="Q14" s="32">
        <f>M14-SUM(N14:P14)</f>
        <v>5390000</v>
      </c>
      <c r="R14" s="32">
        <f t="shared" ref="R14:R16" si="20">VLOOKUP(B14,DS,23,0)</f>
        <v>0</v>
      </c>
      <c r="S14" s="38">
        <f>Q14-R14</f>
        <v>5390000</v>
      </c>
      <c r="T14" s="32"/>
      <c r="U14" s="91"/>
      <c r="V14" s="30"/>
      <c r="W14" s="22"/>
      <c r="X14" s="5"/>
      <c r="Y14" s="5"/>
      <c r="Z14" s="5"/>
      <c r="AA14" s="4"/>
      <c r="AB14" s="4"/>
      <c r="AC14" s="4"/>
      <c r="AD14" s="4"/>
      <c r="AE14" s="4"/>
    </row>
    <row r="15" spans="1:31" s="29" customFormat="1" ht="24" customHeight="1">
      <c r="A15" s="31">
        <v>2</v>
      </c>
      <c r="B15" s="128" t="s">
        <v>76</v>
      </c>
      <c r="C15" s="76" t="str">
        <f t="shared" ref="C15" si="21">VLOOKUP(B15,DS,2,0)</f>
        <v>Lê Văn Hữu</v>
      </c>
      <c r="D15" s="103" t="str">
        <f t="shared" ref="D15" si="22">VLOOKUP(B15,DS,3,0)</f>
        <v>Công Đoạn 2</v>
      </c>
      <c r="E15" s="77">
        <f t="shared" ref="E15" si="23">VLOOKUP(B15,DS,4,0)</f>
        <v>5000000</v>
      </c>
      <c r="F15" s="79">
        <f>VLOOKUP(B15,'CC -12'!$B$8:$AS$17,36,0)</f>
        <v>26</v>
      </c>
      <c r="G15" s="132">
        <f t="shared" ref="G15" si="24">ROUND(E15/$U$2*F15,0)</f>
        <v>5000000</v>
      </c>
      <c r="H15" s="79">
        <f>(VLOOKUP(B15,'CC -12'!$B$8:$AS$17,37,0)+VLOOKUP(B15,'CC -12'!$B$8:$AS$17,38,0))</f>
        <v>0</v>
      </c>
      <c r="I15" s="132">
        <f t="shared" ref="I15" si="25">ROUND(E15/$U$2*H15,0)</f>
        <v>0</v>
      </c>
      <c r="J15" s="133">
        <f t="shared" ref="J15" si="26">F15+H15</f>
        <v>26</v>
      </c>
      <c r="K15" s="32">
        <f t="shared" ref="K15" si="27">G15+I15</f>
        <v>5000000</v>
      </c>
      <c r="L15" s="77">
        <f t="shared" ref="L15" si="28">+F15*15000</f>
        <v>390000</v>
      </c>
      <c r="M15" s="33">
        <f t="shared" ref="M15" si="29">K15+L15</f>
        <v>5390000</v>
      </c>
      <c r="N15" s="33">
        <f t="shared" si="19"/>
        <v>0</v>
      </c>
      <c r="O15" s="33">
        <f t="shared" si="19"/>
        <v>0</v>
      </c>
      <c r="P15" s="33">
        <f t="shared" si="19"/>
        <v>0</v>
      </c>
      <c r="Q15" s="32">
        <f t="shared" ref="Q15" si="30">M15-SUM(N15:P15)</f>
        <v>5390000</v>
      </c>
      <c r="R15" s="32">
        <f t="shared" ref="R15" si="31">VLOOKUP(B15,DS,23,0)</f>
        <v>0</v>
      </c>
      <c r="S15" s="38">
        <f t="shared" ref="S15" si="32">Q15-R15</f>
        <v>5390000</v>
      </c>
      <c r="T15" s="32"/>
      <c r="U15" s="91"/>
      <c r="V15" s="30"/>
      <c r="W15" s="22"/>
      <c r="X15" s="5"/>
      <c r="Y15" s="5"/>
      <c r="Z15" s="5"/>
      <c r="AA15" s="4"/>
      <c r="AB15" s="4"/>
      <c r="AC15" s="4"/>
      <c r="AD15" s="4"/>
      <c r="AE15" s="4"/>
    </row>
    <row r="16" spans="1:31" s="29" customFormat="1" ht="24" customHeight="1">
      <c r="A16" s="31">
        <v>3</v>
      </c>
      <c r="B16" s="128" t="s">
        <v>77</v>
      </c>
      <c r="C16" s="76" t="str">
        <f t="shared" si="11"/>
        <v>Phan Thị Sương</v>
      </c>
      <c r="D16" s="103" t="str">
        <f t="shared" si="12"/>
        <v>Công Đoạn 1</v>
      </c>
      <c r="E16" s="77">
        <f t="shared" si="13"/>
        <v>3000000</v>
      </c>
      <c r="F16" s="79">
        <f>VLOOKUP(B16,'CC -12'!$B$8:$AS$17,36,0)</f>
        <v>26</v>
      </c>
      <c r="G16" s="132">
        <f t="shared" si="14"/>
        <v>3000000</v>
      </c>
      <c r="H16" s="79">
        <f>(VLOOKUP(B16,'CC -12'!$B$8:$AS$17,37,0)+VLOOKUP(B16,'CC -12'!$B$8:$AS$17,38,0))</f>
        <v>0</v>
      </c>
      <c r="I16" s="132">
        <f t="shared" si="15"/>
        <v>0</v>
      </c>
      <c r="J16" s="133">
        <f t="shared" si="16"/>
        <v>26</v>
      </c>
      <c r="K16" s="32">
        <f t="shared" si="16"/>
        <v>3000000</v>
      </c>
      <c r="L16" s="77">
        <f t="shared" si="17"/>
        <v>390000</v>
      </c>
      <c r="M16" s="33">
        <f t="shared" si="18"/>
        <v>3390000</v>
      </c>
      <c r="N16" s="33">
        <f t="shared" si="19"/>
        <v>0</v>
      </c>
      <c r="O16" s="33">
        <f t="shared" si="19"/>
        <v>0</v>
      </c>
      <c r="P16" s="33">
        <f t="shared" si="19"/>
        <v>0</v>
      </c>
      <c r="Q16" s="32">
        <f t="shared" ref="Q16" si="33">M16-SUM(N16:P16)</f>
        <v>3390000</v>
      </c>
      <c r="R16" s="32">
        <f t="shared" si="20"/>
        <v>0</v>
      </c>
      <c r="S16" s="38">
        <f t="shared" ref="S16" si="34">Q16-R16</f>
        <v>3390000</v>
      </c>
      <c r="T16" s="32"/>
      <c r="U16" s="91"/>
      <c r="V16" s="30"/>
      <c r="W16" s="22"/>
      <c r="X16" s="5"/>
      <c r="Y16" s="5"/>
      <c r="Z16" s="5"/>
      <c r="AA16" s="4"/>
      <c r="AB16" s="4"/>
      <c r="AC16" s="4"/>
      <c r="AD16" s="4"/>
      <c r="AE16" s="4"/>
    </row>
    <row r="17" spans="1:26" s="29" customFormat="1" ht="22.5" customHeight="1">
      <c r="A17" s="34"/>
      <c r="B17" s="171"/>
      <c r="C17" s="35"/>
      <c r="D17" s="3"/>
      <c r="E17" s="36"/>
      <c r="F17" s="36"/>
      <c r="G17" s="36"/>
      <c r="H17" s="36"/>
      <c r="I17" s="36"/>
      <c r="J17" s="37"/>
      <c r="K17" s="36"/>
      <c r="L17" s="36"/>
      <c r="M17" s="170"/>
      <c r="N17" s="36"/>
      <c r="O17" s="36"/>
      <c r="P17" s="36"/>
      <c r="Q17" s="36"/>
      <c r="R17" s="36"/>
      <c r="S17" s="36"/>
      <c r="T17" s="32"/>
      <c r="U17" s="91"/>
      <c r="V17" s="30"/>
      <c r="W17" s="30"/>
      <c r="X17" s="30"/>
      <c r="Y17" s="30"/>
      <c r="Z17" s="30"/>
    </row>
    <row r="18" spans="1:26" s="25" customFormat="1" ht="21" customHeight="1">
      <c r="A18" s="222" t="s">
        <v>23</v>
      </c>
      <c r="B18" s="223"/>
      <c r="C18" s="223"/>
      <c r="D18" s="224"/>
      <c r="E18" s="127">
        <f>SUM(E13:E17)</f>
        <v>13000000</v>
      </c>
      <c r="F18" s="127"/>
      <c r="G18" s="127">
        <f>SUM(G13:G17)</f>
        <v>13000000</v>
      </c>
      <c r="H18" s="127"/>
      <c r="I18" s="127">
        <f>SUM(I13:I17)</f>
        <v>0</v>
      </c>
      <c r="J18" s="127"/>
      <c r="K18" s="127">
        <f t="shared" ref="K18:S18" si="35">SUM(K13:K17)</f>
        <v>13000000</v>
      </c>
      <c r="L18" s="127">
        <f t="shared" si="35"/>
        <v>1170000</v>
      </c>
      <c r="M18" s="127">
        <f t="shared" si="35"/>
        <v>14170000</v>
      </c>
      <c r="N18" s="127">
        <f t="shared" si="35"/>
        <v>0</v>
      </c>
      <c r="O18" s="127">
        <f t="shared" si="35"/>
        <v>0</v>
      </c>
      <c r="P18" s="127">
        <f t="shared" si="35"/>
        <v>0</v>
      </c>
      <c r="Q18" s="127">
        <f t="shared" si="35"/>
        <v>14170000</v>
      </c>
      <c r="R18" s="127">
        <f t="shared" si="35"/>
        <v>0</v>
      </c>
      <c r="S18" s="127">
        <f t="shared" si="35"/>
        <v>14170000</v>
      </c>
      <c r="T18" s="20"/>
      <c r="U18" s="91"/>
      <c r="V18" s="26"/>
      <c r="W18" s="26"/>
      <c r="X18" s="26"/>
      <c r="Y18" s="26"/>
      <c r="Z18" s="26"/>
    </row>
    <row r="19" spans="1:26" ht="11.25" customHeight="1">
      <c r="A19" s="8"/>
      <c r="B19" s="8"/>
      <c r="C19" s="9"/>
      <c r="D19" s="104"/>
      <c r="E19" s="81"/>
      <c r="F19" s="9"/>
      <c r="G19" s="9"/>
      <c r="H19" s="9"/>
      <c r="I19" s="9"/>
      <c r="K19" s="9"/>
      <c r="L19" s="9"/>
      <c r="M19" s="89"/>
      <c r="N19" s="9"/>
      <c r="O19" s="9"/>
      <c r="P19" s="9"/>
      <c r="Q19" s="9"/>
      <c r="R19" s="9"/>
      <c r="S19" s="9"/>
      <c r="T19" s="9"/>
      <c r="U19" s="91"/>
    </row>
    <row r="20" spans="1:26" s="29" customFormat="1" ht="11.25" customHeight="1">
      <c r="A20" s="65"/>
      <c r="B20" s="65"/>
      <c r="C20" s="65"/>
      <c r="D20" s="120"/>
      <c r="E20" s="121"/>
      <c r="F20" s="65"/>
      <c r="G20" s="65"/>
      <c r="H20" s="65"/>
      <c r="I20" s="65"/>
      <c r="J20" s="122"/>
      <c r="K20" s="121"/>
      <c r="L20" s="65"/>
      <c r="M20" s="65"/>
      <c r="N20" s="65"/>
      <c r="O20" s="65"/>
      <c r="P20" s="65"/>
      <c r="Q20" s="65"/>
      <c r="R20" s="65"/>
      <c r="S20" s="95" t="str">
        <f>"Bình Chánh, ngày  "&amp;$V$2&amp;"   tháng   "&amp;TEXT($E$4,"mm")&amp;"   năm "&amp;TEXT($E$4,"yyyy")</f>
        <v>Bình Chánh, ngày  31   tháng   12   năm 2017</v>
      </c>
      <c r="T20" s="65"/>
      <c r="U20" s="123"/>
      <c r="V20" s="30"/>
      <c r="W20" s="30"/>
      <c r="X20" s="30"/>
      <c r="Y20" s="30"/>
      <c r="Z20" s="30"/>
    </row>
    <row r="21" spans="1:26" s="29" customFormat="1" ht="12.75">
      <c r="A21" s="23"/>
      <c r="B21" s="23"/>
      <c r="C21" s="23" t="s">
        <v>53</v>
      </c>
      <c r="D21" s="124"/>
      <c r="E21" s="66"/>
      <c r="F21" s="123"/>
      <c r="G21" s="66"/>
      <c r="H21" s="66"/>
      <c r="I21" s="66"/>
      <c r="J21" s="125"/>
      <c r="K21" s="30"/>
      <c r="L21" s="23"/>
      <c r="M21" s="134"/>
      <c r="N21" s="19"/>
      <c r="O21" s="19"/>
      <c r="P21" s="19"/>
      <c r="Q21" s="19"/>
      <c r="S21" s="123" t="s">
        <v>21</v>
      </c>
      <c r="T21" s="123"/>
      <c r="U21" s="123"/>
      <c r="V21" s="30"/>
      <c r="W21" s="30"/>
      <c r="X21" s="30"/>
      <c r="Y21" s="30"/>
      <c r="Z21" s="30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91"/>
    </row>
    <row r="23" spans="1:26" ht="12">
      <c r="C23" s="15"/>
      <c r="L23" s="15"/>
      <c r="T23" s="15"/>
      <c r="U23" s="91"/>
    </row>
    <row r="24" spans="1:26" ht="12">
      <c r="U24" s="91"/>
    </row>
    <row r="25" spans="1:26" ht="12">
      <c r="U25" s="91"/>
    </row>
    <row r="26" spans="1:26" ht="12">
      <c r="U26" s="91"/>
    </row>
    <row r="27" spans="1:26" ht="12">
      <c r="U27" s="91"/>
    </row>
    <row r="28" spans="1:26" ht="12">
      <c r="U28" s="91"/>
    </row>
    <row r="29" spans="1:26" ht="12">
      <c r="U29" s="91"/>
    </row>
  </sheetData>
  <protectedRanges>
    <protectedRange password="CC78" sqref="V17:IK18 C5:D7 B21:C21 V5:W9 A17:A22 B17:B20 B22 V13:W13 Q5:T7 E5:I6 D18 N5:P6 L5 L21 J6:K7 L7 A24:T57 U30:U57 N17:S17 V24:IK57 J17:L17 A58:IK65325 AF13:IK13 V12:IK12 D12 Q10:S11 AF5:IK11 W10:W11 A10:B12" name="Range1"/>
    <protectedRange password="CC78" sqref="F7:H7" name="Range1_4"/>
    <protectedRange password="CC78" sqref="V21:IK22 S21:T22 N21:Q22 E21:I22" name="Range1_1_1"/>
    <protectedRange password="CC78" sqref="U1 W1:IK3 V4:IK4 B4:T4 R2:S3 B1:Q3 U17:U29 X13:AE13 X5:AE11 U4:U13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4:IK16 Q14:S16 W14:W16 A14:B16" name="Range1_5"/>
    <protectedRange password="CC78" sqref="X14:AE16 U14:U16" name="Range1_2_3"/>
    <protectedRange password="CC78" sqref="V14:V16" name="Range1_1_3"/>
    <protectedRange password="CC78" sqref="K10:K11 K14:K16" name="Range1_6"/>
    <protectedRange password="CC78" sqref="A2:A3" name="Range1_2_1_3"/>
    <protectedRange password="CC78" sqref="E12:T12" name="Range1_3"/>
    <protectedRange password="CC78" sqref="E18:T18" name="Range1_7"/>
    <protectedRange password="CC78" sqref="U2" name="Range1_2_2_1_1"/>
  </protectedRanges>
  <autoFilter ref="A7:AE10"/>
  <mergeCells count="22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User1</cp:lastModifiedBy>
  <cp:lastPrinted>2016-05-23T07:13:11Z</cp:lastPrinted>
  <dcterms:created xsi:type="dcterms:W3CDTF">2011-06-27T04:19:15Z</dcterms:created>
  <dcterms:modified xsi:type="dcterms:W3CDTF">2017-04-01T11:40:08Z</dcterms:modified>
</cp:coreProperties>
</file>