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KDP---KNA\1101819710\2016\"/>
    </mc:Choice>
  </mc:AlternateContent>
  <bookViews>
    <workbookView xWindow="120" yWindow="450" windowWidth="15150" windowHeight="8340" tabRatio="898"/>
  </bookViews>
  <sheets>
    <sheet name="TH" sheetId="15" r:id="rId1"/>
    <sheet name="CC -7" sheetId="35" r:id="rId2"/>
    <sheet name="L - 7" sheetId="36" r:id="rId3"/>
    <sheet name="CC - 8" sheetId="37" r:id="rId4"/>
    <sheet name="L - 8" sheetId="38" r:id="rId5"/>
    <sheet name="CC -9" sheetId="39" r:id="rId6"/>
    <sheet name="L - 9" sheetId="40" r:id="rId7"/>
    <sheet name="CC -10" sheetId="41" r:id="rId8"/>
    <sheet name="L - 10" sheetId="42" r:id="rId9"/>
    <sheet name="CC -11" sheetId="43" r:id="rId10"/>
    <sheet name="L - 11" sheetId="44" r:id="rId11"/>
    <sheet name="CC -12" sheetId="45" r:id="rId12"/>
    <sheet name="L - 12" sheetId="46" r:id="rId13"/>
  </sheets>
  <definedNames>
    <definedName name="____a1" hidden="1">{"'Sheet1'!$L$16"}</definedName>
    <definedName name="_a1" localSheetId="3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" hidden="1">{"'Sheet1'!$L$16"}</definedName>
    <definedName name="_a1" localSheetId="5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3" hidden="1">'CC - 8'!$A$7:$AS$7</definedName>
    <definedName name="_xlnm._FilterDatabase" localSheetId="7" hidden="1">'CC -10'!$A$7:$AS$7</definedName>
    <definedName name="_xlnm._FilterDatabase" localSheetId="9" hidden="1">'CC -11'!$A$7:$AS$7</definedName>
    <definedName name="_xlnm._FilterDatabase" localSheetId="11" hidden="1">'CC -12'!$A$7:$AS$7</definedName>
    <definedName name="_xlnm._FilterDatabase" localSheetId="1" hidden="1">'CC -7'!$A$7:$AS$7</definedName>
    <definedName name="_xlnm._FilterDatabase" localSheetId="5" hidden="1">'CC -9'!$A$7:$AS$7</definedName>
    <definedName name="_xlnm._FilterDatabase" localSheetId="8" hidden="1">'L - 10'!$A$7:$AE$10</definedName>
    <definedName name="_xlnm._FilterDatabase" localSheetId="10" hidden="1">'L - 11'!$A$7:$AE$10</definedName>
    <definedName name="_xlnm._FilterDatabase" localSheetId="12" hidden="1">'L - 12'!$A$7:$AE$10</definedName>
    <definedName name="_xlnm._FilterDatabase" localSheetId="2" hidden="1">'L - 7'!$A$7:$AE$10</definedName>
    <definedName name="_xlnm._FilterDatabase" localSheetId="4" hidden="1">'L - 8'!$A$7:$AE$10</definedName>
    <definedName name="_xlnm._FilterDatabase" localSheetId="6" hidden="1">'L - 9'!$A$7:$AE$10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3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" hidden="1">{#N/A,#N/A,FALSE,"Chi tiÆt"}</definedName>
    <definedName name="dh" localSheetId="5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0" hidden="1">{#N/A,#N/A,FALSE,"Chi tiÆt"}</definedName>
    <definedName name="dh" hidden="1">{#N/A,#N/A,FALSE,"Chi tiÆt"}</definedName>
    <definedName name="DS">TH!$B$10:$AJ$19</definedName>
    <definedName name="DS_01">#REF!</definedName>
    <definedName name="DS_02">#REF!</definedName>
    <definedName name="DS_03">#REF!</definedName>
    <definedName name="DS_04">#REF!</definedName>
    <definedName name="DS_05">#REF!</definedName>
    <definedName name="DS_06">#REF!</definedName>
    <definedName name="DS_07">'L - 7'!$B$9:$T$19</definedName>
    <definedName name="DS_08">'L - 8'!$B$9:$T$19</definedName>
    <definedName name="DS_09">'L - 9'!$B$9:$T$19</definedName>
    <definedName name="DS_10">'L - 10'!$B$9:$T$19</definedName>
    <definedName name="DS_11">'L - 11'!$B$9:$T$19</definedName>
    <definedName name="DS_12">'L - 12'!$B$9:$T$19</definedName>
    <definedName name="GFSAH" localSheetId="3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" hidden="1">{"'Sheet1'!$L$16"}</definedName>
    <definedName name="GFSAH" localSheetId="5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0" hidden="1">{"'Sheet1'!$L$16"}</definedName>
    <definedName name="GFSAH" hidden="1">{"'Sheet1'!$L$16"}</definedName>
    <definedName name="GJFXJXJ" localSheetId="3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" hidden="1">{#N/A,#N/A,FALSE,"Chi tiÆt"}</definedName>
    <definedName name="GJFXJXJ" localSheetId="5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3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" hidden="1">{"'Sheet1'!$L$16"}</definedName>
    <definedName name="h" localSheetId="5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0" hidden="1">{"'Sheet1'!$L$16"}</definedName>
    <definedName name="h" hidden="1">{"'Sheet1'!$L$16"}</definedName>
    <definedName name="hsgdkhog" localSheetId="3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" hidden="1">{#N/A,#N/A,FALSE,"Chi tiÆt"}</definedName>
    <definedName name="hsgdkhog" localSheetId="5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3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" hidden="1">{"'Sheet1'!$L$16"}</definedName>
    <definedName name="HTML_Control" localSheetId="5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3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" hidden="1">{"'Sheet1'!$L$16"}</definedName>
    <definedName name="huy" localSheetId="5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0" hidden="1">{"'Sheet1'!$L$16"}</definedName>
    <definedName name="huy" hidden="1">{"'Sheet1'!$L$16"}</definedName>
    <definedName name="khkl" localSheetId="3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" hidden="1">{"'Sheet1'!$L$16"}</definedName>
    <definedName name="khkl" localSheetId="5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0" hidden="1">{"'Sheet1'!$L$16"}</definedName>
    <definedName name="khkl" hidden="1">{"'Sheet1'!$L$16"}</definedName>
    <definedName name="kjjh" localSheetId="3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" hidden="1">{"'Sheet1'!$L$16"}</definedName>
    <definedName name="kjjh" localSheetId="5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0" hidden="1">{"'Sheet1'!$L$16"}</definedName>
    <definedName name="kjjh" hidden="1">{"'Sheet1'!$L$16"}</definedName>
    <definedName name="KTLDLAN3" localSheetId="3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" hidden="1">{"'Sheet1'!$L$16"}</definedName>
    <definedName name="KTLDLAN3" localSheetId="5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0" hidden="1">{"'Sheet1'!$L$16"}</definedName>
    <definedName name="KTLDLAN3" hidden="1">{"'Sheet1'!$L$16"}</definedName>
    <definedName name="_xlnm.Print_Area" localSheetId="3">'CC - 8'!$A$1:$AS$41</definedName>
    <definedName name="_xlnm.Print_Area" localSheetId="7">'CC -10'!$A$1:$AS$41</definedName>
    <definedName name="_xlnm.Print_Area" localSheetId="9">'CC -11'!$A$1:$AS$41</definedName>
    <definedName name="_xlnm.Print_Area" localSheetId="11">'CC -12'!$A$1:$AS$41</definedName>
    <definedName name="_xlnm.Print_Area" localSheetId="1">'CC -7'!$A$1:$AS$41</definedName>
    <definedName name="_xlnm.Print_Area" localSheetId="5">'CC -9'!$A$1:$AS$41</definedName>
    <definedName name="ưer" localSheetId="3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" hidden="1">{"'Sheet1'!$L$16"}</definedName>
    <definedName name="ưer" localSheetId="5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0" hidden="1">{"'Sheet1'!$L$16"}</definedName>
    <definedName name="ưer" hidden="1">{"'Sheet1'!$L$16"}</definedName>
    <definedName name="UU" localSheetId="3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" hidden="1">{"'Sheet1'!$L$16"}</definedName>
    <definedName name="UU" localSheetId="5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0" hidden="1">{"'Sheet1'!$L$16"}</definedName>
    <definedName name="UU" hidden="1">{"'Sheet1'!$L$16"}</definedName>
    <definedName name="wrn.chi._.tiÆt." localSheetId="3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" hidden="1">{#N/A,#N/A,FALSE,"Chi tiÆt"}</definedName>
    <definedName name="wrn.chi._.tiÆt." localSheetId="5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R16" i="46" l="1"/>
  <c r="P16" i="46"/>
  <c r="O16" i="46"/>
  <c r="N16" i="46"/>
  <c r="H16" i="46"/>
  <c r="F16" i="46"/>
  <c r="E16" i="46"/>
  <c r="D16" i="46"/>
  <c r="C16" i="46"/>
  <c r="AM16" i="45"/>
  <c r="AL16" i="45"/>
  <c r="AK16" i="45"/>
  <c r="AN16" i="45" s="1"/>
  <c r="D16" i="45"/>
  <c r="C16" i="45"/>
  <c r="R16" i="44"/>
  <c r="P16" i="44"/>
  <c r="O16" i="44"/>
  <c r="N16" i="44"/>
  <c r="H16" i="44"/>
  <c r="F16" i="44"/>
  <c r="E16" i="44"/>
  <c r="D16" i="44"/>
  <c r="C16" i="44"/>
  <c r="AN16" i="43"/>
  <c r="AM16" i="43"/>
  <c r="AL16" i="43"/>
  <c r="AK16" i="43"/>
  <c r="D16" i="43"/>
  <c r="C16" i="43"/>
  <c r="R16" i="42"/>
  <c r="P16" i="42"/>
  <c r="O16" i="42"/>
  <c r="N16" i="42"/>
  <c r="H16" i="42"/>
  <c r="F16" i="42"/>
  <c r="E16" i="42"/>
  <c r="D16" i="42"/>
  <c r="C16" i="42"/>
  <c r="AN16" i="41"/>
  <c r="AM16" i="41"/>
  <c r="AL16" i="41"/>
  <c r="AK16" i="41"/>
  <c r="D16" i="41"/>
  <c r="C16" i="41"/>
  <c r="R16" i="40"/>
  <c r="P16" i="40"/>
  <c r="O16" i="40"/>
  <c r="N16" i="40"/>
  <c r="H16" i="40"/>
  <c r="F16" i="40"/>
  <c r="E16" i="40"/>
  <c r="D16" i="40"/>
  <c r="C16" i="40"/>
  <c r="AM16" i="39"/>
  <c r="AL16" i="39"/>
  <c r="AK16" i="39"/>
  <c r="AN16" i="39" s="1"/>
  <c r="D16" i="39"/>
  <c r="C16" i="39"/>
  <c r="R16" i="38"/>
  <c r="P16" i="38"/>
  <c r="O16" i="38"/>
  <c r="N16" i="38"/>
  <c r="H16" i="38"/>
  <c r="F16" i="38"/>
  <c r="L16" i="38" s="1"/>
  <c r="E16" i="38"/>
  <c r="D16" i="38"/>
  <c r="C16" i="38"/>
  <c r="AN16" i="37"/>
  <c r="AM16" i="37"/>
  <c r="AL16" i="37"/>
  <c r="AK16" i="37"/>
  <c r="D16" i="37"/>
  <c r="C16" i="37"/>
  <c r="AM16" i="35"/>
  <c r="AL16" i="35"/>
  <c r="AK16" i="35"/>
  <c r="AN16" i="35" s="1"/>
  <c r="D16" i="35"/>
  <c r="C16" i="35"/>
  <c r="R16" i="36"/>
  <c r="P16" i="36"/>
  <c r="O16" i="36"/>
  <c r="N16" i="36"/>
  <c r="H16" i="36"/>
  <c r="F16" i="36"/>
  <c r="L16" i="36" s="1"/>
  <c r="E16" i="36"/>
  <c r="D16" i="36"/>
  <c r="C16" i="36"/>
  <c r="K17" i="15"/>
  <c r="M17" i="15"/>
  <c r="O17" i="15"/>
  <c r="Q17" i="15"/>
  <c r="S17" i="15"/>
  <c r="U17" i="15"/>
  <c r="J18" i="15" a="1"/>
  <c r="J18" i="15"/>
  <c r="L18" i="15" a="1"/>
  <c r="L18" i="15"/>
  <c r="N18" i="15" a="1"/>
  <c r="N18" i="15"/>
  <c r="P18" i="15" a="1"/>
  <c r="P18" i="15"/>
  <c r="R18" i="15" a="1"/>
  <c r="R18" i="15"/>
  <c r="T18" i="15" a="1"/>
  <c r="T18" i="15"/>
  <c r="K19" i="15"/>
  <c r="M19" i="15"/>
  <c r="O19" i="15"/>
  <c r="Q19" i="15"/>
  <c r="S19" i="15"/>
  <c r="U19" i="15"/>
  <c r="J16" i="46" l="1"/>
  <c r="J16" i="44"/>
  <c r="L16" i="46"/>
  <c r="J16" i="42"/>
  <c r="L16" i="44"/>
  <c r="L16" i="42"/>
  <c r="J16" i="40"/>
  <c r="L16" i="40"/>
  <c r="J16" i="38"/>
  <c r="J16" i="36"/>
  <c r="A11" i="15" l="1"/>
  <c r="A12" i="15"/>
  <c r="A13" i="15"/>
  <c r="A14" i="15"/>
  <c r="A10" i="15"/>
  <c r="W15" i="15"/>
  <c r="W16" i="15"/>
  <c r="AA15" i="15"/>
  <c r="AA16" i="15"/>
  <c r="Y15" i="15"/>
  <c r="Y16" i="15"/>
  <c r="AC15" i="15"/>
  <c r="AC16" i="15"/>
  <c r="AE15" i="15"/>
  <c r="AE16" i="15"/>
  <c r="AG15" i="15"/>
  <c r="AG16" i="15"/>
  <c r="N15" i="38"/>
  <c r="O15" i="38"/>
  <c r="P15" i="38"/>
  <c r="N17" i="38"/>
  <c r="O17" i="38"/>
  <c r="P17" i="38"/>
  <c r="P14" i="38"/>
  <c r="O14" i="38"/>
  <c r="N14" i="38"/>
  <c r="O10" i="38"/>
  <c r="P10" i="38"/>
  <c r="N10" i="38"/>
  <c r="N15" i="40"/>
  <c r="O15" i="40"/>
  <c r="P15" i="40"/>
  <c r="N17" i="40"/>
  <c r="O17" i="40"/>
  <c r="P17" i="40"/>
  <c r="P14" i="40"/>
  <c r="O14" i="40"/>
  <c r="N14" i="40"/>
  <c r="O10" i="40"/>
  <c r="P10" i="40"/>
  <c r="N10" i="40"/>
  <c r="N15" i="42"/>
  <c r="O15" i="42"/>
  <c r="P15" i="42"/>
  <c r="N17" i="42"/>
  <c r="O17" i="42"/>
  <c r="P17" i="42"/>
  <c r="P14" i="42"/>
  <c r="O14" i="42"/>
  <c r="N14" i="42"/>
  <c r="O10" i="42"/>
  <c r="P10" i="42"/>
  <c r="N10" i="42"/>
  <c r="N15" i="44"/>
  <c r="O15" i="44"/>
  <c r="P15" i="44"/>
  <c r="N17" i="44"/>
  <c r="O17" i="44"/>
  <c r="P17" i="44"/>
  <c r="P14" i="44"/>
  <c r="O14" i="44"/>
  <c r="N14" i="44"/>
  <c r="O10" i="44"/>
  <c r="P10" i="44"/>
  <c r="N10" i="44"/>
  <c r="N15" i="46"/>
  <c r="O15" i="46"/>
  <c r="P15" i="46"/>
  <c r="N17" i="46"/>
  <c r="O17" i="46"/>
  <c r="P17" i="46"/>
  <c r="P14" i="46"/>
  <c r="O14" i="46"/>
  <c r="N14" i="46"/>
  <c r="O10" i="46"/>
  <c r="P10" i="46"/>
  <c r="N10" i="46"/>
  <c r="AF18" i="15" a="1"/>
  <c r="AF18" i="15" s="1"/>
  <c r="AD18" i="15" a="1"/>
  <c r="AD18" i="15" s="1"/>
  <c r="AB18" i="15" a="1"/>
  <c r="AB18" i="15" s="1"/>
  <c r="Z18" i="15" a="1"/>
  <c r="Z18" i="15" s="1"/>
  <c r="X18" i="15" a="1"/>
  <c r="X18" i="15" s="1"/>
  <c r="V18" i="15" a="1"/>
  <c r="V18" i="15" s="1"/>
  <c r="AG17" i="15"/>
  <c r="W17" i="15"/>
  <c r="Y17" i="15"/>
  <c r="AA17" i="15"/>
  <c r="AC17" i="15"/>
  <c r="AE17" i="15"/>
  <c r="AH17" i="15" l="1"/>
  <c r="AH16" i="15"/>
  <c r="AH15" i="15"/>
  <c r="R15" i="46" l="1"/>
  <c r="E15" i="46"/>
  <c r="D15" i="46"/>
  <c r="C15" i="46"/>
  <c r="R17" i="46"/>
  <c r="E17" i="46"/>
  <c r="D17" i="46"/>
  <c r="C17" i="46"/>
  <c r="AL14" i="45"/>
  <c r="D14" i="45"/>
  <c r="C14" i="45"/>
  <c r="AL18" i="45"/>
  <c r="D18" i="45"/>
  <c r="C18" i="45"/>
  <c r="R15" i="44"/>
  <c r="E15" i="44"/>
  <c r="D15" i="44"/>
  <c r="C15" i="44"/>
  <c r="R17" i="44"/>
  <c r="E17" i="44"/>
  <c r="D17" i="44"/>
  <c r="C17" i="44"/>
  <c r="AL14" i="43"/>
  <c r="D14" i="43"/>
  <c r="C14" i="43"/>
  <c r="AL18" i="43"/>
  <c r="D18" i="43"/>
  <c r="C18" i="43"/>
  <c r="R15" i="42"/>
  <c r="E15" i="42"/>
  <c r="D15" i="42"/>
  <c r="C15" i="42"/>
  <c r="R17" i="42"/>
  <c r="E17" i="42"/>
  <c r="D17" i="42"/>
  <c r="C17" i="42"/>
  <c r="AL14" i="41"/>
  <c r="D14" i="41"/>
  <c r="C14" i="41"/>
  <c r="AL18" i="41"/>
  <c r="D18" i="41"/>
  <c r="C18" i="41"/>
  <c r="R15" i="40"/>
  <c r="E15" i="40"/>
  <c r="D15" i="40"/>
  <c r="C15" i="40"/>
  <c r="R17" i="40"/>
  <c r="E17" i="40"/>
  <c r="D17" i="40"/>
  <c r="C17" i="40"/>
  <c r="AL14" i="39"/>
  <c r="D14" i="39"/>
  <c r="C14" i="39"/>
  <c r="AL18" i="39"/>
  <c r="D18" i="39"/>
  <c r="C18" i="39"/>
  <c r="R15" i="38"/>
  <c r="E15" i="38"/>
  <c r="D15" i="38"/>
  <c r="C15" i="38"/>
  <c r="R17" i="38"/>
  <c r="E17" i="38"/>
  <c r="D17" i="38"/>
  <c r="C17" i="38"/>
  <c r="AL14" i="37"/>
  <c r="D14" i="37"/>
  <c r="C14" i="37"/>
  <c r="AL18" i="37"/>
  <c r="D18" i="37"/>
  <c r="C18" i="37"/>
  <c r="R15" i="36"/>
  <c r="E15" i="36"/>
  <c r="D15" i="36"/>
  <c r="C15" i="36"/>
  <c r="R17" i="36"/>
  <c r="E17" i="36"/>
  <c r="D17" i="36"/>
  <c r="C17" i="36"/>
  <c r="AL14" i="35"/>
  <c r="D14" i="35"/>
  <c r="C14" i="35"/>
  <c r="AL18" i="35"/>
  <c r="D18" i="35"/>
  <c r="C18" i="35"/>
  <c r="A15" i="15" l="1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R14" i="46" l="1"/>
  <c r="E14" i="46"/>
  <c r="D14" i="46"/>
  <c r="C14" i="46"/>
  <c r="R10" i="46"/>
  <c r="E10" i="46"/>
  <c r="D10" i="46"/>
  <c r="C10" i="46"/>
  <c r="E4" i="46"/>
  <c r="S21" i="46" s="1"/>
  <c r="AL9" i="45"/>
  <c r="D9" i="45"/>
  <c r="C9" i="45"/>
  <c r="F5" i="45"/>
  <c r="G5" i="45" s="1"/>
  <c r="S1" i="45"/>
  <c r="R14" i="44"/>
  <c r="E14" i="44"/>
  <c r="D14" i="44"/>
  <c r="C14" i="44"/>
  <c r="R10" i="44"/>
  <c r="E10" i="44"/>
  <c r="D10" i="44"/>
  <c r="C10" i="44"/>
  <c r="E4" i="44"/>
  <c r="S21" i="44" s="1"/>
  <c r="AL9" i="43"/>
  <c r="D9" i="43"/>
  <c r="C9" i="43"/>
  <c r="F5" i="43"/>
  <c r="G5" i="43" s="1"/>
  <c r="S1" i="43"/>
  <c r="R14" i="42"/>
  <c r="E14" i="42"/>
  <c r="D14" i="42"/>
  <c r="C14" i="42"/>
  <c r="R10" i="42"/>
  <c r="E10" i="42"/>
  <c r="D10" i="42"/>
  <c r="C10" i="42"/>
  <c r="E4" i="42"/>
  <c r="S21" i="42" s="1"/>
  <c r="AL9" i="41"/>
  <c r="D9" i="41"/>
  <c r="C9" i="41"/>
  <c r="F5" i="41"/>
  <c r="G5" i="41" s="1"/>
  <c r="S1" i="41"/>
  <c r="O12" i="42" l="1"/>
  <c r="O12" i="46"/>
  <c r="N12" i="42"/>
  <c r="E12" i="46"/>
  <c r="R12" i="46"/>
  <c r="E12" i="44"/>
  <c r="R12" i="44"/>
  <c r="N12" i="46"/>
  <c r="P12" i="44"/>
  <c r="O12" i="44"/>
  <c r="P12" i="46"/>
  <c r="N12" i="44"/>
  <c r="F6" i="43"/>
  <c r="E19" i="42"/>
  <c r="R19" i="42"/>
  <c r="E19" i="44"/>
  <c r="R19" i="44"/>
  <c r="F6" i="45"/>
  <c r="F6" i="41"/>
  <c r="E19" i="46"/>
  <c r="P19" i="42"/>
  <c r="D1" i="42"/>
  <c r="P19" i="44"/>
  <c r="D1" i="44"/>
  <c r="O19" i="46"/>
  <c r="P19" i="46"/>
  <c r="N19" i="46"/>
  <c r="R19" i="46"/>
  <c r="D1" i="46"/>
  <c r="G6" i="45"/>
  <c r="H5" i="45"/>
  <c r="N19" i="44"/>
  <c r="O19" i="44"/>
  <c r="G6" i="43"/>
  <c r="H5" i="43"/>
  <c r="N19" i="42"/>
  <c r="P12" i="42"/>
  <c r="R12" i="42"/>
  <c r="O19" i="42"/>
  <c r="G6" i="41"/>
  <c r="H5" i="41"/>
  <c r="E12" i="42"/>
  <c r="R14" i="40"/>
  <c r="E14" i="40"/>
  <c r="D14" i="40"/>
  <c r="C14" i="40"/>
  <c r="R10" i="40"/>
  <c r="E10" i="40"/>
  <c r="D10" i="40"/>
  <c r="C10" i="40"/>
  <c r="E4" i="40"/>
  <c r="S21" i="40" s="1"/>
  <c r="AL9" i="39"/>
  <c r="D9" i="39"/>
  <c r="C9" i="39"/>
  <c r="F5" i="39"/>
  <c r="G5" i="39" s="1"/>
  <c r="S1" i="39"/>
  <c r="R14" i="38"/>
  <c r="E14" i="38"/>
  <c r="D14" i="38"/>
  <c r="C14" i="38"/>
  <c r="R10" i="38"/>
  <c r="E10" i="38"/>
  <c r="D10" i="38"/>
  <c r="C10" i="38"/>
  <c r="E4" i="38"/>
  <c r="S21" i="38" s="1"/>
  <c r="AL9" i="37"/>
  <c r="D9" i="37"/>
  <c r="C9" i="37"/>
  <c r="F5" i="37"/>
  <c r="F6" i="37" s="1"/>
  <c r="S1" i="37"/>
  <c r="R14" i="36"/>
  <c r="E14" i="36"/>
  <c r="D14" i="36"/>
  <c r="C14" i="36"/>
  <c r="R10" i="36"/>
  <c r="E10" i="36"/>
  <c r="D10" i="36"/>
  <c r="C10" i="36"/>
  <c r="E4" i="36"/>
  <c r="S21" i="36" s="1"/>
  <c r="AL9" i="35"/>
  <c r="D9" i="35"/>
  <c r="C9" i="35"/>
  <c r="F5" i="35"/>
  <c r="F6" i="35" s="1"/>
  <c r="S1" i="35"/>
  <c r="N12" i="40" l="1"/>
  <c r="O12" i="38"/>
  <c r="O12" i="40"/>
  <c r="N12" i="38"/>
  <c r="D1" i="36"/>
  <c r="D1" i="38"/>
  <c r="P19" i="40"/>
  <c r="I5" i="45"/>
  <c r="H6" i="45"/>
  <c r="R12" i="38"/>
  <c r="P19" i="38"/>
  <c r="N19" i="40"/>
  <c r="I5" i="43"/>
  <c r="H6" i="43"/>
  <c r="E19" i="40"/>
  <c r="R19" i="40"/>
  <c r="I5" i="41"/>
  <c r="H6" i="41"/>
  <c r="R12" i="36"/>
  <c r="E19" i="38"/>
  <c r="R19" i="38"/>
  <c r="P12" i="40"/>
  <c r="R12" i="40"/>
  <c r="O19" i="40"/>
  <c r="F6" i="39"/>
  <c r="D1" i="40"/>
  <c r="G6" i="39"/>
  <c r="H5" i="39"/>
  <c r="E12" i="40"/>
  <c r="E19" i="36"/>
  <c r="R19" i="36"/>
  <c r="N19" i="38"/>
  <c r="P12" i="38"/>
  <c r="O19" i="38"/>
  <c r="G5" i="37"/>
  <c r="E12" i="38"/>
  <c r="G5" i="35"/>
  <c r="E12" i="36"/>
  <c r="J5" i="45" l="1"/>
  <c r="I6" i="45"/>
  <c r="J5" i="43"/>
  <c r="I6" i="43"/>
  <c r="J5" i="41"/>
  <c r="I6" i="41"/>
  <c r="I5" i="39"/>
  <c r="H6" i="39"/>
  <c r="G6" i="37"/>
  <c r="H5" i="37"/>
  <c r="G6" i="35"/>
  <c r="H5" i="35"/>
  <c r="A16" i="15"/>
  <c r="J6" i="45" l="1"/>
  <c r="K5" i="45"/>
  <c r="J6" i="43"/>
  <c r="K5" i="43"/>
  <c r="J6" i="41"/>
  <c r="K5" i="41"/>
  <c r="J5" i="39"/>
  <c r="I6" i="39"/>
  <c r="I5" i="37"/>
  <c r="H6" i="37"/>
  <c r="I5" i="35"/>
  <c r="H6" i="35"/>
  <c r="K6" i="45" l="1"/>
  <c r="L5" i="45"/>
  <c r="K6" i="43"/>
  <c r="L5" i="43"/>
  <c r="K6" i="41"/>
  <c r="L5" i="41"/>
  <c r="J6" i="39"/>
  <c r="K5" i="39"/>
  <c r="J5" i="37"/>
  <c r="I6" i="37"/>
  <c r="J5" i="35"/>
  <c r="I6" i="35"/>
  <c r="M5" i="45" l="1"/>
  <c r="L6" i="45"/>
  <c r="M5" i="43"/>
  <c r="L6" i="43"/>
  <c r="M5" i="41"/>
  <c r="L6" i="41"/>
  <c r="K6" i="39"/>
  <c r="L5" i="39"/>
  <c r="J6" i="37"/>
  <c r="K5" i="37"/>
  <c r="J6" i="35"/>
  <c r="K5" i="35"/>
  <c r="F17" i="15"/>
  <c r="N5" i="45" l="1"/>
  <c r="M6" i="45"/>
  <c r="N5" i="43"/>
  <c r="M6" i="43"/>
  <c r="N5" i="41"/>
  <c r="M6" i="41"/>
  <c r="M5" i="39"/>
  <c r="L6" i="39"/>
  <c r="K6" i="37"/>
  <c r="L5" i="37"/>
  <c r="K6" i="35"/>
  <c r="L5" i="35"/>
  <c r="N6" i="45" l="1"/>
  <c r="O5" i="45"/>
  <c r="N6" i="43"/>
  <c r="O5" i="43"/>
  <c r="N6" i="41"/>
  <c r="O5" i="41"/>
  <c r="N5" i="39"/>
  <c r="M6" i="39"/>
  <c r="M5" i="37"/>
  <c r="L6" i="37"/>
  <c r="M5" i="35"/>
  <c r="L6" i="35"/>
  <c r="O6" i="45" l="1"/>
  <c r="P5" i="45"/>
  <c r="O6" i="43"/>
  <c r="P5" i="43"/>
  <c r="O6" i="41"/>
  <c r="P5" i="41"/>
  <c r="N6" i="39"/>
  <c r="O5" i="39"/>
  <c r="N5" i="37"/>
  <c r="M6" i="37"/>
  <c r="N5" i="35"/>
  <c r="M6" i="35"/>
  <c r="Q5" i="45" l="1"/>
  <c r="P6" i="45"/>
  <c r="Q5" i="43"/>
  <c r="P6" i="43"/>
  <c r="Q5" i="41"/>
  <c r="P6" i="41"/>
  <c r="O6" i="39"/>
  <c r="P5" i="39"/>
  <c r="N6" i="37"/>
  <c r="O5" i="37"/>
  <c r="N6" i="35"/>
  <c r="O5" i="35"/>
  <c r="R5" i="45" l="1"/>
  <c r="Q6" i="45"/>
  <c r="R5" i="43"/>
  <c r="Q6" i="43"/>
  <c r="R5" i="41"/>
  <c r="Q6" i="41"/>
  <c r="Q5" i="39"/>
  <c r="P6" i="39"/>
  <c r="O6" i="37"/>
  <c r="P5" i="37"/>
  <c r="O6" i="35"/>
  <c r="P5" i="35"/>
  <c r="R6" i="45" l="1"/>
  <c r="S5" i="45"/>
  <c r="R6" i="43"/>
  <c r="S5" i="43"/>
  <c r="R6" i="41"/>
  <c r="S5" i="41"/>
  <c r="R5" i="39"/>
  <c r="Q6" i="39"/>
  <c r="Q5" i="37"/>
  <c r="P6" i="37"/>
  <c r="Q5" i="35"/>
  <c r="P6" i="35"/>
  <c r="E17" i="15"/>
  <c r="S6" i="45" l="1"/>
  <c r="T5" i="45"/>
  <c r="S6" i="43"/>
  <c r="T5" i="43"/>
  <c r="S6" i="41"/>
  <c r="T5" i="41"/>
  <c r="R6" i="39"/>
  <c r="S5" i="39"/>
  <c r="R5" i="37"/>
  <c r="Q6" i="37"/>
  <c r="R5" i="35"/>
  <c r="Q6" i="35"/>
  <c r="U5" i="45" l="1"/>
  <c r="T6" i="45"/>
  <c r="U5" i="43"/>
  <c r="T6" i="43"/>
  <c r="U5" i="41"/>
  <c r="T6" i="41"/>
  <c r="S6" i="39"/>
  <c r="T5" i="39"/>
  <c r="R6" i="37"/>
  <c r="S5" i="37"/>
  <c r="R6" i="35"/>
  <c r="S5" i="35"/>
  <c r="V5" i="45" l="1"/>
  <c r="U6" i="45"/>
  <c r="V5" i="43"/>
  <c r="U6" i="43"/>
  <c r="V5" i="41"/>
  <c r="U6" i="41"/>
  <c r="U5" i="39"/>
  <c r="T6" i="39"/>
  <c r="S6" i="37"/>
  <c r="T5" i="37"/>
  <c r="S6" i="35"/>
  <c r="T5" i="35"/>
  <c r="V6" i="45" l="1"/>
  <c r="W5" i="45"/>
  <c r="V6" i="43"/>
  <c r="W5" i="43"/>
  <c r="V6" i="41"/>
  <c r="W5" i="41"/>
  <c r="V5" i="39"/>
  <c r="U6" i="39"/>
  <c r="U5" i="37"/>
  <c r="T6" i="37"/>
  <c r="U5" i="35"/>
  <c r="T6" i="35"/>
  <c r="W6" i="45" l="1"/>
  <c r="X5" i="45"/>
  <c r="W6" i="43"/>
  <c r="X5" i="43"/>
  <c r="W6" i="41"/>
  <c r="X5" i="41"/>
  <c r="V6" i="39"/>
  <c r="W5" i="39"/>
  <c r="V5" i="37"/>
  <c r="U6" i="37"/>
  <c r="V5" i="35"/>
  <c r="U6" i="35"/>
  <c r="Y5" i="45" l="1"/>
  <c r="X6" i="45"/>
  <c r="Y5" i="43"/>
  <c r="X6" i="43"/>
  <c r="Y5" i="41"/>
  <c r="X6" i="41"/>
  <c r="W6" i="39"/>
  <c r="X5" i="39"/>
  <c r="V6" i="37"/>
  <c r="W5" i="37"/>
  <c r="V6" i="35"/>
  <c r="W5" i="35"/>
  <c r="Z5" i="45" l="1"/>
  <c r="Y6" i="45"/>
  <c r="Z5" i="43"/>
  <c r="Y6" i="43"/>
  <c r="Z5" i="41"/>
  <c r="Y6" i="41"/>
  <c r="Y5" i="39"/>
  <c r="X6" i="39"/>
  <c r="W6" i="37"/>
  <c r="X5" i="37"/>
  <c r="W6" i="35"/>
  <c r="X5" i="35"/>
  <c r="Z6" i="45" l="1"/>
  <c r="AA5" i="45"/>
  <c r="Z6" i="43"/>
  <c r="AA5" i="43"/>
  <c r="Z6" i="41"/>
  <c r="AA5" i="41"/>
  <c r="Z5" i="39"/>
  <c r="Y6" i="39"/>
  <c r="Y5" i="37"/>
  <c r="X6" i="37"/>
  <c r="Y5" i="35"/>
  <c r="X6" i="35"/>
  <c r="AA6" i="45" l="1"/>
  <c r="AB5" i="45"/>
  <c r="AA6" i="43"/>
  <c r="AB5" i="43"/>
  <c r="AA6" i="41"/>
  <c r="AB5" i="41"/>
  <c r="Z6" i="39"/>
  <c r="AA5" i="39"/>
  <c r="Z5" i="37"/>
  <c r="Y6" i="37"/>
  <c r="Z5" i="35"/>
  <c r="Y6" i="35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I6" i="45" l="1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K14" i="45" l="1"/>
  <c r="AK18" i="45"/>
  <c r="AM18" i="45"/>
  <c r="H17" i="46" s="1"/>
  <c r="AM14" i="45"/>
  <c r="H15" i="46" s="1"/>
  <c r="AM18" i="43"/>
  <c r="H17" i="44" s="1"/>
  <c r="AM14" i="43"/>
  <c r="H15" i="44" s="1"/>
  <c r="AK14" i="43"/>
  <c r="AK18" i="43"/>
  <c r="AM14" i="41"/>
  <c r="H15" i="42" s="1"/>
  <c r="AM18" i="41"/>
  <c r="H17" i="42" s="1"/>
  <c r="AK14" i="41"/>
  <c r="AK18" i="41"/>
  <c r="AM12" i="45"/>
  <c r="AK12" i="45"/>
  <c r="AM12" i="43"/>
  <c r="AK12" i="43"/>
  <c r="AK12" i="41"/>
  <c r="AM12" i="41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N12" i="45" l="1"/>
  <c r="F17" i="46"/>
  <c r="AN18" i="45"/>
  <c r="F15" i="46"/>
  <c r="AN14" i="45"/>
  <c r="AN18" i="43"/>
  <c r="F17" i="44"/>
  <c r="F15" i="44"/>
  <c r="AN14" i="43"/>
  <c r="AN18" i="41"/>
  <c r="F17" i="42"/>
  <c r="AN14" i="41"/>
  <c r="F15" i="42"/>
  <c r="AM14" i="39"/>
  <c r="H15" i="40" s="1"/>
  <c r="AM18" i="39"/>
  <c r="H17" i="40" s="1"/>
  <c r="AK18" i="39"/>
  <c r="AK14" i="39"/>
  <c r="AN12" i="41"/>
  <c r="AN12" i="43"/>
  <c r="AM12" i="39"/>
  <c r="AK12" i="39"/>
  <c r="H14" i="46"/>
  <c r="H14" i="44"/>
  <c r="H14" i="42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N12" i="39" l="1"/>
  <c r="L15" i="46"/>
  <c r="J15" i="46"/>
  <c r="L17" i="46"/>
  <c r="J17" i="46"/>
  <c r="L17" i="44"/>
  <c r="J17" i="44"/>
  <c r="J15" i="44"/>
  <c r="L15" i="44"/>
  <c r="L15" i="42"/>
  <c r="J15" i="42"/>
  <c r="L17" i="42"/>
  <c r="J17" i="42"/>
  <c r="F15" i="40"/>
  <c r="AN14" i="39"/>
  <c r="F17" i="40"/>
  <c r="AN18" i="39"/>
  <c r="AK14" i="37"/>
  <c r="AM14" i="37"/>
  <c r="H15" i="38" s="1"/>
  <c r="AK18" i="37"/>
  <c r="AM18" i="37"/>
  <c r="H17" i="38" s="1"/>
  <c r="AK18" i="35"/>
  <c r="AK14" i="35"/>
  <c r="AM18" i="35"/>
  <c r="H17" i="36" s="1"/>
  <c r="AM14" i="35"/>
  <c r="H15" i="36" s="1"/>
  <c r="U2" i="44"/>
  <c r="AM12" i="37"/>
  <c r="AK12" i="37"/>
  <c r="AM12" i="35"/>
  <c r="AK12" i="35"/>
  <c r="U2" i="46"/>
  <c r="U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G16" i="46" l="1"/>
  <c r="I16" i="46"/>
  <c r="G16" i="44"/>
  <c r="I16" i="44"/>
  <c r="I16" i="42"/>
  <c r="G16" i="42"/>
  <c r="L15" i="40"/>
  <c r="J15" i="40"/>
  <c r="L17" i="40"/>
  <c r="J17" i="40"/>
  <c r="F17" i="38"/>
  <c r="AN18" i="37"/>
  <c r="F15" i="38"/>
  <c r="AN14" i="37"/>
  <c r="AN18" i="35"/>
  <c r="F17" i="36"/>
  <c r="AN14" i="35"/>
  <c r="F15" i="36"/>
  <c r="G15" i="46"/>
  <c r="I15" i="46"/>
  <c r="I17" i="46"/>
  <c r="G17" i="46"/>
  <c r="I15" i="44"/>
  <c r="G15" i="44"/>
  <c r="G17" i="44"/>
  <c r="I17" i="44"/>
  <c r="G10" i="44"/>
  <c r="G15" i="42"/>
  <c r="I15" i="42"/>
  <c r="G17" i="42"/>
  <c r="I17" i="42"/>
  <c r="AN12" i="37"/>
  <c r="AN12" i="35"/>
  <c r="G10" i="42"/>
  <c r="I10" i="42"/>
  <c r="G14" i="42"/>
  <c r="I14" i="42"/>
  <c r="I14" i="46"/>
  <c r="G14" i="46"/>
  <c r="G10" i="46"/>
  <c r="I10" i="46"/>
  <c r="I10" i="44"/>
  <c r="I14" i="44"/>
  <c r="G14" i="44"/>
  <c r="U2" i="40"/>
  <c r="H14" i="38"/>
  <c r="H14" i="36"/>
  <c r="L12" i="44"/>
  <c r="L12" i="46"/>
  <c r="L19" i="46"/>
  <c r="L19" i="44"/>
  <c r="L12" i="42"/>
  <c r="L19" i="42"/>
  <c r="L10" i="40"/>
  <c r="J10" i="40"/>
  <c r="J14" i="40"/>
  <c r="L14" i="40"/>
  <c r="F14" i="38"/>
  <c r="AN9" i="37"/>
  <c r="F10" i="38"/>
  <c r="F14" i="36"/>
  <c r="AN9" i="35"/>
  <c r="F10" i="36"/>
  <c r="K16" i="46" l="1"/>
  <c r="M16" i="46" s="1"/>
  <c r="Q16" i="46" s="1"/>
  <c r="S16" i="46" s="1"/>
  <c r="K16" i="44"/>
  <c r="M16" i="44" s="1"/>
  <c r="Q16" i="44" s="1"/>
  <c r="S16" i="44" s="1"/>
  <c r="K16" i="42"/>
  <c r="M16" i="42" s="1"/>
  <c r="Q16" i="42" s="1"/>
  <c r="S16" i="42" s="1"/>
  <c r="G16" i="40"/>
  <c r="I16" i="40"/>
  <c r="L15" i="38"/>
  <c r="J15" i="38"/>
  <c r="J17" i="38"/>
  <c r="L17" i="38"/>
  <c r="L15" i="36"/>
  <c r="J15" i="36"/>
  <c r="L17" i="36"/>
  <c r="J17" i="36"/>
  <c r="K15" i="44"/>
  <c r="M15" i="44" s="1"/>
  <c r="Q15" i="44" s="1"/>
  <c r="S15" i="44" s="1"/>
  <c r="AE13" i="15" s="1"/>
  <c r="K15" i="46"/>
  <c r="M15" i="46" s="1"/>
  <c r="Q15" i="46" s="1"/>
  <c r="S15" i="46" s="1"/>
  <c r="K17" i="46"/>
  <c r="M17" i="46" s="1"/>
  <c r="Q17" i="46" s="1"/>
  <c r="S17" i="46" s="1"/>
  <c r="K17" i="44"/>
  <c r="M17" i="44" s="1"/>
  <c r="Q17" i="44" s="1"/>
  <c r="S17" i="44" s="1"/>
  <c r="K10" i="44"/>
  <c r="M10" i="44" s="1"/>
  <c r="K15" i="42"/>
  <c r="M15" i="42" s="1"/>
  <c r="Q15" i="42" s="1"/>
  <c r="S15" i="42" s="1"/>
  <c r="AC13" i="15" s="1"/>
  <c r="K17" i="42"/>
  <c r="M17" i="42" s="1"/>
  <c r="Q17" i="42" s="1"/>
  <c r="S17" i="42" s="1"/>
  <c r="G15" i="40"/>
  <c r="I15" i="40"/>
  <c r="G17" i="40"/>
  <c r="I17" i="40"/>
  <c r="K14" i="46"/>
  <c r="M14" i="46" s="1"/>
  <c r="G12" i="42"/>
  <c r="K10" i="46"/>
  <c r="M10" i="46" s="1"/>
  <c r="K14" i="42"/>
  <c r="M14" i="42" s="1"/>
  <c r="K10" i="42"/>
  <c r="M10" i="42" s="1"/>
  <c r="I12" i="42"/>
  <c r="K14" i="44"/>
  <c r="M14" i="44" s="1"/>
  <c r="G12" i="46"/>
  <c r="G19" i="46"/>
  <c r="I19" i="46"/>
  <c r="I12" i="46"/>
  <c r="I19" i="44"/>
  <c r="G19" i="44"/>
  <c r="I12" i="44"/>
  <c r="G12" i="44"/>
  <c r="I19" i="42"/>
  <c r="G19" i="42"/>
  <c r="I10" i="40"/>
  <c r="I14" i="40"/>
  <c r="G14" i="40"/>
  <c r="G10" i="40"/>
  <c r="U2" i="38"/>
  <c r="U2" i="36"/>
  <c r="L19" i="40"/>
  <c r="L12" i="40"/>
  <c r="L10" i="38"/>
  <c r="J10" i="38"/>
  <c r="J14" i="38"/>
  <c r="L14" i="38"/>
  <c r="L10" i="36"/>
  <c r="J10" i="36"/>
  <c r="J14" i="36"/>
  <c r="L14" i="36"/>
  <c r="AG13" i="15" l="1"/>
  <c r="K16" i="40"/>
  <c r="M16" i="40" s="1"/>
  <c r="Q16" i="40" s="1"/>
  <c r="S16" i="40" s="1"/>
  <c r="G16" i="38"/>
  <c r="I16" i="38"/>
  <c r="G16" i="36"/>
  <c r="I16" i="36"/>
  <c r="AE14" i="15"/>
  <c r="AC14" i="15"/>
  <c r="AG14" i="15"/>
  <c r="K12" i="46"/>
  <c r="M12" i="46"/>
  <c r="K15" i="40"/>
  <c r="M15" i="40" s="1"/>
  <c r="Q15" i="40" s="1"/>
  <c r="S15" i="40" s="1"/>
  <c r="K17" i="40"/>
  <c r="M17" i="40" s="1"/>
  <c r="Q17" i="40" s="1"/>
  <c r="S17" i="40" s="1"/>
  <c r="G15" i="38"/>
  <c r="I15" i="38"/>
  <c r="G17" i="38"/>
  <c r="I17" i="38"/>
  <c r="G15" i="36"/>
  <c r="I15" i="36"/>
  <c r="G17" i="36"/>
  <c r="I17" i="36"/>
  <c r="K12" i="42"/>
  <c r="K19" i="46"/>
  <c r="K19" i="44"/>
  <c r="K12" i="44"/>
  <c r="M12" i="44"/>
  <c r="K19" i="42"/>
  <c r="K14" i="40"/>
  <c r="M14" i="40" s="1"/>
  <c r="G12" i="40"/>
  <c r="G19" i="40"/>
  <c r="K10" i="40"/>
  <c r="M10" i="40" s="1"/>
  <c r="I19" i="40"/>
  <c r="I12" i="40"/>
  <c r="G10" i="38"/>
  <c r="G14" i="38"/>
  <c r="I10" i="38"/>
  <c r="I14" i="38"/>
  <c r="I10" i="36"/>
  <c r="I14" i="36"/>
  <c r="G14" i="36"/>
  <c r="G10" i="36"/>
  <c r="Q10" i="46"/>
  <c r="Q12" i="46" s="1"/>
  <c r="Q14" i="46"/>
  <c r="M19" i="46"/>
  <c r="Q14" i="44"/>
  <c r="M19" i="44"/>
  <c r="Q10" i="44"/>
  <c r="Q12" i="44" s="1"/>
  <c r="Q14" i="42"/>
  <c r="M19" i="42"/>
  <c r="Q10" i="42"/>
  <c r="M12" i="42"/>
  <c r="L19" i="38"/>
  <c r="L12" i="38"/>
  <c r="L19" i="36"/>
  <c r="L12" i="36"/>
  <c r="AA13" i="15" l="1"/>
  <c r="K16" i="38"/>
  <c r="M16" i="38" s="1"/>
  <c r="Q16" i="38" s="1"/>
  <c r="S16" i="38" s="1"/>
  <c r="K16" i="36"/>
  <c r="M16" i="36" s="1"/>
  <c r="Q16" i="36" s="1"/>
  <c r="S16" i="36" s="1"/>
  <c r="AA14" i="15"/>
  <c r="K15" i="38"/>
  <c r="M15" i="38" s="1"/>
  <c r="Q15" i="38" s="1"/>
  <c r="S15" i="38" s="1"/>
  <c r="K17" i="38"/>
  <c r="M17" i="38" s="1"/>
  <c r="Q17" i="38" s="1"/>
  <c r="S17" i="38" s="1"/>
  <c r="K15" i="36"/>
  <c r="M15" i="36" s="1"/>
  <c r="K17" i="36"/>
  <c r="M17" i="36" s="1"/>
  <c r="K10" i="36"/>
  <c r="M10" i="36" s="1"/>
  <c r="G12" i="38"/>
  <c r="K12" i="40"/>
  <c r="K19" i="40"/>
  <c r="K10" i="38"/>
  <c r="M10" i="38" s="1"/>
  <c r="K14" i="38"/>
  <c r="M14" i="38" s="1"/>
  <c r="I19" i="38"/>
  <c r="G19" i="38"/>
  <c r="I12" i="38"/>
  <c r="G12" i="36"/>
  <c r="K14" i="36"/>
  <c r="M14" i="36" s="1"/>
  <c r="I12" i="36"/>
  <c r="G19" i="36"/>
  <c r="I19" i="36"/>
  <c r="Q19" i="46"/>
  <c r="S14" i="46"/>
  <c r="AG11" i="15" s="1"/>
  <c r="S10" i="46"/>
  <c r="S10" i="44"/>
  <c r="AE10" i="15" s="1"/>
  <c r="Q19" i="44"/>
  <c r="S14" i="44"/>
  <c r="Q12" i="42"/>
  <c r="S10" i="42"/>
  <c r="AC10" i="15" s="1"/>
  <c r="Q19" i="42"/>
  <c r="S14" i="42"/>
  <c r="Q14" i="40"/>
  <c r="M19" i="40"/>
  <c r="Q10" i="40"/>
  <c r="M12" i="40"/>
  <c r="Y13" i="15" l="1"/>
  <c r="Y14" i="15"/>
  <c r="AC12" i="15"/>
  <c r="AC11" i="15"/>
  <c r="AE12" i="15"/>
  <c r="AE11" i="15"/>
  <c r="S19" i="46"/>
  <c r="AG12" i="15"/>
  <c r="S12" i="46"/>
  <c r="AG10" i="15"/>
  <c r="S19" i="44"/>
  <c r="S12" i="44"/>
  <c r="S19" i="42"/>
  <c r="S12" i="42"/>
  <c r="K12" i="38"/>
  <c r="K19" i="38"/>
  <c r="K19" i="36"/>
  <c r="K12" i="36"/>
  <c r="Q12" i="40"/>
  <c r="S10" i="40"/>
  <c r="AA10" i="15" s="1"/>
  <c r="Q19" i="40"/>
  <c r="S14" i="40"/>
  <c r="Q14" i="38"/>
  <c r="M19" i="38"/>
  <c r="Q10" i="38"/>
  <c r="M12" i="38"/>
  <c r="M19" i="36"/>
  <c r="M12" i="36"/>
  <c r="AA12" i="15" l="1"/>
  <c r="AA11" i="15"/>
  <c r="AG19" i="15"/>
  <c r="AE19" i="15"/>
  <c r="AC19" i="15"/>
  <c r="S19" i="40"/>
  <c r="S12" i="40"/>
  <c r="Q12" i="38"/>
  <c r="S10" i="38"/>
  <c r="Y10" i="15" s="1"/>
  <c r="Q19" i="38"/>
  <c r="S14" i="38"/>
  <c r="Y12" i="15" l="1"/>
  <c r="Y11" i="15"/>
  <c r="AA19" i="15"/>
  <c r="S19" i="38"/>
  <c r="S12" i="38"/>
  <c r="Y19" i="15" l="1"/>
  <c r="W13" i="15"/>
  <c r="AH13" i="15" s="1"/>
  <c r="P17" i="36"/>
  <c r="O17" i="36"/>
  <c r="P15" i="36"/>
  <c r="O15" i="36"/>
  <c r="P10" i="36"/>
  <c r="P12" i="36" s="1"/>
  <c r="P14" i="36"/>
  <c r="N10" i="36"/>
  <c r="N12" i="36" s="1"/>
  <c r="O10" i="36"/>
  <c r="O12" i="36" s="1"/>
  <c r="N17" i="36"/>
  <c r="N15" i="36"/>
  <c r="N14" i="36"/>
  <c r="O14" i="36"/>
  <c r="O19" i="36" l="1"/>
  <c r="Q14" i="36"/>
  <c r="Q17" i="36"/>
  <c r="S17" i="36" s="1"/>
  <c r="W14" i="15" s="1"/>
  <c r="AH14" i="15" s="1"/>
  <c r="P19" i="36"/>
  <c r="Q15" i="36"/>
  <c r="S15" i="36" s="1"/>
  <c r="W12" i="15" s="1"/>
  <c r="AH12" i="15" s="1"/>
  <c r="S14" i="36"/>
  <c r="Q10" i="36"/>
  <c r="N19" i="36"/>
  <c r="Q19" i="36" l="1"/>
  <c r="Q12" i="36"/>
  <c r="S10" i="36"/>
  <c r="S19" i="36"/>
  <c r="W11" i="15"/>
  <c r="AH11" i="15" s="1"/>
  <c r="W10" i="15" l="1"/>
  <c r="S12" i="36"/>
  <c r="AH10" i="15" l="1"/>
  <c r="W19" i="15"/>
  <c r="AH19" i="15" s="1"/>
</calcChain>
</file>

<file path=xl/sharedStrings.xml><?xml version="1.0" encoding="utf-8"?>
<sst xmlns="http://schemas.openxmlformats.org/spreadsheetml/2006/main" count="597" uniqueCount="109">
  <si>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</si>
  <si>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</si>
  <si>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</si>
  <si>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</si>
  <si>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</si>
  <si>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</si>
  <si>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</si>
  <si>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</si>
  <si>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</si>
  <si>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</si>
  <si>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</si>
  <si>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</si>
  <si>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</si>
  <si>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</si>
  <si>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</si>
  <si>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</si>
  <si>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</si>
  <si>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</si>
  <si>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</si>
  <si>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</si>
  <si>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</si>
  <si>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</si>
  <si>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</si>
  <si>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</si>
  <si>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</si>
  <si>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</si>
  <si>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</si>
  <si>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</si>
  <si>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</si>
  <si>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</si>
  <si>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</si>
  <si>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</si>
  <si>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</si>
  <si>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</si>
  <si>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</si>
  <si>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</si>
  <si>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</si>
  <si>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</si>
  <si>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</si>
  <si>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</si>
  <si>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</si>
  <si>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</si>
  <si>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</si>
  <si>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</si>
  <si>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</si>
  <si>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</si>
  <si>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</si>
  <si>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</si>
  <si>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</si>
  <si>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</si>
  <si>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</si>
  <si>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</si>
  <si>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</si>
  <si>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</si>
  <si>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</si>
  <si>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</si>
  <si>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</si>
  <si>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</si>
  <si>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</si>
  <si>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</si>
  <si>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</si>
  <si>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</si>
  <si>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</si>
  <si>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</si>
  <si>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</si>
  <si>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</si>
  <si>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</si>
  <si>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</si>
  <si>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</si>
  <si>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</si>
  <si>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</si>
  <si>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</si>
  <si>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</si>
  <si>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</si>
  <si>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</si>
  <si>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CN01</t>
  </si>
  <si>
    <t>CN02</t>
  </si>
  <si>
    <t>CN03</t>
  </si>
  <si>
    <t>BP: Quản lý &amp; CN Trực Tiếp SX</t>
  </si>
  <si>
    <t>BP: Quản lý:</t>
  </si>
  <si>
    <t>Công Đoạn 1</t>
  </si>
  <si>
    <t>CN04</t>
  </si>
  <si>
    <t>Lê Văn Hữu</t>
  </si>
  <si>
    <t>Công Đoạn 2</t>
  </si>
  <si>
    <t>Thông tin cá nhân</t>
  </si>
  <si>
    <t>MST</t>
  </si>
  <si>
    <t>CMND</t>
  </si>
  <si>
    <t>Văn Phòng</t>
  </si>
  <si>
    <t>Cao Minh Chí</t>
  </si>
  <si>
    <t>Nguyễn Thị Sự</t>
  </si>
  <si>
    <t>8323318933</t>
  </si>
  <si>
    <t>300640503</t>
  </si>
  <si>
    <t>8267360022</t>
  </si>
  <si>
    <t>260747892</t>
  </si>
  <si>
    <t>8335551282</t>
  </si>
  <si>
    <t>245082561</t>
  </si>
  <si>
    <t>TL</t>
  </si>
  <si>
    <t>BH</t>
  </si>
  <si>
    <t>Tổng TL</t>
  </si>
  <si>
    <t>TQL-BHXH</t>
  </si>
  <si>
    <t>Nguyễn Thị Kim Quyên</t>
  </si>
  <si>
    <t>8307197294</t>
  </si>
  <si>
    <t>301393905</t>
  </si>
  <si>
    <t>Công Ty TNHH Bao Bì Giấy Kim Dung Phát</t>
  </si>
  <si>
    <t>Địa chỉ: ấp Rừng Sến - Xã Mỹ Hạnh Bắc - Huyện Đức Hoà - Long An</t>
  </si>
  <si>
    <t>MST:1101819710 (Ngày DKT ban đầu: 27/04/2016)</t>
  </si>
  <si>
    <t>8287423263</t>
  </si>
  <si>
    <t>301022774</t>
  </si>
  <si>
    <t>Phan Thị Sương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</si>
</sst>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69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5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0"/>
  <sheetViews>
    <sheetView tabSelected="1" workbookViewId="0">
      <selection activeCell="C14" sqref="C14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10.85546875" customWidth="1"/>
    <col min="7" max="8" width="9.7109375" customWidth="1"/>
    <col min="9" max="9" width="10.5703125" customWidth="1"/>
    <col min="10" max="10" width="5.140625" hidden="1" customWidth="1"/>
    <col min="11" max="11" width="10.5703125" hidden="1" customWidth="1"/>
    <col min="12" max="12" width="5.140625" hidden="1" customWidth="1"/>
    <col min="13" max="13" width="10.5703125" hidden="1" customWidth="1"/>
    <col min="14" max="14" width="5.140625" hidden="1" customWidth="1"/>
    <col min="15" max="15" width="10.5703125" hidden="1" customWidth="1"/>
    <col min="16" max="16" width="5.140625" hidden="1" customWidth="1"/>
    <col min="17" max="17" width="10.5703125" hidden="1" customWidth="1"/>
    <col min="18" max="18" width="5.140625" hidden="1" customWidth="1"/>
    <col min="19" max="19" width="10.5703125" hidden="1" customWidth="1"/>
    <col min="20" max="20" width="5.140625" hidden="1" customWidth="1"/>
    <col min="21" max="21" width="10.5703125" hidden="1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06" t="s">
        <v>103</v>
      </c>
      <c r="E1" s="38"/>
      <c r="F1" s="25"/>
      <c r="G1" s="25"/>
      <c r="H1" s="25"/>
      <c r="AI1" s="38"/>
      <c r="AJ1" s="38"/>
      <c r="AK1" s="38"/>
      <c r="AL1" s="38"/>
    </row>
    <row r="2" spans="1:38" s="2" customFormat="1">
      <c r="A2" s="207" t="s">
        <v>104</v>
      </c>
      <c r="E2" s="38"/>
      <c r="F2" s="25"/>
      <c r="G2" s="25"/>
      <c r="H2" s="25"/>
      <c r="AI2" s="38"/>
      <c r="AJ2" s="38"/>
      <c r="AK2" s="38"/>
      <c r="AL2" s="38"/>
    </row>
    <row r="3" spans="1:38" s="2" customFormat="1">
      <c r="A3" s="205"/>
      <c r="B3" s="95"/>
      <c r="E3" s="38"/>
      <c r="F3" s="25"/>
      <c r="G3" s="25"/>
      <c r="H3" s="25"/>
      <c r="AI3" s="38"/>
      <c r="AJ3" s="38"/>
      <c r="AK3" s="38"/>
      <c r="AL3" s="38"/>
    </row>
    <row r="4" spans="1:38" s="2" customFormat="1" ht="23.25" customHeight="1">
      <c r="B4" s="199"/>
      <c r="D4" s="199"/>
      <c r="E4" s="199"/>
      <c r="F4" s="199" t="s">
        <v>32</v>
      </c>
      <c r="G4" s="199"/>
      <c r="H4" s="199"/>
      <c r="I4" s="199"/>
      <c r="J4" s="199"/>
      <c r="K4" s="199"/>
      <c r="L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38"/>
      <c r="AL4" s="38"/>
    </row>
    <row r="5" spans="1:38" s="2" customFormat="1" ht="23.25" customHeight="1">
      <c r="B5" s="200"/>
      <c r="D5" s="200"/>
      <c r="E5" s="200"/>
      <c r="F5" s="200" t="s">
        <v>105</v>
      </c>
      <c r="G5" s="200"/>
      <c r="H5" s="200"/>
      <c r="I5" s="200"/>
      <c r="J5" s="200"/>
      <c r="K5" s="200"/>
      <c r="L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38"/>
      <c r="AL5" s="38"/>
    </row>
    <row r="6" spans="1:38" s="111" customFormat="1" ht="19.5" customHeight="1">
      <c r="A6" s="109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10"/>
      <c r="AL6" s="110"/>
    </row>
    <row r="7" spans="1:38" s="1" customFormat="1" ht="20.25" customHeight="1">
      <c r="A7" s="217" t="s">
        <v>19</v>
      </c>
      <c r="B7" s="217" t="s">
        <v>3</v>
      </c>
      <c r="C7" s="217" t="s">
        <v>1</v>
      </c>
      <c r="D7" s="217" t="s">
        <v>2</v>
      </c>
      <c r="E7" s="220" t="s">
        <v>49</v>
      </c>
      <c r="F7" s="220"/>
      <c r="G7" s="221" t="s">
        <v>84</v>
      </c>
      <c r="H7" s="222"/>
      <c r="I7" s="223"/>
      <c r="J7" s="221" t="s">
        <v>54</v>
      </c>
      <c r="K7" s="223"/>
      <c r="L7" s="221" t="s">
        <v>55</v>
      </c>
      <c r="M7" s="223"/>
      <c r="N7" s="221" t="s">
        <v>56</v>
      </c>
      <c r="O7" s="223"/>
      <c r="P7" s="221" t="s">
        <v>57</v>
      </c>
      <c r="Q7" s="223"/>
      <c r="R7" s="221" t="s">
        <v>58</v>
      </c>
      <c r="S7" s="223"/>
      <c r="T7" s="221" t="s">
        <v>59</v>
      </c>
      <c r="U7" s="223"/>
      <c r="V7" s="221" t="s">
        <v>60</v>
      </c>
      <c r="W7" s="223"/>
      <c r="X7" s="221" t="s">
        <v>61</v>
      </c>
      <c r="Y7" s="223"/>
      <c r="Z7" s="221" t="s">
        <v>62</v>
      </c>
      <c r="AA7" s="223"/>
      <c r="AB7" s="221" t="s">
        <v>63</v>
      </c>
      <c r="AC7" s="223"/>
      <c r="AD7" s="221" t="s">
        <v>64</v>
      </c>
      <c r="AE7" s="223"/>
      <c r="AF7" s="221" t="s">
        <v>65</v>
      </c>
      <c r="AG7" s="223"/>
      <c r="AH7" s="218" t="s">
        <v>98</v>
      </c>
      <c r="AI7" s="218" t="s">
        <v>22</v>
      </c>
      <c r="AJ7" s="218" t="s">
        <v>11</v>
      </c>
      <c r="AK7" s="93"/>
      <c r="AL7" s="93"/>
    </row>
    <row r="8" spans="1:38" s="1" customFormat="1" ht="20.25" customHeight="1">
      <c r="A8" s="217"/>
      <c r="B8" s="217"/>
      <c r="C8" s="217"/>
      <c r="D8" s="217"/>
      <c r="E8" s="154" t="s">
        <v>72</v>
      </c>
      <c r="F8" s="154">
        <v>2015</v>
      </c>
      <c r="G8" s="201" t="s">
        <v>85</v>
      </c>
      <c r="H8" s="201" t="s">
        <v>86</v>
      </c>
      <c r="I8" s="201"/>
      <c r="J8" s="153" t="s">
        <v>97</v>
      </c>
      <c r="K8" s="201" t="s">
        <v>96</v>
      </c>
      <c r="L8" s="201" t="s">
        <v>97</v>
      </c>
      <c r="M8" s="201" t="s">
        <v>96</v>
      </c>
      <c r="N8" s="201" t="s">
        <v>97</v>
      </c>
      <c r="O8" s="201" t="s">
        <v>96</v>
      </c>
      <c r="P8" s="201" t="s">
        <v>97</v>
      </c>
      <c r="Q8" s="201" t="s">
        <v>96</v>
      </c>
      <c r="R8" s="201" t="s">
        <v>97</v>
      </c>
      <c r="S8" s="201" t="s">
        <v>96</v>
      </c>
      <c r="T8" s="201" t="s">
        <v>97</v>
      </c>
      <c r="U8" s="201" t="s">
        <v>96</v>
      </c>
      <c r="V8" s="201" t="s">
        <v>97</v>
      </c>
      <c r="W8" s="201" t="s">
        <v>96</v>
      </c>
      <c r="X8" s="201" t="s">
        <v>97</v>
      </c>
      <c r="Y8" s="201" t="s">
        <v>96</v>
      </c>
      <c r="Z8" s="201" t="s">
        <v>97</v>
      </c>
      <c r="AA8" s="201" t="s">
        <v>96</v>
      </c>
      <c r="AB8" s="201" t="s">
        <v>97</v>
      </c>
      <c r="AC8" s="201" t="s">
        <v>96</v>
      </c>
      <c r="AD8" s="201" t="s">
        <v>97</v>
      </c>
      <c r="AE8" s="201" t="s">
        <v>96</v>
      </c>
      <c r="AF8" s="201" t="s">
        <v>97</v>
      </c>
      <c r="AG8" s="201" t="s">
        <v>96</v>
      </c>
      <c r="AH8" s="219"/>
      <c r="AI8" s="219"/>
      <c r="AJ8" s="219"/>
      <c r="AK8" s="93"/>
      <c r="AL8" s="93"/>
    </row>
    <row r="9" spans="1:38" s="2" customFormat="1" ht="14.25" customHeight="1">
      <c r="A9" s="113">
        <v>1</v>
      </c>
      <c r="B9" s="113">
        <v>1</v>
      </c>
      <c r="C9" s="113">
        <v>2</v>
      </c>
      <c r="D9" s="113">
        <v>3</v>
      </c>
      <c r="E9" s="113">
        <v>4</v>
      </c>
      <c r="F9" s="113">
        <v>5</v>
      </c>
      <c r="G9" s="113">
        <v>6</v>
      </c>
      <c r="H9" s="113">
        <v>7</v>
      </c>
      <c r="I9" s="113">
        <v>8</v>
      </c>
      <c r="J9" s="113">
        <v>9</v>
      </c>
      <c r="K9" s="113">
        <v>10</v>
      </c>
      <c r="L9" s="113">
        <v>11</v>
      </c>
      <c r="M9" s="113">
        <v>12</v>
      </c>
      <c r="N9" s="113">
        <v>13</v>
      </c>
      <c r="O9" s="113">
        <v>14</v>
      </c>
      <c r="P9" s="113">
        <v>15</v>
      </c>
      <c r="Q9" s="113">
        <v>16</v>
      </c>
      <c r="R9" s="113">
        <v>17</v>
      </c>
      <c r="S9" s="113">
        <v>18</v>
      </c>
      <c r="T9" s="113">
        <v>19</v>
      </c>
      <c r="U9" s="113">
        <v>20</v>
      </c>
      <c r="V9" s="113">
        <v>21</v>
      </c>
      <c r="W9" s="113">
        <v>22</v>
      </c>
      <c r="X9" s="113">
        <v>23</v>
      </c>
      <c r="Y9" s="113">
        <v>24</v>
      </c>
      <c r="Z9" s="113">
        <v>25</v>
      </c>
      <c r="AA9" s="113">
        <v>26</v>
      </c>
      <c r="AB9" s="113">
        <v>27</v>
      </c>
      <c r="AC9" s="113">
        <v>28</v>
      </c>
      <c r="AD9" s="113">
        <v>29</v>
      </c>
      <c r="AE9" s="113">
        <v>30</v>
      </c>
      <c r="AF9" s="113">
        <v>31</v>
      </c>
      <c r="AG9" s="113">
        <v>32</v>
      </c>
      <c r="AH9" s="113">
        <v>33</v>
      </c>
      <c r="AI9" s="113">
        <v>34</v>
      </c>
      <c r="AJ9" s="113">
        <v>35</v>
      </c>
      <c r="AK9" s="38"/>
      <c r="AL9" s="38"/>
    </row>
    <row r="10" spans="1:38" s="143" customFormat="1" ht="21.75" customHeight="1">
      <c r="A10" s="140">
        <f>IF(B10&lt;&gt;"",ROW()-9,"")</f>
        <v>1</v>
      </c>
      <c r="B10" s="140" t="s">
        <v>74</v>
      </c>
      <c r="C10" s="144" t="s">
        <v>100</v>
      </c>
      <c r="D10" s="140" t="s">
        <v>87</v>
      </c>
      <c r="E10" s="171">
        <v>4000000</v>
      </c>
      <c r="F10" s="171"/>
      <c r="G10" s="203" t="s">
        <v>101</v>
      </c>
      <c r="H10" s="203" t="s">
        <v>102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>
        <f t="shared" ref="W10:W16" si="0">IF(ISNA(VLOOKUP($B10,DS_07,18,0)),0,VLOOKUP($B10,DS_07,18,0))</f>
        <v>4390000</v>
      </c>
      <c r="X10" s="136"/>
      <c r="Y10" s="136">
        <f t="shared" ref="Y10:Y16" si="1">IF(ISNA(VLOOKUP($B10,DS_08,18,0)),0,VLOOKUP($B10,DS_08,18,0))</f>
        <v>4405000</v>
      </c>
      <c r="Z10" s="136"/>
      <c r="AA10" s="136">
        <f t="shared" ref="AA10:AA16" si="2">IF(ISNA(VLOOKUP($B10,DS_09,18,0)),0,VLOOKUP($B10,DS_09,18,0))</f>
        <v>4375000</v>
      </c>
      <c r="AB10" s="136"/>
      <c r="AC10" s="136">
        <f t="shared" ref="AC10:AC16" si="3">IF(ISNA(VLOOKUP($B10,DS_10,18,0)),0,VLOOKUP($B10,DS_10,18,0))</f>
        <v>4390000</v>
      </c>
      <c r="AD10" s="136"/>
      <c r="AE10" s="136">
        <f t="shared" ref="AE10:AE16" si="4">IF(ISNA(VLOOKUP($B10,DS_11,18,0)),0,VLOOKUP($B10,DS_11,18,0))</f>
        <v>4390000</v>
      </c>
      <c r="AF10" s="136"/>
      <c r="AG10" s="136">
        <f t="shared" ref="AG10:AG16" si="5">IF(ISNA(VLOOKUP($B10,DS_12,18,0)),0,VLOOKUP($B10,DS_12,18,0))</f>
        <v>4405000</v>
      </c>
      <c r="AH10" s="136">
        <f t="shared" ref="AH10:AH17" si="6">K10+M10+O10+Q10+S10+U10+W10+Y10+AA10+AC10+AE10+AG10</f>
        <v>26355000</v>
      </c>
      <c r="AI10" s="136"/>
      <c r="AJ10" s="136"/>
      <c r="AK10" s="141"/>
      <c r="AL10" s="142"/>
    </row>
    <row r="11" spans="1:38" s="143" customFormat="1" ht="21.75" customHeight="1">
      <c r="A11" s="140">
        <f t="shared" ref="A11:A14" si="7">IF(B11&lt;&gt;"",ROW()-9,"")</f>
        <v>2</v>
      </c>
      <c r="B11" s="147" t="s">
        <v>75</v>
      </c>
      <c r="C11" s="148" t="s">
        <v>82</v>
      </c>
      <c r="D11" s="146" t="s">
        <v>80</v>
      </c>
      <c r="E11" s="149">
        <v>3200000</v>
      </c>
      <c r="F11" s="149"/>
      <c r="G11" s="204" t="s">
        <v>92</v>
      </c>
      <c r="H11" s="203" t="s">
        <v>93</v>
      </c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>
        <f t="shared" si="0"/>
        <v>3590000</v>
      </c>
      <c r="X11" s="136"/>
      <c r="Y11" s="136">
        <f t="shared" si="1"/>
        <v>3605000</v>
      </c>
      <c r="Z11" s="136"/>
      <c r="AA11" s="136">
        <f t="shared" si="2"/>
        <v>3575000</v>
      </c>
      <c r="AB11" s="136"/>
      <c r="AC11" s="136">
        <f t="shared" si="3"/>
        <v>3590000</v>
      </c>
      <c r="AD11" s="136"/>
      <c r="AE11" s="136">
        <f t="shared" si="4"/>
        <v>3590000</v>
      </c>
      <c r="AF11" s="136"/>
      <c r="AG11" s="136">
        <f t="shared" si="5"/>
        <v>3605000</v>
      </c>
      <c r="AH11" s="136">
        <f t="shared" si="6"/>
        <v>21555000</v>
      </c>
      <c r="AI11" s="136"/>
      <c r="AJ11" s="136"/>
      <c r="AK11" s="141"/>
      <c r="AL11" s="142"/>
    </row>
    <row r="12" spans="1:38" s="152" customFormat="1" ht="21.75" customHeight="1">
      <c r="A12" s="140">
        <f t="shared" si="7"/>
        <v>3</v>
      </c>
      <c r="B12" s="147" t="s">
        <v>76</v>
      </c>
      <c r="C12" s="198" t="s">
        <v>108</v>
      </c>
      <c r="D12" s="147" t="s">
        <v>80</v>
      </c>
      <c r="E12" s="149">
        <v>3000000</v>
      </c>
      <c r="F12" s="149"/>
      <c r="G12" s="204" t="s">
        <v>106</v>
      </c>
      <c r="H12" s="204" t="s">
        <v>107</v>
      </c>
      <c r="I12" s="149"/>
      <c r="J12" s="149"/>
      <c r="K12" s="136"/>
      <c r="L12" s="149"/>
      <c r="M12" s="136"/>
      <c r="N12" s="149"/>
      <c r="O12" s="136"/>
      <c r="P12" s="149"/>
      <c r="Q12" s="136"/>
      <c r="R12" s="149"/>
      <c r="S12" s="136"/>
      <c r="T12" s="149"/>
      <c r="U12" s="136"/>
      <c r="V12" s="149"/>
      <c r="W12" s="136">
        <f t="shared" si="0"/>
        <v>3390000</v>
      </c>
      <c r="X12" s="149"/>
      <c r="Y12" s="136">
        <f t="shared" si="1"/>
        <v>3405000</v>
      </c>
      <c r="Z12" s="149"/>
      <c r="AA12" s="136">
        <f t="shared" si="2"/>
        <v>3375000</v>
      </c>
      <c r="AB12" s="149"/>
      <c r="AC12" s="136">
        <f t="shared" si="3"/>
        <v>3390000</v>
      </c>
      <c r="AD12" s="149"/>
      <c r="AE12" s="136">
        <f t="shared" si="4"/>
        <v>3390000</v>
      </c>
      <c r="AF12" s="149"/>
      <c r="AG12" s="136">
        <f t="shared" si="5"/>
        <v>3405000</v>
      </c>
      <c r="AH12" s="136">
        <f t="shared" si="6"/>
        <v>20355000</v>
      </c>
      <c r="AI12" s="149"/>
      <c r="AJ12" s="149"/>
      <c r="AK12" s="150"/>
      <c r="AL12" s="151"/>
    </row>
    <row r="13" spans="1:38" s="152" customFormat="1" ht="21.75" customHeight="1">
      <c r="A13" s="140">
        <f t="shared" si="7"/>
        <v>4</v>
      </c>
      <c r="B13" s="147" t="s">
        <v>77</v>
      </c>
      <c r="C13" s="198" t="s">
        <v>88</v>
      </c>
      <c r="D13" s="146" t="s">
        <v>83</v>
      </c>
      <c r="E13" s="149">
        <v>3200000</v>
      </c>
      <c r="F13" s="149"/>
      <c r="G13" s="204" t="s">
        <v>90</v>
      </c>
      <c r="H13" s="204" t="s">
        <v>91</v>
      </c>
      <c r="I13" s="149"/>
      <c r="J13" s="149"/>
      <c r="K13" s="136"/>
      <c r="L13" s="149"/>
      <c r="M13" s="136"/>
      <c r="N13" s="149"/>
      <c r="O13" s="136"/>
      <c r="P13" s="149"/>
      <c r="Q13" s="136"/>
      <c r="R13" s="149"/>
      <c r="S13" s="136"/>
      <c r="T13" s="149"/>
      <c r="U13" s="136"/>
      <c r="V13" s="149"/>
      <c r="W13" s="136">
        <f t="shared" si="0"/>
        <v>3590000</v>
      </c>
      <c r="X13" s="149"/>
      <c r="Y13" s="136">
        <f t="shared" si="1"/>
        <v>3605000</v>
      </c>
      <c r="Z13" s="149"/>
      <c r="AA13" s="136">
        <f t="shared" si="2"/>
        <v>3575000</v>
      </c>
      <c r="AB13" s="149"/>
      <c r="AC13" s="136">
        <f t="shared" si="3"/>
        <v>3590000</v>
      </c>
      <c r="AD13" s="149"/>
      <c r="AE13" s="136">
        <f t="shared" si="4"/>
        <v>3590000</v>
      </c>
      <c r="AF13" s="149"/>
      <c r="AG13" s="136">
        <f t="shared" si="5"/>
        <v>3605000</v>
      </c>
      <c r="AH13" s="136">
        <f t="shared" si="6"/>
        <v>21555000</v>
      </c>
      <c r="AI13" s="149"/>
      <c r="AJ13" s="149"/>
      <c r="AK13" s="150"/>
      <c r="AL13" s="151"/>
    </row>
    <row r="14" spans="1:38" s="152" customFormat="1" ht="21.75" customHeight="1">
      <c r="A14" s="140">
        <f t="shared" si="7"/>
        <v>5</v>
      </c>
      <c r="B14" s="147" t="s">
        <v>81</v>
      </c>
      <c r="C14" s="198" t="s">
        <v>89</v>
      </c>
      <c r="D14" s="147" t="s">
        <v>83</v>
      </c>
      <c r="E14" s="149">
        <v>3000000</v>
      </c>
      <c r="F14" s="149"/>
      <c r="G14" s="204" t="s">
        <v>94</v>
      </c>
      <c r="H14" s="204" t="s">
        <v>95</v>
      </c>
      <c r="I14" s="149"/>
      <c r="J14" s="149"/>
      <c r="K14" s="136"/>
      <c r="L14" s="149"/>
      <c r="M14" s="136"/>
      <c r="N14" s="149"/>
      <c r="O14" s="136"/>
      <c r="P14" s="149"/>
      <c r="Q14" s="136"/>
      <c r="R14" s="149"/>
      <c r="S14" s="136"/>
      <c r="T14" s="149"/>
      <c r="U14" s="136"/>
      <c r="V14" s="149"/>
      <c r="W14" s="136">
        <f t="shared" si="0"/>
        <v>3390000</v>
      </c>
      <c r="X14" s="149"/>
      <c r="Y14" s="136">
        <f t="shared" si="1"/>
        <v>3405000</v>
      </c>
      <c r="Z14" s="149"/>
      <c r="AA14" s="136">
        <f t="shared" si="2"/>
        <v>3375000</v>
      </c>
      <c r="AB14" s="149"/>
      <c r="AC14" s="136">
        <f t="shared" si="3"/>
        <v>3390000</v>
      </c>
      <c r="AD14" s="149"/>
      <c r="AE14" s="136">
        <f t="shared" si="4"/>
        <v>3390000</v>
      </c>
      <c r="AF14" s="149"/>
      <c r="AG14" s="136">
        <f t="shared" si="5"/>
        <v>3405000</v>
      </c>
      <c r="AH14" s="136">
        <f t="shared" si="6"/>
        <v>20355000</v>
      </c>
      <c r="AI14" s="149"/>
      <c r="AJ14" s="149"/>
      <c r="AK14" s="150"/>
      <c r="AL14" s="151"/>
    </row>
    <row r="15" spans="1:38" s="2" customFormat="1" ht="21.75" customHeight="1">
      <c r="A15" s="146" t="str">
        <f t="shared" ref="A15:A16" si="8">IF(B15&lt;&gt;"",ROW()-10,"")</f>
        <v/>
      </c>
      <c r="B15" s="17"/>
      <c r="C15" s="39"/>
      <c r="D15" s="125"/>
      <c r="E15" s="18"/>
      <c r="F15" s="18"/>
      <c r="G15" s="18"/>
      <c r="H15" s="18"/>
      <c r="I15" s="18"/>
      <c r="J15" s="18"/>
      <c r="K15" s="136"/>
      <c r="L15" s="18"/>
      <c r="M15" s="136"/>
      <c r="N15" s="18"/>
      <c r="O15" s="136"/>
      <c r="P15" s="18"/>
      <c r="Q15" s="136"/>
      <c r="R15" s="18"/>
      <c r="S15" s="136"/>
      <c r="T15" s="18"/>
      <c r="U15" s="136"/>
      <c r="V15" s="18"/>
      <c r="W15" s="136">
        <f t="shared" si="0"/>
        <v>0</v>
      </c>
      <c r="X15" s="18"/>
      <c r="Y15" s="136">
        <f t="shared" si="1"/>
        <v>0</v>
      </c>
      <c r="Z15" s="18"/>
      <c r="AA15" s="136">
        <f t="shared" si="2"/>
        <v>0</v>
      </c>
      <c r="AB15" s="18"/>
      <c r="AC15" s="136">
        <f t="shared" si="3"/>
        <v>0</v>
      </c>
      <c r="AD15" s="18"/>
      <c r="AE15" s="136">
        <f t="shared" si="4"/>
        <v>0</v>
      </c>
      <c r="AF15" s="18"/>
      <c r="AG15" s="136">
        <f t="shared" si="5"/>
        <v>0</v>
      </c>
      <c r="AH15" s="136">
        <f t="shared" si="6"/>
        <v>0</v>
      </c>
      <c r="AI15" s="18"/>
      <c r="AJ15" s="18"/>
      <c r="AK15" s="93"/>
      <c r="AL15" s="38"/>
    </row>
    <row r="16" spans="1:38" s="2" customFormat="1" ht="21.75" customHeight="1">
      <c r="A16" s="140" t="str">
        <f t="shared" si="8"/>
        <v/>
      </c>
      <c r="B16" s="126"/>
      <c r="C16" s="133"/>
      <c r="D16" s="132"/>
      <c r="E16" s="134"/>
      <c r="F16" s="134"/>
      <c r="G16" s="134"/>
      <c r="H16" s="134"/>
      <c r="I16" s="134"/>
      <c r="J16" s="134"/>
      <c r="K16" s="136"/>
      <c r="L16" s="134"/>
      <c r="M16" s="136"/>
      <c r="N16" s="134"/>
      <c r="O16" s="136"/>
      <c r="P16" s="134"/>
      <c r="Q16" s="136"/>
      <c r="R16" s="134"/>
      <c r="S16" s="136"/>
      <c r="T16" s="134"/>
      <c r="U16" s="136"/>
      <c r="V16" s="134"/>
      <c r="W16" s="136">
        <f t="shared" si="0"/>
        <v>0</v>
      </c>
      <c r="X16" s="134"/>
      <c r="Y16" s="136">
        <f t="shared" si="1"/>
        <v>0</v>
      </c>
      <c r="Z16" s="134"/>
      <c r="AA16" s="136">
        <f t="shared" si="2"/>
        <v>0</v>
      </c>
      <c r="AB16" s="134"/>
      <c r="AC16" s="136">
        <f t="shared" si="3"/>
        <v>0</v>
      </c>
      <c r="AD16" s="134"/>
      <c r="AE16" s="136">
        <f t="shared" si="4"/>
        <v>0</v>
      </c>
      <c r="AF16" s="134"/>
      <c r="AG16" s="136">
        <f t="shared" si="5"/>
        <v>0</v>
      </c>
      <c r="AH16" s="136">
        <f t="shared" si="6"/>
        <v>0</v>
      </c>
      <c r="AI16" s="134"/>
      <c r="AJ16" s="134"/>
      <c r="AK16" s="93"/>
      <c r="AL16" s="38"/>
    </row>
    <row r="17" spans="1:38" s="2" customFormat="1" ht="21.75" customHeight="1">
      <c r="A17" s="211" t="s">
        <v>23</v>
      </c>
      <c r="B17" s="212"/>
      <c r="C17" s="212"/>
      <c r="D17" s="137" t="s">
        <v>99</v>
      </c>
      <c r="E17" s="135">
        <f>SUM(E10:E16)</f>
        <v>16400000</v>
      </c>
      <c r="F17" s="135">
        <f>SUM(F10:F16)</f>
        <v>0</v>
      </c>
      <c r="G17" s="135"/>
      <c r="H17" s="135"/>
      <c r="I17" s="135"/>
      <c r="J17" s="135"/>
      <c r="K17" s="135">
        <f>SUMIF(J$10:J$16,"x",$E$10:$E$16)</f>
        <v>0</v>
      </c>
      <c r="L17" s="135"/>
      <c r="M17" s="135">
        <f>SUMIF(L$10:L$16,"x",$E$10:$E$16)</f>
        <v>0</v>
      </c>
      <c r="N17" s="135"/>
      <c r="O17" s="135">
        <f>SUMIF(N$10:N$16,"x",$E$10:$E$16)</f>
        <v>0</v>
      </c>
      <c r="P17" s="135"/>
      <c r="Q17" s="135">
        <f>SUMIF(P$10:P$16,"x",$E$10:$E$16)</f>
        <v>0</v>
      </c>
      <c r="R17" s="135"/>
      <c r="S17" s="135">
        <f>SUMIF(R$10:R$16,"x",$E$10:$E$16)</f>
        <v>0</v>
      </c>
      <c r="T17" s="135"/>
      <c r="U17" s="135">
        <f>SUMIF(T$10:T$16,"x",$E$10:$E$16)</f>
        <v>0</v>
      </c>
      <c r="V17" s="135"/>
      <c r="W17" s="135">
        <f>SUMIF(V$10:V$16,"x",$E$10:$E$16)</f>
        <v>0</v>
      </c>
      <c r="X17" s="135"/>
      <c r="Y17" s="135">
        <f>SUMIF(X$10:X$16,"x",$E$10:$E$16)</f>
        <v>0</v>
      </c>
      <c r="Z17" s="135"/>
      <c r="AA17" s="135">
        <f>SUMIF(Z$10:Z$16,"x",$E$10:$E$16)</f>
        <v>0</v>
      </c>
      <c r="AB17" s="135"/>
      <c r="AC17" s="135">
        <f>SUMIF(AB$10:AB$16,"x",$E$10:$E$16)</f>
        <v>0</v>
      </c>
      <c r="AD17" s="135"/>
      <c r="AE17" s="135">
        <f>SUMIF(AD$10:AD$16,"x",$E$10:$E$16)</f>
        <v>0</v>
      </c>
      <c r="AF17" s="135"/>
      <c r="AG17" s="135">
        <f>SUMIF(AF$10:AF$16,"x",$E$10:$E$16)</f>
        <v>0</v>
      </c>
      <c r="AH17" s="135">
        <f t="shared" si="6"/>
        <v>0</v>
      </c>
      <c r="AI17" s="135"/>
      <c r="AJ17" s="135"/>
      <c r="AK17" s="93"/>
      <c r="AL17" s="38"/>
    </row>
    <row r="18" spans="1:38" s="2" customFormat="1" ht="21.75" customHeight="1">
      <c r="A18" s="213"/>
      <c r="B18" s="214"/>
      <c r="C18" s="214"/>
      <c r="D18" s="137" t="s">
        <v>66</v>
      </c>
      <c r="E18" s="135"/>
      <c r="F18" s="135"/>
      <c r="G18" s="135"/>
      <c r="H18" s="135"/>
      <c r="I18" s="135"/>
      <c r="J18" s="135">
        <f t="array" ref="J18">SUM((J$10:J$16="x")*1)</f>
        <v>0</v>
      </c>
      <c r="K18" s="135"/>
      <c r="L18" s="135">
        <f t="array" ref="L18">SUM((L$10:L$16="x")*1)</f>
        <v>0</v>
      </c>
      <c r="M18" s="135"/>
      <c r="N18" s="135">
        <f t="array" ref="N18">SUM((N$10:N$16="x")*1)</f>
        <v>0</v>
      </c>
      <c r="O18" s="135"/>
      <c r="P18" s="135">
        <f t="array" ref="P18">SUM((P$10:P$16="x")*1)</f>
        <v>0</v>
      </c>
      <c r="Q18" s="135"/>
      <c r="R18" s="135">
        <f t="array" ref="R18">SUM((R$10:R$16="x")*1)</f>
        <v>0</v>
      </c>
      <c r="S18" s="135"/>
      <c r="T18" s="135">
        <f t="array" ref="T18">SUM((T$10:T$16="x")*1)</f>
        <v>0</v>
      </c>
      <c r="U18" s="135"/>
      <c r="V18" s="135">
        <f t="array" ref="V18">SUM((V$10:V$16="x")*1)</f>
        <v>0</v>
      </c>
      <c r="W18" s="135"/>
      <c r="X18" s="135">
        <f t="array" ref="X18">SUM((X$10:X$16="x")*1)</f>
        <v>0</v>
      </c>
      <c r="Y18" s="135"/>
      <c r="Z18" s="135">
        <f t="array" ref="Z18">SUM((Z$10:Z$16="x")*1)</f>
        <v>0</v>
      </c>
      <c r="AA18" s="135"/>
      <c r="AB18" s="135">
        <f t="array" ref="AB18">SUM((AB$10:AB$16="x")*1)</f>
        <v>0</v>
      </c>
      <c r="AC18" s="135"/>
      <c r="AD18" s="135">
        <f t="array" ref="AD18">SUM((AD$10:AD$16="x")*1)</f>
        <v>0</v>
      </c>
      <c r="AE18" s="135"/>
      <c r="AF18" s="135">
        <f t="array" ref="AF18">SUM((AF$10:AF$16="x")*1)</f>
        <v>0</v>
      </c>
      <c r="AG18" s="135"/>
      <c r="AH18" s="135"/>
      <c r="AI18" s="135"/>
      <c r="AJ18" s="135"/>
      <c r="AK18" s="93"/>
      <c r="AL18" s="38"/>
    </row>
    <row r="19" spans="1:38" s="2" customFormat="1" ht="21.75" customHeight="1">
      <c r="A19" s="215"/>
      <c r="B19" s="216"/>
      <c r="C19" s="216"/>
      <c r="D19" s="137" t="s">
        <v>67</v>
      </c>
      <c r="E19" s="135"/>
      <c r="F19" s="135"/>
      <c r="G19" s="135"/>
      <c r="H19" s="135"/>
      <c r="I19" s="135"/>
      <c r="J19" s="135"/>
      <c r="K19" s="135">
        <f>SUM(K10:K16)</f>
        <v>0</v>
      </c>
      <c r="L19" s="135"/>
      <c r="M19" s="135">
        <f>SUM(M10:M16)</f>
        <v>0</v>
      </c>
      <c r="N19" s="135"/>
      <c r="O19" s="135">
        <f t="shared" ref="O19:AG19" si="9">SUM(O10:O16)</f>
        <v>0</v>
      </c>
      <c r="P19" s="135"/>
      <c r="Q19" s="135">
        <f t="shared" si="9"/>
        <v>0</v>
      </c>
      <c r="R19" s="135"/>
      <c r="S19" s="135">
        <f t="shared" si="9"/>
        <v>0</v>
      </c>
      <c r="T19" s="135"/>
      <c r="U19" s="135">
        <f t="shared" si="9"/>
        <v>0</v>
      </c>
      <c r="V19" s="135"/>
      <c r="W19" s="135">
        <f t="shared" si="9"/>
        <v>18350000</v>
      </c>
      <c r="X19" s="135"/>
      <c r="Y19" s="135">
        <f t="shared" si="9"/>
        <v>18425000</v>
      </c>
      <c r="Z19" s="135"/>
      <c r="AA19" s="135">
        <f t="shared" si="9"/>
        <v>18275000</v>
      </c>
      <c r="AB19" s="135"/>
      <c r="AC19" s="135">
        <f t="shared" si="9"/>
        <v>18350000</v>
      </c>
      <c r="AD19" s="135"/>
      <c r="AE19" s="135">
        <f t="shared" si="9"/>
        <v>18350000</v>
      </c>
      <c r="AF19" s="135"/>
      <c r="AG19" s="135">
        <f t="shared" si="9"/>
        <v>18425000</v>
      </c>
      <c r="AH19" s="135">
        <f>K19+M19+O19+Q19+S19+U19+W19+Y19+AA19+AC19+AE19+AG19</f>
        <v>110175000</v>
      </c>
      <c r="AI19" s="135"/>
      <c r="AJ19" s="135"/>
      <c r="AK19" s="93"/>
      <c r="AL19" s="38"/>
    </row>
    <row r="20" spans="1:38" s="2" customFormat="1" ht="11.25" customHeight="1">
      <c r="A20" s="19"/>
      <c r="B20" s="19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38"/>
      <c r="AL20" s="38"/>
    </row>
  </sheetData>
  <protectedRanges>
    <protectedRange password="CC78" sqref="B7:D8 AI7:AI8 J17:AG19 AK7:JS11 F7:H7 C15:H19 J11 C21:JS65164 AI11:AJ11 AH15 B20:B65164 B9:AJ9 J15:J16 L15:L16 L11 N15:N16 N11 P15:P16 P11 R11 T15:T16 T11 V15:V16 V11 X15:X16 X11 Z15:Z16 Z11 AB15:AB16 AB11 AD15:AD16 AD11 AF11 J10:AJ10 AF15:AG16 R15:R16 AH16:JS19 A7:A65164 S11:S16 Q11:Q16 O11:O16 M11:M16 K11:K16 U11:U16 W11:W16 AA11:AA16 Y11:Y16 AC11:AC16 AE11:AE16 AG11:AH14 AI12:JS15" name="Range1"/>
    <protectedRange password="CC78" sqref="O4:JS6 A6:N6 N4:N5 B4:B5 D4:L5" name="Range1_2"/>
    <protectedRange password="CC78" sqref="I7:AH8 I10:I19" name="Range1_3"/>
    <protectedRange password="CC78" sqref="B15:B19" name="Range1_1"/>
    <protectedRange password="CC78" sqref="E7:E8 F8" name="Range1_4"/>
    <protectedRange password="CC78" sqref="AG15:AG16 AE15:AE16 AC15:AC16 Y15:Y16 AA15:AA16 W15:W16 U15:U16 K15:K16 M15:M16 O15:O16 Q15:Q16 S15:S16 J10:AG14" name="Range1_11"/>
    <protectedRange password="CC78" sqref="B11:B14" name="Range1_6_1"/>
    <protectedRange password="CC78" sqref="F10:F14" name="Range1_8"/>
    <protectedRange password="CC78" sqref="D14" name="Range1_5_2"/>
    <protectedRange password="CC78" sqref="D11" name="Range1_7_1"/>
    <protectedRange password="CC78" sqref="C12:D12" name="Range1_5_1_1"/>
    <protectedRange password="CC78" sqref="D13" name="Range1_7_1_1_1"/>
    <protectedRange password="CC78" sqref="E10:E14" name="Range1_7"/>
    <protectedRange password="CC78" sqref="G13" name="Range1_11_2_1"/>
    <protectedRange password="CC78" sqref="G12 G14" name="Range1_11_3"/>
    <protectedRange password="CC78" sqref="G10" name="Range1_16"/>
    <protectedRange password="CC78" sqref="G10" name="Range1_11_4"/>
    <protectedRange password="CC78" sqref="C13" name="Range1_5_2_1"/>
    <protectedRange password="CC78" sqref="C14" name="Range1_5_3"/>
    <protectedRange password="CC78" sqref="H10" name="Range1_9"/>
    <protectedRange password="CC78" sqref="H10" name="Range1_11_5"/>
    <protectedRange password="CC78" sqref="H12:H14" name="Range1_11_1_2"/>
    <protectedRange password="CC78" sqref="G11" name="Range1_11_1"/>
    <protectedRange password="CC78" sqref="H11" name="Range1_3_2_1"/>
  </protectedRanges>
  <autoFilter ref="A9:AL13"/>
  <mergeCells count="22">
    <mergeCell ref="AF7:AG7"/>
    <mergeCell ref="V7:W7"/>
    <mergeCell ref="X7:Y7"/>
    <mergeCell ref="Z7:AA7"/>
    <mergeCell ref="AB7:AC7"/>
    <mergeCell ref="AD7:AE7"/>
    <mergeCell ref="A17:C19"/>
    <mergeCell ref="B7:B8"/>
    <mergeCell ref="A7:A8"/>
    <mergeCell ref="C7:C8"/>
    <mergeCell ref="AJ7:AJ8"/>
    <mergeCell ref="AI7:AI8"/>
    <mergeCell ref="D7:D8"/>
    <mergeCell ref="E7:F7"/>
    <mergeCell ref="G7:I7"/>
    <mergeCell ref="J7:K7"/>
    <mergeCell ref="L7:M7"/>
    <mergeCell ref="AH7:AH8"/>
    <mergeCell ref="N7:O7"/>
    <mergeCell ref="P7:Q7"/>
    <mergeCell ref="R7:S7"/>
    <mergeCell ref="T7:U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4" sqref="A14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2" customWidth="1"/>
    <col min="5" max="5" width="7.140625" style="2" customWidth="1"/>
    <col min="6" max="33" width="3.42578125" style="107" customWidth="1"/>
    <col min="34" max="36" width="3.42578125" style="108" customWidth="1"/>
    <col min="37" max="38" width="4.42578125" style="2" customWidth="1"/>
    <col min="39" max="39" width="5.5703125" style="86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3"/>
      <c r="B1" s="40"/>
      <c r="C1" s="40"/>
      <c r="D1" s="44"/>
      <c r="E1" s="40"/>
      <c r="F1" s="44"/>
      <c r="G1" s="44"/>
      <c r="H1" s="44"/>
      <c r="I1" s="44"/>
      <c r="J1" s="44"/>
      <c r="K1" s="103"/>
      <c r="L1" s="103"/>
      <c r="M1" s="103"/>
      <c r="N1" s="103"/>
      <c r="O1" s="103"/>
      <c r="P1" s="103"/>
      <c r="Q1" s="103"/>
      <c r="R1" s="103"/>
      <c r="S1" s="42" t="str">
        <f>CONCATENATE("BẢNG CHẤM CÔNG THÁNG ",TEXT($E$4,"mm")," NĂM ",TEXT($E$4,"yyyy"))</f>
        <v>BẢNG CHẤM CÔNG THÁNG 07 NĂM 2016</v>
      </c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41"/>
      <c r="AL1" s="41"/>
      <c r="AM1" s="241" t="s">
        <v>78</v>
      </c>
      <c r="AN1" s="242"/>
      <c r="AO1" s="242"/>
      <c r="AP1" s="242"/>
      <c r="AQ1" s="242"/>
      <c r="AR1" s="242"/>
      <c r="AS1" s="243"/>
      <c r="AT1" s="43"/>
    </row>
    <row r="2" spans="1:91" ht="20.25">
      <c r="A2" s="123"/>
      <c r="B2" s="44"/>
      <c r="C2" s="44"/>
      <c r="D2" s="44"/>
      <c r="E2" s="44"/>
      <c r="F2" s="44"/>
      <c r="G2" s="44"/>
      <c r="H2" s="44"/>
      <c r="I2" s="44"/>
      <c r="J2" s="44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41"/>
      <c r="AL2" s="41"/>
      <c r="AM2" s="82"/>
      <c r="AN2" s="45"/>
      <c r="AO2" s="45"/>
      <c r="AP2" s="45"/>
      <c r="AQ2" s="45"/>
      <c r="AR2" s="45"/>
      <c r="AS2" s="81"/>
      <c r="AT2" s="81"/>
    </row>
    <row r="3" spans="1:91" ht="21" customHeight="1">
      <c r="A3" s="123"/>
      <c r="B3" s="46"/>
      <c r="C3" s="46"/>
      <c r="D3" s="47"/>
      <c r="E3" s="47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41"/>
      <c r="AL3" s="41"/>
      <c r="AM3" s="82"/>
      <c r="AN3" s="43"/>
      <c r="AO3" s="43"/>
      <c r="AP3" s="43"/>
      <c r="AQ3" s="43"/>
      <c r="AR3" s="43"/>
      <c r="AS3" s="48"/>
      <c r="AT3" s="48"/>
    </row>
    <row r="4" spans="1:91" ht="14.25" customHeight="1">
      <c r="A4" s="49"/>
      <c r="B4" s="49"/>
      <c r="C4" s="139"/>
      <c r="D4" s="138"/>
      <c r="E4" s="50">
        <v>42552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  <c r="AI4" s="52"/>
      <c r="AJ4" s="52"/>
      <c r="AK4" s="49"/>
      <c r="AL4" s="49"/>
      <c r="AM4" s="83"/>
      <c r="AN4" s="49"/>
      <c r="AO4" s="49"/>
      <c r="AP4" s="49"/>
      <c r="AQ4" s="49"/>
      <c r="AR4" s="49"/>
      <c r="AS4" s="49"/>
      <c r="AT4" s="87"/>
    </row>
    <row r="5" spans="1:91" s="53" customFormat="1" ht="18.75" customHeight="1">
      <c r="A5" s="244" t="s">
        <v>26</v>
      </c>
      <c r="B5" s="244" t="s">
        <v>3</v>
      </c>
      <c r="C5" s="244" t="s">
        <v>1</v>
      </c>
      <c r="D5" s="246" t="s">
        <v>27</v>
      </c>
      <c r="E5" s="244" t="s">
        <v>28</v>
      </c>
      <c r="F5" s="102">
        <f>+E4</f>
        <v>42552</v>
      </c>
      <c r="G5" s="102">
        <f t="shared" ref="G5:AJ5" si="0">F5+1</f>
        <v>42553</v>
      </c>
      <c r="H5" s="102">
        <f t="shared" si="0"/>
        <v>42554</v>
      </c>
      <c r="I5" s="102">
        <f t="shared" si="0"/>
        <v>42555</v>
      </c>
      <c r="J5" s="102">
        <f t="shared" si="0"/>
        <v>42556</v>
      </c>
      <c r="K5" s="102">
        <f t="shared" si="0"/>
        <v>42557</v>
      </c>
      <c r="L5" s="102">
        <f t="shared" si="0"/>
        <v>42558</v>
      </c>
      <c r="M5" s="102">
        <f t="shared" si="0"/>
        <v>42559</v>
      </c>
      <c r="N5" s="102">
        <f t="shared" si="0"/>
        <v>42560</v>
      </c>
      <c r="O5" s="102">
        <f t="shared" si="0"/>
        <v>42561</v>
      </c>
      <c r="P5" s="102">
        <f t="shared" si="0"/>
        <v>42562</v>
      </c>
      <c r="Q5" s="102">
        <f t="shared" si="0"/>
        <v>42563</v>
      </c>
      <c r="R5" s="102">
        <f t="shared" si="0"/>
        <v>42564</v>
      </c>
      <c r="S5" s="102">
        <f t="shared" si="0"/>
        <v>42565</v>
      </c>
      <c r="T5" s="102">
        <f t="shared" si="0"/>
        <v>42566</v>
      </c>
      <c r="U5" s="102">
        <f t="shared" si="0"/>
        <v>42567</v>
      </c>
      <c r="V5" s="102">
        <f t="shared" si="0"/>
        <v>42568</v>
      </c>
      <c r="W5" s="102">
        <f t="shared" si="0"/>
        <v>42569</v>
      </c>
      <c r="X5" s="102">
        <f t="shared" si="0"/>
        <v>42570</v>
      </c>
      <c r="Y5" s="102">
        <f t="shared" si="0"/>
        <v>42571</v>
      </c>
      <c r="Z5" s="102">
        <f t="shared" si="0"/>
        <v>42572</v>
      </c>
      <c r="AA5" s="102">
        <f t="shared" si="0"/>
        <v>42573</v>
      </c>
      <c r="AB5" s="102">
        <f t="shared" si="0"/>
        <v>42574</v>
      </c>
      <c r="AC5" s="102">
        <f t="shared" si="0"/>
        <v>42575</v>
      </c>
      <c r="AD5" s="102">
        <f t="shared" si="0"/>
        <v>42576</v>
      </c>
      <c r="AE5" s="102">
        <f t="shared" si="0"/>
        <v>42577</v>
      </c>
      <c r="AF5" s="102">
        <f t="shared" si="0"/>
        <v>42578</v>
      </c>
      <c r="AG5" s="102">
        <f t="shared" si="0"/>
        <v>42579</v>
      </c>
      <c r="AH5" s="102">
        <f>AG5+1</f>
        <v>42580</v>
      </c>
      <c r="AI5" s="102">
        <f t="shared" si="0"/>
        <v>42581</v>
      </c>
      <c r="AJ5" s="102">
        <f t="shared" si="0"/>
        <v>42582</v>
      </c>
      <c r="AK5" s="247" t="s">
        <v>15</v>
      </c>
      <c r="AL5" s="248"/>
      <c r="AM5" s="249"/>
      <c r="AN5" s="250" t="s">
        <v>39</v>
      </c>
      <c r="AO5" s="250" t="s">
        <v>35</v>
      </c>
      <c r="AP5" s="250" t="s">
        <v>36</v>
      </c>
      <c r="AQ5" s="250" t="s">
        <v>37</v>
      </c>
      <c r="AR5" s="250" t="s">
        <v>38</v>
      </c>
      <c r="AS5" s="246" t="s">
        <v>0</v>
      </c>
      <c r="AT5" s="2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3" customFormat="1" ht="39.75" customHeight="1">
      <c r="A6" s="245"/>
      <c r="B6" s="245"/>
      <c r="C6" s="245"/>
      <c r="D6" s="245"/>
      <c r="E6" s="245"/>
      <c r="F6" s="155" t="str">
        <f>CHOOSE(WEEKDAY(F5),"C.Nhật","T.Hai","T.Ba","T.Tư","T.Năm","T.Sáu","T.Bảy")</f>
        <v>T.Sáu</v>
      </c>
      <c r="G6" s="155" t="str">
        <f t="shared" ref="G6:AJ6" si="1">CHOOSE(WEEKDAY(G5),"C.Nhật","T.Hai","T.Ba","T.Tư","T.Năm","T.Sáu","T.Bảy")</f>
        <v>T.Bảy</v>
      </c>
      <c r="H6" s="155" t="str">
        <f t="shared" si="1"/>
        <v>C.Nhật</v>
      </c>
      <c r="I6" s="155" t="str">
        <f t="shared" si="1"/>
        <v>T.Hai</v>
      </c>
      <c r="J6" s="155" t="str">
        <f t="shared" si="1"/>
        <v>T.Ba</v>
      </c>
      <c r="K6" s="155" t="str">
        <f t="shared" si="1"/>
        <v>T.Tư</v>
      </c>
      <c r="L6" s="155" t="str">
        <f t="shared" si="1"/>
        <v>T.Năm</v>
      </c>
      <c r="M6" s="155" t="str">
        <f t="shared" si="1"/>
        <v>T.Sáu</v>
      </c>
      <c r="N6" s="155" t="str">
        <f t="shared" si="1"/>
        <v>T.Bảy</v>
      </c>
      <c r="O6" s="155" t="str">
        <f t="shared" si="1"/>
        <v>C.Nhật</v>
      </c>
      <c r="P6" s="155" t="str">
        <f t="shared" si="1"/>
        <v>T.Hai</v>
      </c>
      <c r="Q6" s="155" t="str">
        <f t="shared" si="1"/>
        <v>T.Ba</v>
      </c>
      <c r="R6" s="155" t="str">
        <f t="shared" si="1"/>
        <v>T.Tư</v>
      </c>
      <c r="S6" s="155" t="str">
        <f t="shared" si="1"/>
        <v>T.Năm</v>
      </c>
      <c r="T6" s="155" t="str">
        <f t="shared" si="1"/>
        <v>T.Sáu</v>
      </c>
      <c r="U6" s="155" t="str">
        <f t="shared" si="1"/>
        <v>T.Bảy</v>
      </c>
      <c r="V6" s="155" t="str">
        <f t="shared" si="1"/>
        <v>C.Nhật</v>
      </c>
      <c r="W6" s="155" t="str">
        <f t="shared" si="1"/>
        <v>T.Hai</v>
      </c>
      <c r="X6" s="155" t="str">
        <f t="shared" si="1"/>
        <v>T.Ba</v>
      </c>
      <c r="Y6" s="155" t="str">
        <f t="shared" si="1"/>
        <v>T.Tư</v>
      </c>
      <c r="Z6" s="155" t="str">
        <f t="shared" si="1"/>
        <v>T.Năm</v>
      </c>
      <c r="AA6" s="155" t="str">
        <f t="shared" si="1"/>
        <v>T.Sáu</v>
      </c>
      <c r="AB6" s="155" t="str">
        <f t="shared" si="1"/>
        <v>T.Bảy</v>
      </c>
      <c r="AC6" s="155" t="str">
        <f t="shared" si="1"/>
        <v>C.Nhật</v>
      </c>
      <c r="AD6" s="155" t="str">
        <f t="shared" si="1"/>
        <v>T.Hai</v>
      </c>
      <c r="AE6" s="155" t="str">
        <f t="shared" si="1"/>
        <v>T.Ba</v>
      </c>
      <c r="AF6" s="155" t="str">
        <f t="shared" si="1"/>
        <v>T.Tư</v>
      </c>
      <c r="AG6" s="155" t="str">
        <f t="shared" si="1"/>
        <v>T.Năm</v>
      </c>
      <c r="AH6" s="155" t="str">
        <f t="shared" si="1"/>
        <v>T.Sáu</v>
      </c>
      <c r="AI6" s="155" t="str">
        <f t="shared" si="1"/>
        <v>T.Bảy</v>
      </c>
      <c r="AJ6" s="155" t="str">
        <f t="shared" si="1"/>
        <v>C.Nhật</v>
      </c>
      <c r="AK6" s="156" t="s">
        <v>16</v>
      </c>
      <c r="AL6" s="156" t="s">
        <v>29</v>
      </c>
      <c r="AM6" s="157" t="s">
        <v>17</v>
      </c>
      <c r="AN6" s="251"/>
      <c r="AO6" s="251"/>
      <c r="AP6" s="251"/>
      <c r="AQ6" s="251"/>
      <c r="AR6" s="251"/>
      <c r="AS6" s="245"/>
      <c r="AT6" s="2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3" customFormat="1" ht="12.75" customHeight="1">
      <c r="A7" s="158">
        <v>1</v>
      </c>
      <c r="B7" s="158">
        <v>1</v>
      </c>
      <c r="C7" s="158">
        <v>2</v>
      </c>
      <c r="D7" s="158">
        <v>3</v>
      </c>
      <c r="E7" s="158">
        <v>4</v>
      </c>
      <c r="F7" s="158">
        <v>5</v>
      </c>
      <c r="G7" s="158">
        <v>6</v>
      </c>
      <c r="H7" s="158">
        <v>7</v>
      </c>
      <c r="I7" s="158">
        <v>8</v>
      </c>
      <c r="J7" s="158">
        <v>9</v>
      </c>
      <c r="K7" s="158">
        <v>10</v>
      </c>
      <c r="L7" s="158">
        <v>11</v>
      </c>
      <c r="M7" s="158">
        <v>12</v>
      </c>
      <c r="N7" s="158">
        <v>13</v>
      </c>
      <c r="O7" s="158">
        <v>14</v>
      </c>
      <c r="P7" s="158">
        <v>15</v>
      </c>
      <c r="Q7" s="158">
        <v>16</v>
      </c>
      <c r="R7" s="158">
        <v>17</v>
      </c>
      <c r="S7" s="158">
        <v>18</v>
      </c>
      <c r="T7" s="158">
        <v>19</v>
      </c>
      <c r="U7" s="158">
        <v>20</v>
      </c>
      <c r="V7" s="158">
        <v>21</v>
      </c>
      <c r="W7" s="158">
        <v>22</v>
      </c>
      <c r="X7" s="158">
        <v>23</v>
      </c>
      <c r="Y7" s="158">
        <v>24</v>
      </c>
      <c r="Z7" s="158">
        <v>25</v>
      </c>
      <c r="AA7" s="158">
        <v>26</v>
      </c>
      <c r="AB7" s="158">
        <v>27</v>
      </c>
      <c r="AC7" s="158">
        <v>28</v>
      </c>
      <c r="AD7" s="158">
        <v>29</v>
      </c>
      <c r="AE7" s="158">
        <v>30</v>
      </c>
      <c r="AF7" s="158">
        <v>31</v>
      </c>
      <c r="AG7" s="158">
        <v>32</v>
      </c>
      <c r="AH7" s="158">
        <v>33</v>
      </c>
      <c r="AI7" s="158">
        <v>34</v>
      </c>
      <c r="AJ7" s="158">
        <v>35</v>
      </c>
      <c r="AK7" s="158">
        <v>36</v>
      </c>
      <c r="AL7" s="158">
        <v>37</v>
      </c>
      <c r="AM7" s="158">
        <v>38</v>
      </c>
      <c r="AN7" s="158">
        <v>39</v>
      </c>
      <c r="AO7" s="158">
        <v>40</v>
      </c>
      <c r="AP7" s="158">
        <v>41</v>
      </c>
      <c r="AQ7" s="158">
        <v>42</v>
      </c>
      <c r="AR7" s="158">
        <v>43</v>
      </c>
      <c r="AS7" s="158">
        <v>44</v>
      </c>
      <c r="AT7" s="17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1" customFormat="1" ht="21" customHeight="1">
      <c r="A8" s="159" t="s">
        <v>68</v>
      </c>
      <c r="B8" s="162" t="s">
        <v>79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4"/>
      <c r="AT8" s="160"/>
    </row>
    <row r="9" spans="1:91" s="53" customFormat="1" ht="18" customHeight="1">
      <c r="A9" s="234">
        <v>1</v>
      </c>
      <c r="B9" s="234" t="s">
        <v>74</v>
      </c>
      <c r="C9" s="236" t="str">
        <f>VLOOKUP(B9,DS,2,0)</f>
        <v>Nguyễn Thị Kim Quyên</v>
      </c>
      <c r="D9" s="238" t="str">
        <f>VLOOKUP(B9,DS,3,0)</f>
        <v>Văn Phòng</v>
      </c>
      <c r="E9" s="54" t="s">
        <v>30</v>
      </c>
      <c r="F9" s="127">
        <v>8</v>
      </c>
      <c r="G9" s="127">
        <v>8</v>
      </c>
      <c r="H9" s="127"/>
      <c r="I9" s="127">
        <v>8</v>
      </c>
      <c r="J9" s="127">
        <v>8</v>
      </c>
      <c r="K9" s="127">
        <v>8</v>
      </c>
      <c r="L9" s="127">
        <v>8</v>
      </c>
      <c r="M9" s="127">
        <v>8</v>
      </c>
      <c r="N9" s="127">
        <v>8</v>
      </c>
      <c r="O9" s="127"/>
      <c r="P9" s="127">
        <v>8</v>
      </c>
      <c r="Q9" s="127">
        <v>8</v>
      </c>
      <c r="R9" s="127">
        <v>8</v>
      </c>
      <c r="S9" s="127">
        <v>8</v>
      </c>
      <c r="T9" s="127">
        <v>8</v>
      </c>
      <c r="U9" s="127">
        <v>8</v>
      </c>
      <c r="V9" s="127"/>
      <c r="W9" s="127">
        <v>8</v>
      </c>
      <c r="X9" s="127">
        <v>8</v>
      </c>
      <c r="Y9" s="127">
        <v>8</v>
      </c>
      <c r="Z9" s="127">
        <v>8</v>
      </c>
      <c r="AA9" s="127">
        <v>8</v>
      </c>
      <c r="AB9" s="127">
        <v>8</v>
      </c>
      <c r="AC9" s="127"/>
      <c r="AD9" s="127">
        <v>8</v>
      </c>
      <c r="AE9" s="127">
        <v>8</v>
      </c>
      <c r="AF9" s="127">
        <v>8</v>
      </c>
      <c r="AG9" s="127">
        <v>8</v>
      </c>
      <c r="AH9" s="127">
        <v>8</v>
      </c>
      <c r="AI9" s="127">
        <v>8</v>
      </c>
      <c r="AJ9" s="127"/>
      <c r="AK9" s="228">
        <f>((SUM(F9:AJ9))/8)-(SUMIF($F$6:$AJ$6,"C.Nhật",F9:AJ9)/8)</f>
        <v>26</v>
      </c>
      <c r="AL9" s="228">
        <f>SUM(F10:AJ10)/8*1.5</f>
        <v>0</v>
      </c>
      <c r="AM9" s="230">
        <f>SUMIF($F$6:$AJ$6,"C.Nhật",$F9:$AJ10)/8*2</f>
        <v>0</v>
      </c>
      <c r="AN9" s="224">
        <f>SUM(AK9:AM10)</f>
        <v>26</v>
      </c>
      <c r="AO9" s="232">
        <v>0</v>
      </c>
      <c r="AP9" s="224"/>
      <c r="AQ9" s="224"/>
      <c r="AR9" s="224"/>
      <c r="AS9" s="226"/>
      <c r="AT9" s="17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3" customFormat="1" ht="18" customHeight="1">
      <c r="A10" s="235"/>
      <c r="B10" s="235"/>
      <c r="C10" s="237"/>
      <c r="D10" s="239"/>
      <c r="E10" s="55" t="s">
        <v>29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229"/>
      <c r="AL10" s="229"/>
      <c r="AM10" s="231"/>
      <c r="AN10" s="225"/>
      <c r="AO10" s="233"/>
      <c r="AP10" s="225"/>
      <c r="AQ10" s="225"/>
      <c r="AR10" s="225"/>
      <c r="AS10" s="227"/>
      <c r="AT10" s="17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1" customFormat="1" ht="21" customHeight="1">
      <c r="A11" s="159" t="s">
        <v>69</v>
      </c>
      <c r="B11" s="162" t="s">
        <v>73</v>
      </c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4"/>
      <c r="AT11" s="160"/>
    </row>
    <row r="12" spans="1:91" s="53" customFormat="1" ht="18" customHeight="1">
      <c r="A12" s="234">
        <v>1</v>
      </c>
      <c r="B12" s="234" t="s">
        <v>75</v>
      </c>
      <c r="C12" s="236" t="str">
        <f>VLOOKUP(B12,DS,2,0)</f>
        <v>Lê Văn Hữu</v>
      </c>
      <c r="D12" s="238" t="str">
        <f>VLOOKUP(B12,DS,3,0)</f>
        <v>Công Đoạn 1</v>
      </c>
      <c r="E12" s="54" t="s">
        <v>30</v>
      </c>
      <c r="F12" s="127">
        <v>8</v>
      </c>
      <c r="G12" s="127">
        <v>8</v>
      </c>
      <c r="H12" s="127"/>
      <c r="I12" s="127">
        <v>8</v>
      </c>
      <c r="J12" s="127">
        <v>8</v>
      </c>
      <c r="K12" s="127">
        <v>8</v>
      </c>
      <c r="L12" s="127">
        <v>8</v>
      </c>
      <c r="M12" s="127">
        <v>8</v>
      </c>
      <c r="N12" s="127">
        <v>8</v>
      </c>
      <c r="O12" s="127"/>
      <c r="P12" s="127">
        <v>8</v>
      </c>
      <c r="Q12" s="127">
        <v>8</v>
      </c>
      <c r="R12" s="127">
        <v>8</v>
      </c>
      <c r="S12" s="127">
        <v>8</v>
      </c>
      <c r="T12" s="127">
        <v>8</v>
      </c>
      <c r="U12" s="127">
        <v>8</v>
      </c>
      <c r="V12" s="127"/>
      <c r="W12" s="127">
        <v>8</v>
      </c>
      <c r="X12" s="127">
        <v>8</v>
      </c>
      <c r="Y12" s="127">
        <v>8</v>
      </c>
      <c r="Z12" s="127">
        <v>8</v>
      </c>
      <c r="AA12" s="127">
        <v>8</v>
      </c>
      <c r="AB12" s="127">
        <v>8</v>
      </c>
      <c r="AC12" s="127"/>
      <c r="AD12" s="127">
        <v>8</v>
      </c>
      <c r="AE12" s="127">
        <v>8</v>
      </c>
      <c r="AF12" s="127">
        <v>8</v>
      </c>
      <c r="AG12" s="127">
        <v>8</v>
      </c>
      <c r="AH12" s="127">
        <v>8</v>
      </c>
      <c r="AI12" s="127">
        <v>8</v>
      </c>
      <c r="AJ12" s="127"/>
      <c r="AK12" s="228">
        <f t="shared" ref="AK12" si="2">((SUM(F12:AJ12))/8)-(SUMIF($F$6:$AJ$6,"C.Nhật",F12:AJ12)/8)</f>
        <v>26</v>
      </c>
      <c r="AL12" s="228">
        <f t="shared" ref="AL12" si="3">SUM(F13:AJ13)/8*1.5</f>
        <v>0</v>
      </c>
      <c r="AM12" s="230">
        <f>SUMIF($F$6:$AJ$6,"C.Nhật",$F12:$AJ13)/8*2</f>
        <v>0</v>
      </c>
      <c r="AN12" s="224">
        <f>SUM(AK12:AM13)</f>
        <v>26</v>
      </c>
      <c r="AO12" s="232">
        <v>0</v>
      </c>
      <c r="AP12" s="224"/>
      <c r="AQ12" s="224"/>
      <c r="AR12" s="224"/>
      <c r="AS12" s="226"/>
      <c r="AT12" s="19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3" customFormat="1" ht="18" customHeight="1">
      <c r="A13" s="235"/>
      <c r="B13" s="235"/>
      <c r="C13" s="237"/>
      <c r="D13" s="239"/>
      <c r="E13" s="55" t="s">
        <v>29</v>
      </c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229"/>
      <c r="AL13" s="229"/>
      <c r="AM13" s="231"/>
      <c r="AN13" s="225"/>
      <c r="AO13" s="233"/>
      <c r="AP13" s="225"/>
      <c r="AQ13" s="225"/>
      <c r="AR13" s="225"/>
      <c r="AS13" s="227"/>
      <c r="AT13" s="19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3" customFormat="1" ht="18" customHeight="1">
      <c r="A14" s="234">
        <v>2</v>
      </c>
      <c r="B14" s="234" t="s">
        <v>76</v>
      </c>
      <c r="C14" s="236" t="str">
        <f>VLOOKUP(B14,DS,2,0)</f>
        <v>Phan Thị Sương</v>
      </c>
      <c r="D14" s="238" t="str">
        <f>VLOOKUP(B14,DS,3,0)</f>
        <v>Công Đoạn 1</v>
      </c>
      <c r="E14" s="54" t="s">
        <v>30</v>
      </c>
      <c r="F14" s="127">
        <v>8</v>
      </c>
      <c r="G14" s="127">
        <v>8</v>
      </c>
      <c r="H14" s="127"/>
      <c r="I14" s="127">
        <v>8</v>
      </c>
      <c r="J14" s="127">
        <v>8</v>
      </c>
      <c r="K14" s="127">
        <v>8</v>
      </c>
      <c r="L14" s="127">
        <v>8</v>
      </c>
      <c r="M14" s="127">
        <v>8</v>
      </c>
      <c r="N14" s="127">
        <v>8</v>
      </c>
      <c r="O14" s="127"/>
      <c r="P14" s="127">
        <v>8</v>
      </c>
      <c r="Q14" s="127">
        <v>8</v>
      </c>
      <c r="R14" s="127">
        <v>8</v>
      </c>
      <c r="S14" s="127">
        <v>8</v>
      </c>
      <c r="T14" s="127">
        <v>8</v>
      </c>
      <c r="U14" s="127">
        <v>8</v>
      </c>
      <c r="V14" s="127"/>
      <c r="W14" s="127">
        <v>8</v>
      </c>
      <c r="X14" s="127">
        <v>8</v>
      </c>
      <c r="Y14" s="127">
        <v>8</v>
      </c>
      <c r="Z14" s="127">
        <v>8</v>
      </c>
      <c r="AA14" s="127">
        <v>8</v>
      </c>
      <c r="AB14" s="127">
        <v>8</v>
      </c>
      <c r="AC14" s="127"/>
      <c r="AD14" s="127">
        <v>8</v>
      </c>
      <c r="AE14" s="127">
        <v>8</v>
      </c>
      <c r="AF14" s="127">
        <v>8</v>
      </c>
      <c r="AG14" s="127">
        <v>8</v>
      </c>
      <c r="AH14" s="127">
        <v>8</v>
      </c>
      <c r="AI14" s="127">
        <v>8</v>
      </c>
      <c r="AJ14" s="127"/>
      <c r="AK14" s="228">
        <f t="shared" ref="AK14" si="4">((SUM(F14:AJ14))/8)-(SUMIF($F$6:$AJ$6,"C.Nhật",F14:AJ14)/8)</f>
        <v>26</v>
      </c>
      <c r="AL14" s="228">
        <f t="shared" ref="AL14" si="5">SUM(F15:AJ15)/8*1.5</f>
        <v>0</v>
      </c>
      <c r="AM14" s="230">
        <f>SUMIF($F$6:$AJ$6,"C.Nhật",$F14:$AJ15)/8*2</f>
        <v>0</v>
      </c>
      <c r="AN14" s="224">
        <f t="shared" ref="AN14" si="6">SUM(AK14:AM15)</f>
        <v>26</v>
      </c>
      <c r="AO14" s="232">
        <v>0</v>
      </c>
      <c r="AP14" s="224"/>
      <c r="AQ14" s="224"/>
      <c r="AR14" s="224"/>
      <c r="AS14" s="226"/>
      <c r="AT14" s="1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3" customFormat="1" ht="18" customHeight="1">
      <c r="A15" s="235"/>
      <c r="B15" s="235"/>
      <c r="C15" s="237"/>
      <c r="D15" s="239"/>
      <c r="E15" s="55" t="s">
        <v>29</v>
      </c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229"/>
      <c r="AL15" s="229"/>
      <c r="AM15" s="231"/>
      <c r="AN15" s="225"/>
      <c r="AO15" s="233"/>
      <c r="AP15" s="225"/>
      <c r="AQ15" s="225"/>
      <c r="AR15" s="225"/>
      <c r="AS15" s="227"/>
      <c r="AT15" s="1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3" customFormat="1" ht="18" customHeight="1">
      <c r="A16" s="234">
        <v>3</v>
      </c>
      <c r="B16" s="234" t="s">
        <v>77</v>
      </c>
      <c r="C16" s="236" t="str">
        <f>VLOOKUP(B16,DS,2,0)</f>
        <v>Cao Minh Chí</v>
      </c>
      <c r="D16" s="238" t="str">
        <f>VLOOKUP(B16,DS,3,0)</f>
        <v>Công Đoạn 2</v>
      </c>
      <c r="E16" s="54" t="s">
        <v>30</v>
      </c>
      <c r="F16" s="127">
        <v>8</v>
      </c>
      <c r="G16" s="127">
        <v>8</v>
      </c>
      <c r="H16" s="127"/>
      <c r="I16" s="127">
        <v>8</v>
      </c>
      <c r="J16" s="127">
        <v>8</v>
      </c>
      <c r="K16" s="127">
        <v>8</v>
      </c>
      <c r="L16" s="127">
        <v>8</v>
      </c>
      <c r="M16" s="127">
        <v>8</v>
      </c>
      <c r="N16" s="127">
        <v>8</v>
      </c>
      <c r="O16" s="127"/>
      <c r="P16" s="127">
        <v>8</v>
      </c>
      <c r="Q16" s="127">
        <v>8</v>
      </c>
      <c r="R16" s="127">
        <v>8</v>
      </c>
      <c r="S16" s="127">
        <v>8</v>
      </c>
      <c r="T16" s="127">
        <v>8</v>
      </c>
      <c r="U16" s="127">
        <v>8</v>
      </c>
      <c r="V16" s="127"/>
      <c r="W16" s="127">
        <v>8</v>
      </c>
      <c r="X16" s="127">
        <v>8</v>
      </c>
      <c r="Y16" s="127">
        <v>8</v>
      </c>
      <c r="Z16" s="127">
        <v>8</v>
      </c>
      <c r="AA16" s="127">
        <v>8</v>
      </c>
      <c r="AB16" s="127">
        <v>8</v>
      </c>
      <c r="AC16" s="127"/>
      <c r="AD16" s="127">
        <v>8</v>
      </c>
      <c r="AE16" s="127">
        <v>8</v>
      </c>
      <c r="AF16" s="127">
        <v>8</v>
      </c>
      <c r="AG16" s="127">
        <v>8</v>
      </c>
      <c r="AH16" s="127">
        <v>8</v>
      </c>
      <c r="AI16" s="127">
        <v>8</v>
      </c>
      <c r="AJ16" s="127"/>
      <c r="AK16" s="228">
        <f t="shared" ref="AK16" si="7">((SUM(F16:AJ16))/8)-(SUMIF($F$6:$AJ$6,"C.Nhật",F16:AJ16)/8)</f>
        <v>26</v>
      </c>
      <c r="AL16" s="228">
        <f t="shared" ref="AL16" si="8">SUM(F17:AJ17)/8*1.5</f>
        <v>0</v>
      </c>
      <c r="AM16" s="230">
        <f>SUMIF($F$6:$AJ$6,"C.Nhật",$F16:$AJ17)/8*2</f>
        <v>0</v>
      </c>
      <c r="AN16" s="224">
        <f t="shared" ref="AN16" si="9">SUM(AK16:AM17)</f>
        <v>26</v>
      </c>
      <c r="AO16" s="232">
        <v>0</v>
      </c>
      <c r="AP16" s="224"/>
      <c r="AQ16" s="224"/>
      <c r="AR16" s="224"/>
      <c r="AS16" s="226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3" customFormat="1" ht="18" customHeight="1">
      <c r="A17" s="235"/>
      <c r="B17" s="235"/>
      <c r="C17" s="237"/>
      <c r="D17" s="239"/>
      <c r="E17" s="55" t="s">
        <v>29</v>
      </c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229"/>
      <c r="AL17" s="229"/>
      <c r="AM17" s="231"/>
      <c r="AN17" s="225"/>
      <c r="AO17" s="233"/>
      <c r="AP17" s="225"/>
      <c r="AQ17" s="225"/>
      <c r="AR17" s="225"/>
      <c r="AS17" s="227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3" customFormat="1" ht="18" customHeight="1">
      <c r="A18" s="234">
        <v>4</v>
      </c>
      <c r="B18" s="234" t="s">
        <v>81</v>
      </c>
      <c r="C18" s="236" t="str">
        <f>VLOOKUP(B18,DS,2,0)</f>
        <v>Nguyễn Thị Sự</v>
      </c>
      <c r="D18" s="238" t="str">
        <f>VLOOKUP(B18,DS,3,0)</f>
        <v>Công Đoạn 2</v>
      </c>
      <c r="E18" s="54" t="s">
        <v>30</v>
      </c>
      <c r="F18" s="127">
        <v>8</v>
      </c>
      <c r="G18" s="127">
        <v>8</v>
      </c>
      <c r="H18" s="127"/>
      <c r="I18" s="127">
        <v>8</v>
      </c>
      <c r="J18" s="127">
        <v>8</v>
      </c>
      <c r="K18" s="127">
        <v>8</v>
      </c>
      <c r="L18" s="127">
        <v>8</v>
      </c>
      <c r="M18" s="127">
        <v>8</v>
      </c>
      <c r="N18" s="127">
        <v>8</v>
      </c>
      <c r="O18" s="127"/>
      <c r="P18" s="127">
        <v>8</v>
      </c>
      <c r="Q18" s="127">
        <v>8</v>
      </c>
      <c r="R18" s="127">
        <v>8</v>
      </c>
      <c r="S18" s="127">
        <v>8</v>
      </c>
      <c r="T18" s="127">
        <v>8</v>
      </c>
      <c r="U18" s="127">
        <v>8</v>
      </c>
      <c r="V18" s="127"/>
      <c r="W18" s="127">
        <v>8</v>
      </c>
      <c r="X18" s="127">
        <v>8</v>
      </c>
      <c r="Y18" s="127">
        <v>8</v>
      </c>
      <c r="Z18" s="127">
        <v>8</v>
      </c>
      <c r="AA18" s="127">
        <v>8</v>
      </c>
      <c r="AB18" s="127">
        <v>8</v>
      </c>
      <c r="AC18" s="127"/>
      <c r="AD18" s="127">
        <v>8</v>
      </c>
      <c r="AE18" s="127">
        <v>8</v>
      </c>
      <c r="AF18" s="127">
        <v>8</v>
      </c>
      <c r="AG18" s="127">
        <v>8</v>
      </c>
      <c r="AH18" s="127">
        <v>8</v>
      </c>
      <c r="AI18" s="127">
        <v>8</v>
      </c>
      <c r="AJ18" s="127"/>
      <c r="AK18" s="228">
        <f t="shared" ref="AK18" si="10">((SUM(F18:AJ18))/8)-(SUMIF($F$6:$AJ$6,"C.Nhật",F18:AJ18)/8)</f>
        <v>26</v>
      </c>
      <c r="AL18" s="228">
        <f t="shared" ref="AL18" si="11">SUM(F19:AJ19)/8*1.5</f>
        <v>0</v>
      </c>
      <c r="AM18" s="230">
        <f>SUMIF($F$6:$AJ$6,"C.Nhật",$F18:$AJ19)/8*2</f>
        <v>0</v>
      </c>
      <c r="AN18" s="224">
        <f t="shared" ref="AN18" si="12">SUM(AK18:AM19)</f>
        <v>26</v>
      </c>
      <c r="AO18" s="232">
        <v>0</v>
      </c>
      <c r="AP18" s="224"/>
      <c r="AQ18" s="224"/>
      <c r="AR18" s="224"/>
      <c r="AS18" s="226"/>
      <c r="AT18" s="1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3" customFormat="1" ht="18" customHeight="1">
      <c r="A19" s="235"/>
      <c r="B19" s="235"/>
      <c r="C19" s="237"/>
      <c r="D19" s="239"/>
      <c r="E19" s="55" t="s">
        <v>29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229"/>
      <c r="AL19" s="229"/>
      <c r="AM19" s="231"/>
      <c r="AN19" s="225"/>
      <c r="AO19" s="233"/>
      <c r="AP19" s="225"/>
      <c r="AQ19" s="225"/>
      <c r="AR19" s="225"/>
      <c r="AS19" s="227"/>
      <c r="AT19" s="1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6" customFormat="1" ht="12.75">
      <c r="A20" s="14"/>
      <c r="B20" s="57"/>
      <c r="C20" s="4"/>
      <c r="D20" s="98"/>
      <c r="E20" s="4"/>
      <c r="F20" s="61"/>
      <c r="G20" s="61"/>
      <c r="H20" s="58"/>
      <c r="I20" s="58"/>
      <c r="J20" s="104"/>
      <c r="K20" s="61"/>
      <c r="L20" s="58"/>
      <c r="M20" s="61"/>
      <c r="N20" s="61"/>
      <c r="O20" s="61"/>
      <c r="P20" s="61"/>
      <c r="Q20" s="58"/>
      <c r="R20" s="61"/>
      <c r="S20" s="61"/>
      <c r="T20" s="104"/>
      <c r="U20" s="61"/>
      <c r="V20" s="61"/>
      <c r="W20" s="61"/>
      <c r="X20" s="57"/>
      <c r="Y20" s="61"/>
      <c r="Z20" s="61"/>
      <c r="AA20" s="61"/>
      <c r="AB20" s="61"/>
      <c r="AC20" s="61"/>
      <c r="AD20" s="58"/>
      <c r="AE20" s="61"/>
      <c r="AF20" s="61"/>
      <c r="AG20" s="61"/>
      <c r="AH20" s="61"/>
      <c r="AI20" s="61"/>
      <c r="AJ20" s="61"/>
      <c r="AK20" s="4"/>
      <c r="AL20" s="4"/>
      <c r="AM20" s="84"/>
      <c r="AN20" s="60"/>
      <c r="AO20" s="60"/>
      <c r="AP20" s="60"/>
      <c r="AQ20" s="60"/>
      <c r="AR20" s="60"/>
      <c r="AS20" s="4"/>
      <c r="AT20" s="90"/>
    </row>
    <row r="21" spans="1:90" s="56" customFormat="1" ht="12.75">
      <c r="A21" s="14"/>
      <c r="B21" s="57"/>
      <c r="C21" s="14" t="s">
        <v>14</v>
      </c>
      <c r="D21" s="98"/>
      <c r="E21" s="4"/>
      <c r="F21" s="61"/>
      <c r="G21" s="61"/>
      <c r="H21" s="58"/>
      <c r="I21" s="58"/>
      <c r="J21" s="104"/>
      <c r="K21" s="61"/>
      <c r="L21" s="58"/>
      <c r="M21" s="61"/>
      <c r="N21" s="61"/>
      <c r="O21" s="61"/>
      <c r="P21" s="61"/>
      <c r="Q21" s="58"/>
      <c r="R21" s="61"/>
      <c r="S21" s="61"/>
      <c r="T21" s="104"/>
      <c r="U21" s="61"/>
      <c r="V21" s="61"/>
      <c r="W21" s="61"/>
      <c r="X21" s="57"/>
      <c r="Y21" s="61"/>
      <c r="Z21" s="61"/>
      <c r="AA21" s="61"/>
      <c r="AB21" s="61"/>
      <c r="AC21" s="61"/>
      <c r="AD21" s="58"/>
      <c r="AE21" s="61"/>
      <c r="AF21" s="61"/>
      <c r="AG21" s="61"/>
      <c r="AH21" s="61"/>
      <c r="AI21" s="61"/>
      <c r="AJ21" s="61"/>
      <c r="AK21" s="4"/>
      <c r="AL21" s="4"/>
      <c r="AM21" s="84"/>
      <c r="AN21" s="60"/>
      <c r="AO21" s="60"/>
      <c r="AP21" s="60"/>
      <c r="AQ21" s="60"/>
      <c r="AR21" s="60"/>
      <c r="AS21" s="4"/>
      <c r="AT21" s="90"/>
    </row>
    <row r="22" spans="1:90" s="56" customFormat="1" ht="12.75">
      <c r="A22" s="12"/>
      <c r="B22" s="12"/>
      <c r="C22" s="4"/>
      <c r="D22" s="98"/>
      <c r="E22" s="4"/>
      <c r="F22" s="61"/>
      <c r="G22" s="61"/>
      <c r="H22" s="105"/>
      <c r="I22" s="105"/>
      <c r="J22" s="105"/>
      <c r="K22" s="61"/>
      <c r="L22" s="105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105"/>
      <c r="AE22" s="61"/>
      <c r="AF22" s="61"/>
      <c r="AG22" s="61"/>
      <c r="AH22" s="61"/>
      <c r="AI22" s="61"/>
      <c r="AJ22" s="61"/>
      <c r="AK22" s="4"/>
      <c r="AL22" s="4"/>
      <c r="AM22" s="84"/>
      <c r="AN22" s="62"/>
      <c r="AO22" s="62"/>
      <c r="AP22" s="62"/>
      <c r="AQ22" s="62"/>
      <c r="AR22" s="62"/>
      <c r="AS22" s="4"/>
      <c r="AT22" s="90"/>
    </row>
    <row r="23" spans="1:90" s="59" customFormat="1" ht="15" customHeight="1">
      <c r="A23" s="12"/>
      <c r="B23" s="12"/>
      <c r="C23" s="4"/>
      <c r="D23" s="98"/>
      <c r="E23" s="4"/>
      <c r="F23" s="61"/>
      <c r="G23" s="61"/>
      <c r="H23" s="105"/>
      <c r="I23" s="105"/>
      <c r="J23" s="105"/>
      <c r="K23" s="61"/>
      <c r="L23" s="105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105"/>
      <c r="AE23" s="61"/>
      <c r="AF23" s="61"/>
      <c r="AG23" s="61"/>
      <c r="AH23" s="61"/>
      <c r="AI23" s="61"/>
      <c r="AJ23" s="61"/>
      <c r="AK23" s="4"/>
      <c r="AL23" s="4"/>
      <c r="AM23" s="84"/>
      <c r="AN23" s="62"/>
      <c r="AO23" s="62"/>
      <c r="AP23" s="62"/>
      <c r="AQ23" s="62"/>
      <c r="AR23" s="62"/>
      <c r="AS23" s="4"/>
      <c r="AT23" s="4"/>
    </row>
    <row r="24" spans="1:90" s="59" customFormat="1" ht="11.25">
      <c r="A24" s="12"/>
      <c r="B24" s="12"/>
      <c r="C24" s="4"/>
      <c r="D24" s="98"/>
      <c r="E24" s="4"/>
      <c r="F24" s="61"/>
      <c r="G24" s="61"/>
      <c r="H24" s="105"/>
      <c r="I24" s="105"/>
      <c r="J24" s="105"/>
      <c r="K24" s="61"/>
      <c r="L24" s="105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105"/>
      <c r="AE24" s="61"/>
      <c r="AF24" s="61"/>
      <c r="AG24" s="61"/>
      <c r="AH24" s="61"/>
      <c r="AI24" s="61"/>
      <c r="AJ24" s="61"/>
      <c r="AK24" s="4"/>
      <c r="AL24" s="4"/>
      <c r="AM24" s="84"/>
      <c r="AN24" s="62"/>
      <c r="AO24" s="62"/>
      <c r="AP24" s="62"/>
      <c r="AQ24" s="62"/>
      <c r="AR24" s="62"/>
      <c r="AS24" s="4"/>
      <c r="AT24" s="4"/>
    </row>
    <row r="25" spans="1:90" s="59" customFormat="1" ht="11.25">
      <c r="A25" s="12"/>
      <c r="B25" s="12"/>
      <c r="C25" s="4"/>
      <c r="D25" s="98"/>
      <c r="E25" s="4"/>
      <c r="F25" s="61"/>
      <c r="G25" s="61"/>
      <c r="H25" s="105"/>
      <c r="I25" s="105"/>
      <c r="J25" s="105"/>
      <c r="K25" s="61"/>
      <c r="L25" s="105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105"/>
      <c r="AE25" s="61"/>
      <c r="AF25" s="61"/>
      <c r="AG25" s="61"/>
      <c r="AH25" s="61"/>
      <c r="AI25" s="61"/>
      <c r="AJ25" s="61"/>
      <c r="AK25" s="4"/>
      <c r="AL25" s="4"/>
      <c r="AM25" s="84"/>
      <c r="AN25" s="62"/>
      <c r="AO25" s="62"/>
      <c r="AP25" s="62"/>
      <c r="AQ25" s="62"/>
      <c r="AR25" s="62"/>
      <c r="AS25" s="4"/>
      <c r="AT25" s="4"/>
    </row>
    <row r="26" spans="1:90" s="59" customFormat="1" ht="11.25">
      <c r="A26" s="10"/>
      <c r="B26" s="10"/>
      <c r="C26" s="14"/>
      <c r="D26" s="99"/>
      <c r="E26" s="63"/>
      <c r="F26" s="104"/>
      <c r="G26" s="106"/>
      <c r="H26" s="58"/>
      <c r="I26" s="58"/>
      <c r="J26" s="58"/>
      <c r="K26" s="106"/>
      <c r="L26" s="58"/>
      <c r="M26" s="106"/>
      <c r="N26" s="106"/>
      <c r="O26" s="106"/>
      <c r="P26" s="106"/>
      <c r="Q26" s="58"/>
      <c r="R26" s="104"/>
      <c r="S26" s="106"/>
      <c r="T26" s="106"/>
      <c r="U26" s="58"/>
      <c r="V26" s="106"/>
      <c r="W26" s="106"/>
      <c r="X26" s="58"/>
      <c r="Y26" s="106"/>
      <c r="Z26" s="106"/>
      <c r="AA26" s="106"/>
      <c r="AB26" s="106"/>
      <c r="AC26" s="106"/>
      <c r="AD26" s="58"/>
      <c r="AE26" s="106"/>
      <c r="AF26" s="106"/>
      <c r="AG26" s="106"/>
      <c r="AH26" s="106"/>
      <c r="AI26" s="106"/>
      <c r="AJ26" s="106"/>
      <c r="AK26" s="63"/>
      <c r="AM26" s="85"/>
      <c r="AN26" s="10"/>
      <c r="AO26" s="10"/>
      <c r="AP26" s="10"/>
      <c r="AQ26" s="10"/>
      <c r="AR26" s="10"/>
      <c r="AS26" s="14"/>
      <c r="AT26" s="4"/>
    </row>
    <row r="27" spans="1:90" s="59" customFormat="1" ht="12.75">
      <c r="A27" s="2"/>
      <c r="B27" s="2" t="s">
        <v>0</v>
      </c>
      <c r="C27" s="2"/>
      <c r="D27" s="172"/>
      <c r="E27" s="2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8"/>
      <c r="AI27" s="108"/>
      <c r="AJ27" s="108"/>
      <c r="AK27" s="2"/>
      <c r="AL27" s="2"/>
      <c r="AM27" s="86"/>
      <c r="AN27" s="2"/>
      <c r="AO27" s="2"/>
      <c r="AP27" s="2"/>
      <c r="AQ27" s="2"/>
      <c r="AR27" s="2"/>
      <c r="AS27" s="2"/>
      <c r="AT27" s="4"/>
    </row>
    <row r="28" spans="1:90" s="59" customFormat="1" ht="12.75">
      <c r="A28" s="2"/>
      <c r="B28" s="2"/>
      <c r="C28" s="2" t="s">
        <v>40</v>
      </c>
      <c r="D28" s="172"/>
      <c r="E28" s="2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8"/>
      <c r="AI28" s="108"/>
      <c r="AJ28" s="108"/>
      <c r="AK28" s="2"/>
      <c r="AL28" s="2"/>
      <c r="AM28" s="86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41</v>
      </c>
    </row>
    <row r="30" spans="1:90" ht="15" customHeight="1">
      <c r="C30" s="2" t="s">
        <v>42</v>
      </c>
    </row>
    <row r="31" spans="1:90" ht="15" customHeight="1">
      <c r="C31" s="2" t="s">
        <v>43</v>
      </c>
    </row>
    <row r="32" spans="1:90" ht="15" customHeight="1">
      <c r="C32" s="2" t="s">
        <v>44</v>
      </c>
    </row>
    <row r="33" spans="3:3" ht="15" customHeight="1">
      <c r="C33" s="2" t="s">
        <v>45</v>
      </c>
    </row>
    <row r="34" spans="3:3" ht="15" customHeight="1">
      <c r="C34" s="2" t="s">
        <v>46</v>
      </c>
    </row>
    <row r="35" spans="3:3" ht="15" customHeight="1">
      <c r="C35" s="2" t="s">
        <v>47</v>
      </c>
    </row>
    <row r="36" spans="3:3" ht="15" customHeight="1">
      <c r="C36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O14:AO15"/>
    <mergeCell ref="AP14:AP15"/>
    <mergeCell ref="AQ14:AQ15"/>
    <mergeCell ref="AR14:AR15"/>
    <mergeCell ref="AS14:AS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14:A15"/>
    <mergeCell ref="B14:B15"/>
    <mergeCell ref="C14:C15"/>
    <mergeCell ref="D14:D15"/>
    <mergeCell ref="AK14:AK15"/>
    <mergeCell ref="AQ12:AQ13"/>
    <mergeCell ref="AR12:AR13"/>
    <mergeCell ref="AS12:AS13"/>
    <mergeCell ref="AO12:AO13"/>
    <mergeCell ref="AP12:AP13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6:AL17"/>
    <mergeCell ref="AM16:AM17"/>
    <mergeCell ref="AN16:AN17"/>
    <mergeCell ref="AO16:AO17"/>
    <mergeCell ref="AP16:AP17"/>
  </mergeCells>
  <conditionalFormatting sqref="F5:AJ6 F9:AJ10 F12:AJ15 F18:AJ19">
    <cfRule type="expression" dxfId="51" priority="41" stopIfTrue="1">
      <formula>IF(WEEKDAY(F$5)=1,TRUE,FALSE)</formula>
    </cfRule>
  </conditionalFormatting>
  <conditionalFormatting sqref="F9:AJ10">
    <cfRule type="expression" dxfId="50" priority="40" stopIfTrue="1">
      <formula>IF(WEEKDAY(F$5)=1,TRUE,FALSE)</formula>
    </cfRule>
  </conditionalFormatting>
  <conditionalFormatting sqref="F16:AJ17">
    <cfRule type="expression" dxfId="4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G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5" sqref="B15:B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7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3"/>
      <c r="B1" s="176"/>
      <c r="C1" s="176"/>
      <c r="D1" s="258" t="str">
        <f>"BẢNG THANH TOÁN LƯƠNG THÁNG"&amp;" "&amp;TEXT($E$4,"mm")&amp;" / "&amp;TEXT($E$4,"yyyy")</f>
        <v>BẢNG THANH TOÁN LƯƠNG THÁNG 07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78</v>
      </c>
      <c r="S1" s="261"/>
      <c r="T1" s="262"/>
      <c r="U1" s="114" t="s">
        <v>51</v>
      </c>
      <c r="V1" s="96" t="s">
        <v>33</v>
      </c>
      <c r="W1" s="69"/>
      <c r="X1" s="69"/>
      <c r="Y1" s="5"/>
      <c r="Z1" s="5"/>
    </row>
    <row r="2" spans="1:31" s="4" customFormat="1" ht="15" customHeight="1">
      <c r="A2" s="123"/>
      <c r="B2" s="176"/>
      <c r="C2" s="176"/>
      <c r="D2" s="176"/>
      <c r="E2" s="67"/>
      <c r="F2" s="176"/>
      <c r="G2" s="176"/>
      <c r="H2" s="176"/>
      <c r="I2" s="176"/>
      <c r="J2" s="68"/>
      <c r="K2" s="176"/>
      <c r="L2" s="176"/>
      <c r="M2" s="176"/>
      <c r="N2" s="176"/>
      <c r="O2" s="176"/>
      <c r="P2" s="176"/>
      <c r="Q2" s="176"/>
      <c r="R2" s="176"/>
      <c r="S2" s="176"/>
      <c r="T2" s="45"/>
      <c r="U2" s="66">
        <f>MAX(F10:F19)</f>
        <v>26</v>
      </c>
      <c r="V2" s="97">
        <v>31</v>
      </c>
      <c r="W2" s="69"/>
      <c r="X2" s="69"/>
      <c r="Y2" s="5"/>
      <c r="Z2" s="5"/>
    </row>
    <row r="3" spans="1:31" s="4" customFormat="1" ht="15" customHeight="1">
      <c r="A3" s="123"/>
      <c r="B3" s="176"/>
      <c r="C3" s="176"/>
      <c r="D3" s="176"/>
      <c r="E3" s="67"/>
      <c r="F3" s="176"/>
      <c r="G3" s="176"/>
      <c r="H3" s="176"/>
      <c r="I3" s="176"/>
      <c r="J3" s="68"/>
      <c r="K3" s="176"/>
      <c r="L3" s="176"/>
      <c r="M3" s="176"/>
      <c r="N3" s="176"/>
      <c r="O3" s="176"/>
      <c r="P3" s="176"/>
      <c r="Q3" s="176"/>
      <c r="R3" s="176"/>
      <c r="S3" s="176"/>
      <c r="T3" s="45"/>
      <c r="U3" s="115"/>
      <c r="V3" s="116"/>
      <c r="W3" s="69"/>
      <c r="X3" s="69"/>
      <c r="Y3" s="5"/>
      <c r="Z3" s="5"/>
    </row>
    <row r="4" spans="1:31" s="91" customFormat="1" ht="14.25" customHeight="1">
      <c r="A4" s="89"/>
      <c r="B4" s="90"/>
      <c r="C4" s="90"/>
      <c r="D4" s="90"/>
      <c r="E4" s="170">
        <f>'CC -7'!$E$4</f>
        <v>42552</v>
      </c>
      <c r="F4" s="90"/>
      <c r="G4" s="90"/>
      <c r="H4" s="90"/>
      <c r="I4" s="90"/>
      <c r="J4" s="90"/>
      <c r="K4" s="90"/>
      <c r="L4" s="90"/>
      <c r="M4" s="90"/>
      <c r="N4" s="145">
        <v>0.08</v>
      </c>
      <c r="O4" s="145">
        <v>1.4999999999999999E-2</v>
      </c>
      <c r="P4" s="145">
        <v>0.01</v>
      </c>
      <c r="Q4" s="90"/>
      <c r="R4" s="90"/>
      <c r="S4" s="90"/>
      <c r="T4" s="90"/>
      <c r="U4" s="90"/>
      <c r="V4" s="92"/>
      <c r="W4" s="92"/>
      <c r="X4" s="92"/>
      <c r="Y4" s="92"/>
      <c r="Z4" s="92"/>
    </row>
    <row r="5" spans="1:31" s="22" customFormat="1" ht="24" customHeight="1">
      <c r="A5" s="263" t="s">
        <v>19</v>
      </c>
      <c r="B5" s="263" t="s">
        <v>20</v>
      </c>
      <c r="C5" s="217" t="s">
        <v>1</v>
      </c>
      <c r="D5" s="217" t="s">
        <v>2</v>
      </c>
      <c r="E5" s="220" t="s">
        <v>49</v>
      </c>
      <c r="F5" s="265" t="s">
        <v>24</v>
      </c>
      <c r="G5" s="266"/>
      <c r="H5" s="266"/>
      <c r="I5" s="266"/>
      <c r="J5" s="266"/>
      <c r="K5" s="267"/>
      <c r="L5" s="254" t="s">
        <v>50</v>
      </c>
      <c r="M5" s="254" t="s">
        <v>5</v>
      </c>
      <c r="N5" s="217" t="s">
        <v>6</v>
      </c>
      <c r="O5" s="217"/>
      <c r="P5" s="217"/>
      <c r="Q5" s="254" t="s">
        <v>7</v>
      </c>
      <c r="R5" s="254" t="s">
        <v>8</v>
      </c>
      <c r="S5" s="254" t="s">
        <v>9</v>
      </c>
      <c r="T5" s="218" t="s">
        <v>10</v>
      </c>
      <c r="U5" s="90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64"/>
      <c r="B6" s="264"/>
      <c r="C6" s="217"/>
      <c r="D6" s="217"/>
      <c r="E6" s="220"/>
      <c r="F6" s="265" t="s">
        <v>52</v>
      </c>
      <c r="G6" s="267"/>
      <c r="H6" s="265" t="s">
        <v>71</v>
      </c>
      <c r="I6" s="266"/>
      <c r="J6" s="252" t="s">
        <v>25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31</v>
      </c>
      <c r="Q6" s="255"/>
      <c r="R6" s="255"/>
      <c r="S6" s="255"/>
      <c r="T6" s="219"/>
      <c r="U6" s="90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64"/>
      <c r="B7" s="264"/>
      <c r="C7" s="254"/>
      <c r="D7" s="254"/>
      <c r="E7" s="220"/>
      <c r="F7" s="175" t="s">
        <v>34</v>
      </c>
      <c r="G7" s="173" t="s">
        <v>18</v>
      </c>
      <c r="H7" s="175" t="s">
        <v>34</v>
      </c>
      <c r="I7" s="112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9"/>
      <c r="U7" s="90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1" customFormat="1" ht="12.75" customHeight="1">
      <c r="A8" s="70">
        <v>1</v>
      </c>
      <c r="B8" s="70">
        <v>1</v>
      </c>
      <c r="C8" s="70">
        <v>2</v>
      </c>
      <c r="D8" s="70">
        <v>3</v>
      </c>
      <c r="E8" s="70">
        <v>4</v>
      </c>
      <c r="F8" s="70">
        <v>5</v>
      </c>
      <c r="G8" s="70">
        <v>6</v>
      </c>
      <c r="H8" s="70">
        <v>7</v>
      </c>
      <c r="I8" s="70">
        <v>8</v>
      </c>
      <c r="J8" s="70">
        <v>9</v>
      </c>
      <c r="K8" s="70">
        <v>10</v>
      </c>
      <c r="L8" s="70">
        <v>11</v>
      </c>
      <c r="M8" s="70">
        <v>12</v>
      </c>
      <c r="N8" s="70">
        <v>13</v>
      </c>
      <c r="O8" s="70">
        <v>14</v>
      </c>
      <c r="P8" s="70">
        <v>15</v>
      </c>
      <c r="Q8" s="70">
        <v>16</v>
      </c>
      <c r="R8" s="70">
        <v>17</v>
      </c>
      <c r="S8" s="70">
        <v>18</v>
      </c>
      <c r="T8" s="70">
        <v>19</v>
      </c>
      <c r="U8" s="90"/>
      <c r="V8" s="72"/>
      <c r="W8" s="72"/>
      <c r="X8" s="73"/>
      <c r="Y8" s="73"/>
      <c r="Z8" s="73"/>
      <c r="AA8" s="74"/>
      <c r="AB8" s="74"/>
      <c r="AC8" s="74"/>
      <c r="AD8" s="74"/>
      <c r="AE8" s="74"/>
    </row>
    <row r="9" spans="1:31" s="71" customFormat="1" ht="24" customHeight="1">
      <c r="A9" s="169" t="s">
        <v>68</v>
      </c>
      <c r="B9" s="168" t="s">
        <v>79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90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28" customFormat="1" ht="24" customHeight="1">
      <c r="A10" s="30">
        <v>1</v>
      </c>
      <c r="B10" s="125" t="s">
        <v>74</v>
      </c>
      <c r="C10" s="75" t="str">
        <f t="shared" ref="C10" si="0">VLOOKUP(B10,DS,2,0)</f>
        <v>Nguyễn Thị Kim Quyên</v>
      </c>
      <c r="D10" s="100" t="str">
        <f t="shared" ref="D10" si="1">VLOOKUP(B10,DS,3,0)</f>
        <v>Văn Phòng</v>
      </c>
      <c r="E10" s="76">
        <f t="shared" ref="E10" si="2">VLOOKUP(B10,DS,4,0)</f>
        <v>4000000</v>
      </c>
      <c r="F10" s="78">
        <f>VLOOKUP(B10,'CC -7'!$B$8:$AS$19,36,0)</f>
        <v>26</v>
      </c>
      <c r="G10" s="129">
        <f t="shared" ref="G10" si="3">ROUND(E10/$U$2*F10,0)</f>
        <v>4000000</v>
      </c>
      <c r="H10" s="78">
        <f>(VLOOKUP(B10,'CC -7'!$B$8:$AS$19,37,0)+VLOOKUP(B10,'CC -7'!$B$8:$AS$19,38,0))</f>
        <v>0</v>
      </c>
      <c r="I10" s="129">
        <f t="shared" ref="I10" si="4">ROUND(E10/$U$2*H10,0)</f>
        <v>0</v>
      </c>
      <c r="J10" s="79">
        <f t="shared" ref="J10" si="5">F10+H10</f>
        <v>26</v>
      </c>
      <c r="K10" s="31">
        <f>G10+I10</f>
        <v>4000000</v>
      </c>
      <c r="L10" s="76">
        <f t="shared" ref="L10" si="6">+F10*15000</f>
        <v>390000</v>
      </c>
      <c r="M10" s="32">
        <f t="shared" ref="M10" si="7">K10+L10</f>
        <v>4390000</v>
      </c>
      <c r="N10" s="32">
        <f>IF(VLOOKUP($B10,DS,21,0)="x",$E10*N$4,0)</f>
        <v>0</v>
      </c>
      <c r="O10" s="32">
        <f>IF(VLOOKUP($B10,DS,21,0)="x",$E10*O$4,0)</f>
        <v>0</v>
      </c>
      <c r="P10" s="32">
        <f>IF(VLOOKUP($B10,DS,21,0)="x",$E10*P$4,0)</f>
        <v>0</v>
      </c>
      <c r="Q10" s="31">
        <f t="shared" ref="Q10" si="8">M10-SUM(N10:P10)</f>
        <v>4390000</v>
      </c>
      <c r="R10" s="31">
        <f>VLOOKUP(B10,DS,23,0)</f>
        <v>0</v>
      </c>
      <c r="S10" s="37">
        <f t="shared" ref="S10" si="9">Q10-R10</f>
        <v>4390000</v>
      </c>
      <c r="T10" s="31"/>
      <c r="U10" s="90"/>
      <c r="V10" s="29"/>
      <c r="W10" s="23"/>
      <c r="X10" s="5"/>
      <c r="Y10" s="5"/>
      <c r="Z10" s="5"/>
      <c r="AA10" s="4"/>
      <c r="AB10" s="4"/>
      <c r="AC10" s="4"/>
      <c r="AD10" s="4"/>
      <c r="AE10" s="4"/>
    </row>
    <row r="11" spans="1:31" s="28" customFormat="1" ht="24" customHeight="1">
      <c r="A11" s="177"/>
      <c r="B11" s="178"/>
      <c r="C11" s="179"/>
      <c r="D11" s="180"/>
      <c r="E11" s="181"/>
      <c r="F11" s="182"/>
      <c r="G11" s="183"/>
      <c r="H11" s="182"/>
      <c r="I11" s="183"/>
      <c r="J11" s="184"/>
      <c r="K11" s="185"/>
      <c r="L11" s="181"/>
      <c r="M11" s="186"/>
      <c r="N11" s="186"/>
      <c r="O11" s="186"/>
      <c r="P11" s="186"/>
      <c r="Q11" s="185"/>
      <c r="R11" s="185"/>
      <c r="S11" s="187"/>
      <c r="T11" s="185"/>
      <c r="U11" s="90"/>
      <c r="V11" s="29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08" t="s">
        <v>23</v>
      </c>
      <c r="B12" s="209"/>
      <c r="C12" s="209"/>
      <c r="D12" s="210"/>
      <c r="E12" s="124">
        <f>SUM(E9:E10)</f>
        <v>4000000</v>
      </c>
      <c r="F12" s="124"/>
      <c r="G12" s="124">
        <f>SUM(G9:G10)</f>
        <v>4000000</v>
      </c>
      <c r="H12" s="124"/>
      <c r="I12" s="124">
        <f>SUM(I9:I10)</f>
        <v>0</v>
      </c>
      <c r="J12" s="124"/>
      <c r="K12" s="124">
        <f t="shared" ref="K12:S12" si="10">SUM(K9:K10)</f>
        <v>4000000</v>
      </c>
      <c r="L12" s="124">
        <f t="shared" si="10"/>
        <v>390000</v>
      </c>
      <c r="M12" s="124">
        <f t="shared" si="10"/>
        <v>4390000</v>
      </c>
      <c r="N12" s="124">
        <f t="shared" si="10"/>
        <v>0</v>
      </c>
      <c r="O12" s="124">
        <f t="shared" si="10"/>
        <v>0</v>
      </c>
      <c r="P12" s="124">
        <f t="shared" si="10"/>
        <v>0</v>
      </c>
      <c r="Q12" s="124">
        <f t="shared" si="10"/>
        <v>4390000</v>
      </c>
      <c r="R12" s="124">
        <f t="shared" si="10"/>
        <v>0</v>
      </c>
      <c r="S12" s="124">
        <f t="shared" si="10"/>
        <v>4390000</v>
      </c>
      <c r="T12" s="21"/>
      <c r="U12" s="90"/>
      <c r="V12" s="27"/>
      <c r="W12" s="27"/>
      <c r="X12" s="27"/>
      <c r="Y12" s="27"/>
      <c r="Z12" s="27"/>
    </row>
    <row r="13" spans="1:31" s="71" customFormat="1" ht="24" customHeight="1">
      <c r="A13" s="169" t="s">
        <v>69</v>
      </c>
      <c r="B13" s="168" t="s">
        <v>70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90"/>
      <c r="V13" s="72"/>
      <c r="W13" s="72"/>
      <c r="X13" s="73"/>
      <c r="Y13" s="73"/>
      <c r="Z13" s="73"/>
      <c r="AA13" s="74"/>
      <c r="AB13" s="74"/>
      <c r="AC13" s="74"/>
      <c r="AD13" s="74"/>
      <c r="AE13" s="74"/>
    </row>
    <row r="14" spans="1:31" s="28" customFormat="1" ht="24" customHeight="1">
      <c r="A14" s="30">
        <v>1</v>
      </c>
      <c r="B14" s="125" t="s">
        <v>75</v>
      </c>
      <c r="C14" s="75" t="str">
        <f t="shared" ref="C14:C17" si="11">VLOOKUP(B14,DS,2,0)</f>
        <v>Lê Văn Hữu</v>
      </c>
      <c r="D14" s="100" t="str">
        <f t="shared" ref="D14:D17" si="12">VLOOKUP(B14,DS,3,0)</f>
        <v>Công Đoạn 1</v>
      </c>
      <c r="E14" s="76">
        <f t="shared" ref="E14:E17" si="13">VLOOKUP(B14,DS,4,0)</f>
        <v>3200000</v>
      </c>
      <c r="F14" s="78">
        <f>VLOOKUP(B14,'CC -7'!$B$8:$AS$19,36,0)</f>
        <v>26</v>
      </c>
      <c r="G14" s="129">
        <f t="shared" ref="G14:G17" si="14">ROUND(E14/$U$2*F14,0)</f>
        <v>3200000</v>
      </c>
      <c r="H14" s="78">
        <f>(VLOOKUP(B14,'CC -7'!$B$8:$AS$19,37,0)+VLOOKUP(B14,'CC -7'!$B$8:$AS$19,38,0))</f>
        <v>0</v>
      </c>
      <c r="I14" s="129">
        <f t="shared" ref="I14:I17" si="15">ROUND(E14/$U$2*H14,0)</f>
        <v>0</v>
      </c>
      <c r="J14" s="130">
        <f t="shared" ref="J14:K17" si="16">F14+H14</f>
        <v>26</v>
      </c>
      <c r="K14" s="31">
        <f t="shared" si="16"/>
        <v>3200000</v>
      </c>
      <c r="L14" s="76">
        <f t="shared" ref="L14:L17" si="17">+F14*15000</f>
        <v>390000</v>
      </c>
      <c r="M14" s="32">
        <f t="shared" ref="M14:M17" si="18">K14+L14</f>
        <v>3590000</v>
      </c>
      <c r="N14" s="32">
        <f t="shared" ref="N14:P17" si="19">IF(VLOOKUP($B14,DS,21,0)="x",$E14*N$4,0)</f>
        <v>0</v>
      </c>
      <c r="O14" s="32">
        <f t="shared" si="19"/>
        <v>0</v>
      </c>
      <c r="P14" s="32">
        <f t="shared" si="19"/>
        <v>0</v>
      </c>
      <c r="Q14" s="31">
        <f>M14-SUM(N14:P14)</f>
        <v>3590000</v>
      </c>
      <c r="R14" s="31">
        <f t="shared" ref="R14:R17" si="20">VLOOKUP(B14,DS,23,0)</f>
        <v>0</v>
      </c>
      <c r="S14" s="37">
        <f>Q14-R14</f>
        <v>3590000</v>
      </c>
      <c r="T14" s="31"/>
      <c r="U14" s="90"/>
      <c r="V14" s="29"/>
      <c r="W14" s="23"/>
      <c r="X14" s="5"/>
      <c r="Y14" s="5"/>
      <c r="Z14" s="5"/>
      <c r="AA14" s="4"/>
      <c r="AB14" s="4"/>
      <c r="AC14" s="4"/>
      <c r="AD14" s="4"/>
      <c r="AE14" s="4"/>
    </row>
    <row r="15" spans="1:31" s="28" customFormat="1" ht="24" customHeight="1">
      <c r="A15" s="30">
        <v>2</v>
      </c>
      <c r="B15" s="125" t="s">
        <v>76</v>
      </c>
      <c r="C15" s="75" t="str">
        <f t="shared" ref="C15:C16" si="21">VLOOKUP(B15,DS,2,0)</f>
        <v>Phan Thị Sương</v>
      </c>
      <c r="D15" s="100" t="str">
        <f t="shared" ref="D15:D16" si="22">VLOOKUP(B15,DS,3,0)</f>
        <v>Công Đoạn 1</v>
      </c>
      <c r="E15" s="76">
        <f t="shared" ref="E15:E16" si="23">VLOOKUP(B15,DS,4,0)</f>
        <v>3000000</v>
      </c>
      <c r="F15" s="78">
        <f>VLOOKUP(B15,'CC -7'!$B$8:$AS$19,36,0)</f>
        <v>26</v>
      </c>
      <c r="G15" s="129">
        <f t="shared" ref="G15:G16" si="24">ROUND(E15/$U$2*F15,0)</f>
        <v>3000000</v>
      </c>
      <c r="H15" s="78">
        <f>(VLOOKUP(B15,'CC -7'!$B$8:$AS$19,37,0)+VLOOKUP(B15,'CC -7'!$B$8:$AS$19,38,0))</f>
        <v>0</v>
      </c>
      <c r="I15" s="129">
        <f t="shared" ref="I15:I16" si="25">ROUND(E15/$U$2*H15,0)</f>
        <v>0</v>
      </c>
      <c r="J15" s="130">
        <f t="shared" ref="J15:J16" si="26">F15+H15</f>
        <v>26</v>
      </c>
      <c r="K15" s="31">
        <f t="shared" ref="K15:K16" si="27">G15+I15</f>
        <v>3000000</v>
      </c>
      <c r="L15" s="76">
        <f t="shared" ref="L15:L16" si="28">+F15*15000</f>
        <v>390000</v>
      </c>
      <c r="M15" s="32">
        <f t="shared" ref="M15:M16" si="29">K15+L15</f>
        <v>3390000</v>
      </c>
      <c r="N15" s="32">
        <f t="shared" si="19"/>
        <v>0</v>
      </c>
      <c r="O15" s="32">
        <f t="shared" si="19"/>
        <v>0</v>
      </c>
      <c r="P15" s="32">
        <f t="shared" si="19"/>
        <v>0</v>
      </c>
      <c r="Q15" s="31">
        <f t="shared" ref="Q15:Q16" si="30">M15-SUM(N15:P15)</f>
        <v>3390000</v>
      </c>
      <c r="R15" s="31">
        <f t="shared" ref="R15:R16" si="31">VLOOKUP(B15,DS,23,0)</f>
        <v>0</v>
      </c>
      <c r="S15" s="37">
        <f t="shared" ref="S15:S16" si="32">Q15-R15</f>
        <v>3390000</v>
      </c>
      <c r="T15" s="31"/>
      <c r="U15" s="90"/>
      <c r="V15" s="29"/>
      <c r="W15" s="23"/>
      <c r="X15" s="5"/>
      <c r="Y15" s="5"/>
      <c r="Z15" s="5"/>
      <c r="AA15" s="4"/>
      <c r="AB15" s="4"/>
      <c r="AC15" s="4"/>
      <c r="AD15" s="4"/>
      <c r="AE15" s="4"/>
    </row>
    <row r="16" spans="1:31" s="28" customFormat="1" ht="24" customHeight="1">
      <c r="A16" s="30">
        <v>3</v>
      </c>
      <c r="B16" s="125" t="s">
        <v>77</v>
      </c>
      <c r="C16" s="75" t="str">
        <f t="shared" si="21"/>
        <v>Cao Minh Chí</v>
      </c>
      <c r="D16" s="100" t="str">
        <f t="shared" si="22"/>
        <v>Công Đoạn 2</v>
      </c>
      <c r="E16" s="76">
        <f t="shared" si="23"/>
        <v>3200000</v>
      </c>
      <c r="F16" s="78">
        <f>VLOOKUP(B16,'CC -7'!$B$8:$AS$19,36,0)</f>
        <v>26</v>
      </c>
      <c r="G16" s="129">
        <f t="shared" si="24"/>
        <v>3200000</v>
      </c>
      <c r="H16" s="78">
        <f>(VLOOKUP(B16,'CC -7'!$B$8:$AS$19,37,0)+VLOOKUP(B16,'CC -7'!$B$8:$AS$19,38,0))</f>
        <v>0</v>
      </c>
      <c r="I16" s="129">
        <f t="shared" si="25"/>
        <v>0</v>
      </c>
      <c r="J16" s="130">
        <f t="shared" si="26"/>
        <v>26</v>
      </c>
      <c r="K16" s="31">
        <f t="shared" si="27"/>
        <v>3200000</v>
      </c>
      <c r="L16" s="76">
        <f t="shared" si="28"/>
        <v>390000</v>
      </c>
      <c r="M16" s="32">
        <f t="shared" si="29"/>
        <v>3590000</v>
      </c>
      <c r="N16" s="32">
        <f t="shared" si="19"/>
        <v>0</v>
      </c>
      <c r="O16" s="32">
        <f t="shared" si="19"/>
        <v>0</v>
      </c>
      <c r="P16" s="32">
        <f t="shared" si="19"/>
        <v>0</v>
      </c>
      <c r="Q16" s="31">
        <f t="shared" si="30"/>
        <v>3590000</v>
      </c>
      <c r="R16" s="31">
        <f t="shared" si="31"/>
        <v>0</v>
      </c>
      <c r="S16" s="37">
        <f t="shared" si="32"/>
        <v>3590000</v>
      </c>
      <c r="T16" s="31"/>
      <c r="U16" s="90"/>
      <c r="V16" s="29"/>
      <c r="W16" s="23"/>
      <c r="X16" s="5"/>
      <c r="Y16" s="5"/>
      <c r="Z16" s="5"/>
      <c r="AA16" s="4"/>
      <c r="AB16" s="4"/>
      <c r="AC16" s="4"/>
      <c r="AD16" s="4"/>
      <c r="AE16" s="4"/>
    </row>
    <row r="17" spans="1:31" s="28" customFormat="1" ht="24" customHeight="1">
      <c r="A17" s="30">
        <v>3</v>
      </c>
      <c r="B17" s="125" t="s">
        <v>81</v>
      </c>
      <c r="C17" s="75" t="str">
        <f t="shared" si="11"/>
        <v>Nguyễn Thị Sự</v>
      </c>
      <c r="D17" s="100" t="str">
        <f t="shared" si="12"/>
        <v>Công Đoạn 2</v>
      </c>
      <c r="E17" s="76">
        <f t="shared" si="13"/>
        <v>3000000</v>
      </c>
      <c r="F17" s="78">
        <f>VLOOKUP(B17,'CC -7'!$B$8:$AS$19,36,0)</f>
        <v>26</v>
      </c>
      <c r="G17" s="129">
        <f t="shared" si="14"/>
        <v>3000000</v>
      </c>
      <c r="H17" s="78">
        <f>(VLOOKUP(B17,'CC -7'!$B$8:$AS$19,37,0)+VLOOKUP(B17,'CC -7'!$B$8:$AS$19,38,0))</f>
        <v>0</v>
      </c>
      <c r="I17" s="129">
        <f t="shared" si="15"/>
        <v>0</v>
      </c>
      <c r="J17" s="130">
        <f t="shared" si="16"/>
        <v>26</v>
      </c>
      <c r="K17" s="31">
        <f t="shared" si="16"/>
        <v>3000000</v>
      </c>
      <c r="L17" s="76">
        <f t="shared" si="17"/>
        <v>390000</v>
      </c>
      <c r="M17" s="32">
        <f t="shared" si="18"/>
        <v>3390000</v>
      </c>
      <c r="N17" s="32">
        <f t="shared" si="19"/>
        <v>0</v>
      </c>
      <c r="O17" s="32">
        <f t="shared" si="19"/>
        <v>0</v>
      </c>
      <c r="P17" s="32">
        <f t="shared" si="19"/>
        <v>0</v>
      </c>
      <c r="Q17" s="31">
        <f t="shared" ref="Q17" si="33">M17-SUM(N17:P17)</f>
        <v>3390000</v>
      </c>
      <c r="R17" s="31">
        <f t="shared" si="20"/>
        <v>0</v>
      </c>
      <c r="S17" s="37">
        <f t="shared" ref="S17" si="34">Q17-R17</f>
        <v>3390000</v>
      </c>
      <c r="T17" s="31"/>
      <c r="U17" s="90"/>
      <c r="V17" s="29"/>
      <c r="W17" s="23"/>
      <c r="X17" s="5"/>
      <c r="Y17" s="5"/>
      <c r="Z17" s="5"/>
      <c r="AA17" s="4"/>
      <c r="AB17" s="4"/>
      <c r="AC17" s="4"/>
      <c r="AD17" s="4"/>
      <c r="AE17" s="4"/>
    </row>
    <row r="18" spans="1:31" s="28" customFormat="1" ht="22.5" customHeight="1">
      <c r="A18" s="33"/>
      <c r="B18" s="166"/>
      <c r="C18" s="34"/>
      <c r="D18" s="3"/>
      <c r="E18" s="35"/>
      <c r="F18" s="35"/>
      <c r="G18" s="35"/>
      <c r="H18" s="35"/>
      <c r="I18" s="35"/>
      <c r="J18" s="36"/>
      <c r="K18" s="35"/>
      <c r="L18" s="35"/>
      <c r="M18" s="165"/>
      <c r="N18" s="35"/>
      <c r="O18" s="35"/>
      <c r="P18" s="35"/>
      <c r="Q18" s="35"/>
      <c r="R18" s="35"/>
      <c r="S18" s="35"/>
      <c r="T18" s="31"/>
      <c r="U18" s="90"/>
      <c r="V18" s="29"/>
      <c r="W18" s="29"/>
      <c r="X18" s="29"/>
      <c r="Y18" s="29"/>
      <c r="Z18" s="29"/>
    </row>
    <row r="19" spans="1:31" s="26" customFormat="1" ht="21" customHeight="1">
      <c r="A19" s="208" t="s">
        <v>23</v>
      </c>
      <c r="B19" s="209"/>
      <c r="C19" s="209"/>
      <c r="D19" s="210"/>
      <c r="E19" s="124">
        <f>SUM(E13:E18)</f>
        <v>12400000</v>
      </c>
      <c r="F19" s="124"/>
      <c r="G19" s="124">
        <f>SUM(G13:G18)</f>
        <v>12400000</v>
      </c>
      <c r="H19" s="124"/>
      <c r="I19" s="124">
        <f>SUM(I13:I18)</f>
        <v>0</v>
      </c>
      <c r="J19" s="124"/>
      <c r="K19" s="124">
        <f t="shared" ref="K19:S19" si="35">SUM(K13:K18)</f>
        <v>12400000</v>
      </c>
      <c r="L19" s="124">
        <f t="shared" si="35"/>
        <v>1560000</v>
      </c>
      <c r="M19" s="124">
        <f t="shared" si="35"/>
        <v>13960000</v>
      </c>
      <c r="N19" s="124">
        <f t="shared" si="35"/>
        <v>0</v>
      </c>
      <c r="O19" s="124">
        <f t="shared" si="35"/>
        <v>0</v>
      </c>
      <c r="P19" s="124">
        <f t="shared" si="35"/>
        <v>0</v>
      </c>
      <c r="Q19" s="124">
        <f t="shared" si="35"/>
        <v>13960000</v>
      </c>
      <c r="R19" s="124">
        <f t="shared" si="35"/>
        <v>0</v>
      </c>
      <c r="S19" s="124">
        <f t="shared" si="35"/>
        <v>13960000</v>
      </c>
      <c r="T19" s="21"/>
      <c r="U19" s="90"/>
      <c r="V19" s="27"/>
      <c r="W19" s="27"/>
      <c r="X19" s="27"/>
      <c r="Y19" s="27"/>
      <c r="Z19" s="27"/>
    </row>
    <row r="20" spans="1:31" ht="11.25" customHeight="1">
      <c r="A20" s="8"/>
      <c r="B20" s="8"/>
      <c r="C20" s="9"/>
      <c r="D20" s="101"/>
      <c r="E20" s="80"/>
      <c r="F20" s="9"/>
      <c r="G20" s="9"/>
      <c r="H20" s="9"/>
      <c r="I20" s="9"/>
      <c r="K20" s="9"/>
      <c r="L20" s="9"/>
      <c r="M20" s="88"/>
      <c r="N20" s="9"/>
      <c r="O20" s="9"/>
      <c r="P20" s="9"/>
      <c r="Q20" s="9"/>
      <c r="R20" s="9"/>
      <c r="S20" s="9"/>
      <c r="T20" s="9"/>
      <c r="U20" s="90"/>
    </row>
    <row r="21" spans="1:31" s="28" customFormat="1" ht="11.25" customHeight="1">
      <c r="A21" s="64"/>
      <c r="B21" s="64"/>
      <c r="C21" s="64"/>
      <c r="D21" s="117"/>
      <c r="E21" s="118"/>
      <c r="F21" s="64"/>
      <c r="G21" s="64"/>
      <c r="H21" s="64"/>
      <c r="I21" s="64"/>
      <c r="J21" s="119"/>
      <c r="K21" s="118"/>
      <c r="L21" s="64"/>
      <c r="M21" s="64"/>
      <c r="N21" s="64"/>
      <c r="O21" s="64"/>
      <c r="P21" s="64"/>
      <c r="Q21" s="64"/>
      <c r="R21" s="64"/>
      <c r="S21" s="94" t="str">
        <f>"Long An, ngày  "&amp;$V$2&amp;"   tháng   "&amp;TEXT($E$4,"mm")&amp;"   năm "&amp;TEXT($E$4,"yyyy")</f>
        <v>Long An, ngày  31   tháng   07   năm 2016</v>
      </c>
      <c r="T21" s="64"/>
      <c r="U21" s="120"/>
      <c r="V21" s="29"/>
      <c r="W21" s="29"/>
      <c r="X21" s="29"/>
      <c r="Y21" s="29"/>
      <c r="Z21" s="29"/>
    </row>
    <row r="22" spans="1:31" s="28" customFormat="1" ht="12.75">
      <c r="A22" s="24"/>
      <c r="B22" s="24"/>
      <c r="C22" s="24" t="s">
        <v>53</v>
      </c>
      <c r="D22" s="121"/>
      <c r="E22" s="65"/>
      <c r="F22" s="120"/>
      <c r="G22" s="65"/>
      <c r="H22" s="65"/>
      <c r="I22" s="65"/>
      <c r="J22" s="122"/>
      <c r="K22" s="29"/>
      <c r="L22" s="24"/>
      <c r="M22" s="131"/>
      <c r="N22" s="20"/>
      <c r="O22" s="20"/>
      <c r="P22" s="20"/>
      <c r="Q22" s="20"/>
      <c r="S22" s="120" t="s">
        <v>21</v>
      </c>
      <c r="T22" s="120"/>
      <c r="U22" s="120"/>
      <c r="V22" s="29"/>
      <c r="W22" s="29"/>
      <c r="X22" s="29"/>
      <c r="Y22" s="29"/>
      <c r="Z22" s="29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0"/>
    </row>
    <row r="24" spans="1:31" ht="12">
      <c r="C24" s="15"/>
      <c r="L24" s="15"/>
      <c r="T24" s="15"/>
      <c r="U24" s="90"/>
    </row>
    <row r="25" spans="1:31" ht="12">
      <c r="U25" s="90"/>
    </row>
    <row r="26" spans="1:31" ht="12">
      <c r="U26" s="90"/>
    </row>
    <row r="27" spans="1:31" ht="12">
      <c r="U27" s="90"/>
    </row>
    <row r="28" spans="1:31" ht="12">
      <c r="U28" s="90"/>
    </row>
    <row r="29" spans="1:31" ht="12">
      <c r="U29" s="90"/>
    </row>
    <row r="30" spans="1:31" ht="12">
      <c r="U30" s="90"/>
    </row>
  </sheetData>
  <protectedRanges>
    <protectedRange password="CC78" sqref="V18:IK19 C5:D7 B22:C22 V5:W9 A18:A23 B18:B21 B23 V13:W13 Q5:T7 E5:I6 D19 N5:P6 L5 L22 J6:K7 L7 A25:T58 U31:U58 N18:S18 V25:IK58 J18:L18 A59:IK65326 AF13:IK13 V12:IK12 D12 Q10:S11 W10:W11 AF5:IK11 A10:B12" name="Range1"/>
    <protectedRange password="CC78" sqref="F7:H7" name="Range1_4"/>
    <protectedRange password="CC78" sqref="V22:IK23 S22:T23 N22:Q23 E22:I23" name="Range1_1_1"/>
    <protectedRange password="CC78" sqref="U1 W1:IK3 V4:IK4 B4:T4 R2:S3 B1:Q3 U18:U30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7 Q14:S17 W14:W17 A14:B17" name="Range1_5"/>
    <protectedRange password="CC78" sqref="X14:AE17 U14:U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4" sqref="A14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2" customWidth="1"/>
    <col min="5" max="5" width="7.140625" style="2" customWidth="1"/>
    <col min="6" max="33" width="3.42578125" style="107" customWidth="1"/>
    <col min="34" max="36" width="3.42578125" style="108" customWidth="1"/>
    <col min="37" max="38" width="4.42578125" style="2" customWidth="1"/>
    <col min="39" max="39" width="5.5703125" style="86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3"/>
      <c r="B1" s="40"/>
      <c r="C1" s="40"/>
      <c r="D1" s="44"/>
      <c r="E1" s="40"/>
      <c r="F1" s="44"/>
      <c r="G1" s="44"/>
      <c r="H1" s="44"/>
      <c r="I1" s="44"/>
      <c r="J1" s="44"/>
      <c r="K1" s="103"/>
      <c r="L1" s="103"/>
      <c r="M1" s="103"/>
      <c r="N1" s="103"/>
      <c r="O1" s="103"/>
      <c r="P1" s="103"/>
      <c r="Q1" s="103"/>
      <c r="R1" s="103"/>
      <c r="S1" s="42" t="str">
        <f>CONCATENATE("BẢNG CHẤM CÔNG THÁNG ",TEXT($E$4,"mm")," NĂM ",TEXT($E$4,"yyyy"))</f>
        <v>BẢNG CHẤM CÔNG THÁNG 08 NĂM 2016</v>
      </c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41"/>
      <c r="AL1" s="41"/>
      <c r="AM1" s="241" t="s">
        <v>78</v>
      </c>
      <c r="AN1" s="242"/>
      <c r="AO1" s="242"/>
      <c r="AP1" s="242"/>
      <c r="AQ1" s="242"/>
      <c r="AR1" s="242"/>
      <c r="AS1" s="243"/>
      <c r="AT1" s="43"/>
    </row>
    <row r="2" spans="1:91" ht="20.25">
      <c r="A2" s="123"/>
      <c r="B2" s="44"/>
      <c r="C2" s="44"/>
      <c r="D2" s="44"/>
      <c r="E2" s="44"/>
      <c r="F2" s="44"/>
      <c r="G2" s="44"/>
      <c r="H2" s="44"/>
      <c r="I2" s="44"/>
      <c r="J2" s="44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41"/>
      <c r="AL2" s="41"/>
      <c r="AM2" s="82"/>
      <c r="AN2" s="45"/>
      <c r="AO2" s="45"/>
      <c r="AP2" s="45"/>
      <c r="AQ2" s="45"/>
      <c r="AR2" s="45"/>
      <c r="AS2" s="81"/>
      <c r="AT2" s="81"/>
    </row>
    <row r="3" spans="1:91" ht="21" customHeight="1">
      <c r="A3" s="123"/>
      <c r="B3" s="46"/>
      <c r="C3" s="46"/>
      <c r="D3" s="47"/>
      <c r="E3" s="47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41"/>
      <c r="AL3" s="41"/>
      <c r="AM3" s="82"/>
      <c r="AN3" s="43"/>
      <c r="AO3" s="43"/>
      <c r="AP3" s="43"/>
      <c r="AQ3" s="43"/>
      <c r="AR3" s="43"/>
      <c r="AS3" s="48"/>
      <c r="AT3" s="48"/>
    </row>
    <row r="4" spans="1:91" ht="14.25" customHeight="1">
      <c r="A4" s="49"/>
      <c r="B4" s="49"/>
      <c r="C4" s="139"/>
      <c r="D4" s="138"/>
      <c r="E4" s="50">
        <v>42583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  <c r="AI4" s="52"/>
      <c r="AJ4" s="52"/>
      <c r="AK4" s="49"/>
      <c r="AL4" s="49"/>
      <c r="AM4" s="83"/>
      <c r="AN4" s="49"/>
      <c r="AO4" s="49"/>
      <c r="AP4" s="49"/>
      <c r="AQ4" s="49"/>
      <c r="AR4" s="49"/>
      <c r="AS4" s="49"/>
      <c r="AT4" s="87"/>
    </row>
    <row r="5" spans="1:91" s="53" customFormat="1" ht="18.75" customHeight="1">
      <c r="A5" s="244" t="s">
        <v>26</v>
      </c>
      <c r="B5" s="244" t="s">
        <v>3</v>
      </c>
      <c r="C5" s="244" t="s">
        <v>1</v>
      </c>
      <c r="D5" s="246" t="s">
        <v>27</v>
      </c>
      <c r="E5" s="244" t="s">
        <v>28</v>
      </c>
      <c r="F5" s="102">
        <f>+E4</f>
        <v>42583</v>
      </c>
      <c r="G5" s="102">
        <f t="shared" ref="G5:AJ5" si="0">F5+1</f>
        <v>42584</v>
      </c>
      <c r="H5" s="102">
        <f t="shared" si="0"/>
        <v>42585</v>
      </c>
      <c r="I5" s="102">
        <f t="shared" si="0"/>
        <v>42586</v>
      </c>
      <c r="J5" s="102">
        <f t="shared" si="0"/>
        <v>42587</v>
      </c>
      <c r="K5" s="102">
        <f t="shared" si="0"/>
        <v>42588</v>
      </c>
      <c r="L5" s="102">
        <f t="shared" si="0"/>
        <v>42589</v>
      </c>
      <c r="M5" s="102">
        <f t="shared" si="0"/>
        <v>42590</v>
      </c>
      <c r="N5" s="102">
        <f t="shared" si="0"/>
        <v>42591</v>
      </c>
      <c r="O5" s="102">
        <f t="shared" si="0"/>
        <v>42592</v>
      </c>
      <c r="P5" s="102">
        <f t="shared" si="0"/>
        <v>42593</v>
      </c>
      <c r="Q5" s="102">
        <f t="shared" si="0"/>
        <v>42594</v>
      </c>
      <c r="R5" s="102">
        <f t="shared" si="0"/>
        <v>42595</v>
      </c>
      <c r="S5" s="102">
        <f t="shared" si="0"/>
        <v>42596</v>
      </c>
      <c r="T5" s="102">
        <f t="shared" si="0"/>
        <v>42597</v>
      </c>
      <c r="U5" s="102">
        <f t="shared" si="0"/>
        <v>42598</v>
      </c>
      <c r="V5" s="102">
        <f t="shared" si="0"/>
        <v>42599</v>
      </c>
      <c r="W5" s="102">
        <f t="shared" si="0"/>
        <v>42600</v>
      </c>
      <c r="X5" s="102">
        <f t="shared" si="0"/>
        <v>42601</v>
      </c>
      <c r="Y5" s="102">
        <f t="shared" si="0"/>
        <v>42602</v>
      </c>
      <c r="Z5" s="102">
        <f t="shared" si="0"/>
        <v>42603</v>
      </c>
      <c r="AA5" s="102">
        <f t="shared" si="0"/>
        <v>42604</v>
      </c>
      <c r="AB5" s="102">
        <f t="shared" si="0"/>
        <v>42605</v>
      </c>
      <c r="AC5" s="102">
        <f t="shared" si="0"/>
        <v>42606</v>
      </c>
      <c r="AD5" s="102">
        <f t="shared" si="0"/>
        <v>42607</v>
      </c>
      <c r="AE5" s="102">
        <f t="shared" si="0"/>
        <v>42608</v>
      </c>
      <c r="AF5" s="102">
        <f t="shared" si="0"/>
        <v>42609</v>
      </c>
      <c r="AG5" s="102">
        <f t="shared" si="0"/>
        <v>42610</v>
      </c>
      <c r="AH5" s="102">
        <f>AG5+1</f>
        <v>42611</v>
      </c>
      <c r="AI5" s="102">
        <f t="shared" si="0"/>
        <v>42612</v>
      </c>
      <c r="AJ5" s="102">
        <f t="shared" si="0"/>
        <v>42613</v>
      </c>
      <c r="AK5" s="247" t="s">
        <v>15</v>
      </c>
      <c r="AL5" s="248"/>
      <c r="AM5" s="249"/>
      <c r="AN5" s="250" t="s">
        <v>39</v>
      </c>
      <c r="AO5" s="250" t="s">
        <v>35</v>
      </c>
      <c r="AP5" s="250" t="s">
        <v>36</v>
      </c>
      <c r="AQ5" s="250" t="s">
        <v>37</v>
      </c>
      <c r="AR5" s="250" t="s">
        <v>38</v>
      </c>
      <c r="AS5" s="246" t="s">
        <v>0</v>
      </c>
      <c r="AT5" s="2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3" customFormat="1" ht="39.75" customHeight="1">
      <c r="A6" s="245"/>
      <c r="B6" s="245"/>
      <c r="C6" s="245"/>
      <c r="D6" s="245"/>
      <c r="E6" s="245"/>
      <c r="F6" s="155" t="str">
        <f>CHOOSE(WEEKDAY(F5),"C.Nhật","T.Hai","T.Ba","T.Tư","T.Năm","T.Sáu","T.Bảy")</f>
        <v>T.Hai</v>
      </c>
      <c r="G6" s="155" t="str">
        <f t="shared" ref="G6:AJ6" si="1">CHOOSE(WEEKDAY(G5),"C.Nhật","T.Hai","T.Ba","T.Tư","T.Năm","T.Sáu","T.Bảy")</f>
        <v>T.Ba</v>
      </c>
      <c r="H6" s="155" t="str">
        <f t="shared" si="1"/>
        <v>T.Tư</v>
      </c>
      <c r="I6" s="155" t="str">
        <f t="shared" si="1"/>
        <v>T.Năm</v>
      </c>
      <c r="J6" s="155" t="str">
        <f t="shared" si="1"/>
        <v>T.Sáu</v>
      </c>
      <c r="K6" s="155" t="str">
        <f t="shared" si="1"/>
        <v>T.Bảy</v>
      </c>
      <c r="L6" s="155" t="str">
        <f t="shared" si="1"/>
        <v>C.Nhật</v>
      </c>
      <c r="M6" s="155" t="str">
        <f t="shared" si="1"/>
        <v>T.Hai</v>
      </c>
      <c r="N6" s="155" t="str">
        <f t="shared" si="1"/>
        <v>T.Ba</v>
      </c>
      <c r="O6" s="155" t="str">
        <f t="shared" si="1"/>
        <v>T.Tư</v>
      </c>
      <c r="P6" s="155" t="str">
        <f t="shared" si="1"/>
        <v>T.Năm</v>
      </c>
      <c r="Q6" s="155" t="str">
        <f t="shared" si="1"/>
        <v>T.Sáu</v>
      </c>
      <c r="R6" s="155" t="str">
        <f t="shared" si="1"/>
        <v>T.Bảy</v>
      </c>
      <c r="S6" s="155" t="str">
        <f t="shared" si="1"/>
        <v>C.Nhật</v>
      </c>
      <c r="T6" s="155" t="str">
        <f t="shared" si="1"/>
        <v>T.Hai</v>
      </c>
      <c r="U6" s="155" t="str">
        <f t="shared" si="1"/>
        <v>T.Ba</v>
      </c>
      <c r="V6" s="155" t="str">
        <f t="shared" si="1"/>
        <v>T.Tư</v>
      </c>
      <c r="W6" s="155" t="str">
        <f t="shared" si="1"/>
        <v>T.Năm</v>
      </c>
      <c r="X6" s="155" t="str">
        <f t="shared" si="1"/>
        <v>T.Sáu</v>
      </c>
      <c r="Y6" s="155" t="str">
        <f t="shared" si="1"/>
        <v>T.Bảy</v>
      </c>
      <c r="Z6" s="155" t="str">
        <f t="shared" si="1"/>
        <v>C.Nhật</v>
      </c>
      <c r="AA6" s="155" t="str">
        <f t="shared" si="1"/>
        <v>T.Hai</v>
      </c>
      <c r="AB6" s="155" t="str">
        <f t="shared" si="1"/>
        <v>T.Ba</v>
      </c>
      <c r="AC6" s="155" t="str">
        <f t="shared" si="1"/>
        <v>T.Tư</v>
      </c>
      <c r="AD6" s="155" t="str">
        <f t="shared" si="1"/>
        <v>T.Năm</v>
      </c>
      <c r="AE6" s="155" t="str">
        <f t="shared" si="1"/>
        <v>T.Sáu</v>
      </c>
      <c r="AF6" s="155" t="str">
        <f t="shared" si="1"/>
        <v>T.Bảy</v>
      </c>
      <c r="AG6" s="155" t="str">
        <f t="shared" si="1"/>
        <v>C.Nhật</v>
      </c>
      <c r="AH6" s="155" t="str">
        <f t="shared" si="1"/>
        <v>T.Hai</v>
      </c>
      <c r="AI6" s="155" t="str">
        <f t="shared" si="1"/>
        <v>T.Ba</v>
      </c>
      <c r="AJ6" s="155" t="str">
        <f t="shared" si="1"/>
        <v>T.Tư</v>
      </c>
      <c r="AK6" s="156" t="s">
        <v>16</v>
      </c>
      <c r="AL6" s="156" t="s">
        <v>29</v>
      </c>
      <c r="AM6" s="157" t="s">
        <v>17</v>
      </c>
      <c r="AN6" s="251"/>
      <c r="AO6" s="251"/>
      <c r="AP6" s="251"/>
      <c r="AQ6" s="251"/>
      <c r="AR6" s="251"/>
      <c r="AS6" s="245"/>
      <c r="AT6" s="2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3" customFormat="1" ht="12.75" customHeight="1">
      <c r="A7" s="158">
        <v>1</v>
      </c>
      <c r="B7" s="158">
        <v>1</v>
      </c>
      <c r="C7" s="158">
        <v>2</v>
      </c>
      <c r="D7" s="158">
        <v>3</v>
      </c>
      <c r="E7" s="158">
        <v>4</v>
      </c>
      <c r="F7" s="158">
        <v>5</v>
      </c>
      <c r="G7" s="158">
        <v>6</v>
      </c>
      <c r="H7" s="158">
        <v>7</v>
      </c>
      <c r="I7" s="158">
        <v>8</v>
      </c>
      <c r="J7" s="158">
        <v>9</v>
      </c>
      <c r="K7" s="158">
        <v>10</v>
      </c>
      <c r="L7" s="158">
        <v>11</v>
      </c>
      <c r="M7" s="158">
        <v>12</v>
      </c>
      <c r="N7" s="158">
        <v>13</v>
      </c>
      <c r="O7" s="158">
        <v>14</v>
      </c>
      <c r="P7" s="158">
        <v>15</v>
      </c>
      <c r="Q7" s="158">
        <v>16</v>
      </c>
      <c r="R7" s="158">
        <v>17</v>
      </c>
      <c r="S7" s="158">
        <v>18</v>
      </c>
      <c r="T7" s="158">
        <v>19</v>
      </c>
      <c r="U7" s="158">
        <v>20</v>
      </c>
      <c r="V7" s="158">
        <v>21</v>
      </c>
      <c r="W7" s="158">
        <v>22</v>
      </c>
      <c r="X7" s="158">
        <v>23</v>
      </c>
      <c r="Y7" s="158">
        <v>24</v>
      </c>
      <c r="Z7" s="158">
        <v>25</v>
      </c>
      <c r="AA7" s="158">
        <v>26</v>
      </c>
      <c r="AB7" s="158">
        <v>27</v>
      </c>
      <c r="AC7" s="158">
        <v>28</v>
      </c>
      <c r="AD7" s="158">
        <v>29</v>
      </c>
      <c r="AE7" s="158">
        <v>30</v>
      </c>
      <c r="AF7" s="158">
        <v>31</v>
      </c>
      <c r="AG7" s="158">
        <v>32</v>
      </c>
      <c r="AH7" s="158">
        <v>33</v>
      </c>
      <c r="AI7" s="158">
        <v>34</v>
      </c>
      <c r="AJ7" s="158">
        <v>35</v>
      </c>
      <c r="AK7" s="158">
        <v>36</v>
      </c>
      <c r="AL7" s="158">
        <v>37</v>
      </c>
      <c r="AM7" s="158">
        <v>38</v>
      </c>
      <c r="AN7" s="158">
        <v>39</v>
      </c>
      <c r="AO7" s="158">
        <v>40</v>
      </c>
      <c r="AP7" s="158">
        <v>41</v>
      </c>
      <c r="AQ7" s="158">
        <v>42</v>
      </c>
      <c r="AR7" s="158">
        <v>43</v>
      </c>
      <c r="AS7" s="158">
        <v>44</v>
      </c>
      <c r="AT7" s="17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1" customFormat="1" ht="21" customHeight="1">
      <c r="A8" s="159" t="s">
        <v>68</v>
      </c>
      <c r="B8" s="162" t="s">
        <v>79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4"/>
      <c r="AT8" s="160"/>
    </row>
    <row r="9" spans="1:91" s="53" customFormat="1" ht="18" customHeight="1">
      <c r="A9" s="234">
        <v>1</v>
      </c>
      <c r="B9" s="234" t="s">
        <v>74</v>
      </c>
      <c r="C9" s="236" t="str">
        <f>VLOOKUP(B9,DS,2,0)</f>
        <v>Nguyễn Thị Kim Quyên</v>
      </c>
      <c r="D9" s="238" t="str">
        <f>VLOOKUP(B9,DS,3,0)</f>
        <v>Văn Phòng</v>
      </c>
      <c r="E9" s="54" t="s">
        <v>30</v>
      </c>
      <c r="F9" s="127">
        <v>8</v>
      </c>
      <c r="G9" s="127">
        <v>8</v>
      </c>
      <c r="H9" s="127">
        <v>8</v>
      </c>
      <c r="I9" s="127">
        <v>8</v>
      </c>
      <c r="J9" s="127">
        <v>8</v>
      </c>
      <c r="K9" s="127">
        <v>8</v>
      </c>
      <c r="L9" s="127"/>
      <c r="M9" s="127">
        <v>8</v>
      </c>
      <c r="N9" s="127">
        <v>8</v>
      </c>
      <c r="O9" s="127">
        <v>8</v>
      </c>
      <c r="P9" s="127">
        <v>8</v>
      </c>
      <c r="Q9" s="127">
        <v>8</v>
      </c>
      <c r="R9" s="127">
        <v>8</v>
      </c>
      <c r="S9" s="127"/>
      <c r="T9" s="127">
        <v>8</v>
      </c>
      <c r="U9" s="127">
        <v>8</v>
      </c>
      <c r="V9" s="127">
        <v>8</v>
      </c>
      <c r="W9" s="127">
        <v>8</v>
      </c>
      <c r="X9" s="127">
        <v>8</v>
      </c>
      <c r="Y9" s="127">
        <v>8</v>
      </c>
      <c r="Z9" s="127"/>
      <c r="AA9" s="127">
        <v>8</v>
      </c>
      <c r="AB9" s="127">
        <v>8</v>
      </c>
      <c r="AC9" s="127">
        <v>8</v>
      </c>
      <c r="AD9" s="127">
        <v>8</v>
      </c>
      <c r="AE9" s="127">
        <v>8</v>
      </c>
      <c r="AF9" s="127">
        <v>8</v>
      </c>
      <c r="AG9" s="127"/>
      <c r="AH9" s="127">
        <v>8</v>
      </c>
      <c r="AI9" s="127">
        <v>8</v>
      </c>
      <c r="AJ9" s="127">
        <v>8</v>
      </c>
      <c r="AK9" s="228">
        <f>((SUM(F9:AJ9))/8)-(SUMIF($F$6:$AJ$6,"C.Nhật",F9:AJ9)/8)</f>
        <v>27</v>
      </c>
      <c r="AL9" s="228">
        <f>SUM(F10:AJ10)/8*1.5</f>
        <v>0</v>
      </c>
      <c r="AM9" s="230">
        <f>SUMIF($F$6:$AJ$6,"C.Nhật",$F9:$AJ10)/8*2</f>
        <v>0</v>
      </c>
      <c r="AN9" s="224">
        <f>SUM(AK9:AM10)</f>
        <v>27</v>
      </c>
      <c r="AO9" s="232">
        <v>0</v>
      </c>
      <c r="AP9" s="224"/>
      <c r="AQ9" s="224"/>
      <c r="AR9" s="224"/>
      <c r="AS9" s="226"/>
      <c r="AT9" s="17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3" customFormat="1" ht="18" customHeight="1">
      <c r="A10" s="235"/>
      <c r="B10" s="235"/>
      <c r="C10" s="237"/>
      <c r="D10" s="239"/>
      <c r="E10" s="55" t="s">
        <v>29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229"/>
      <c r="AL10" s="229"/>
      <c r="AM10" s="231"/>
      <c r="AN10" s="225"/>
      <c r="AO10" s="233"/>
      <c r="AP10" s="225"/>
      <c r="AQ10" s="225"/>
      <c r="AR10" s="225"/>
      <c r="AS10" s="227"/>
      <c r="AT10" s="17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1" customFormat="1" ht="21" customHeight="1">
      <c r="A11" s="159" t="s">
        <v>69</v>
      </c>
      <c r="B11" s="162" t="s">
        <v>73</v>
      </c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4"/>
      <c r="AT11" s="160"/>
    </row>
    <row r="12" spans="1:91" s="53" customFormat="1" ht="18" customHeight="1">
      <c r="A12" s="234">
        <v>1</v>
      </c>
      <c r="B12" s="234" t="s">
        <v>75</v>
      </c>
      <c r="C12" s="236" t="str">
        <f>VLOOKUP(B12,DS,2,0)</f>
        <v>Lê Văn Hữu</v>
      </c>
      <c r="D12" s="238" t="str">
        <f>VLOOKUP(B12,DS,3,0)</f>
        <v>Công Đoạn 1</v>
      </c>
      <c r="E12" s="54" t="s">
        <v>30</v>
      </c>
      <c r="F12" s="127">
        <v>8</v>
      </c>
      <c r="G12" s="127">
        <v>8</v>
      </c>
      <c r="H12" s="127">
        <v>8</v>
      </c>
      <c r="I12" s="127">
        <v>8</v>
      </c>
      <c r="J12" s="127">
        <v>8</v>
      </c>
      <c r="K12" s="127">
        <v>8</v>
      </c>
      <c r="L12" s="127"/>
      <c r="M12" s="127">
        <v>8</v>
      </c>
      <c r="N12" s="127">
        <v>8</v>
      </c>
      <c r="O12" s="127">
        <v>8</v>
      </c>
      <c r="P12" s="127">
        <v>8</v>
      </c>
      <c r="Q12" s="127">
        <v>8</v>
      </c>
      <c r="R12" s="127">
        <v>8</v>
      </c>
      <c r="S12" s="127"/>
      <c r="T12" s="127">
        <v>8</v>
      </c>
      <c r="U12" s="127">
        <v>8</v>
      </c>
      <c r="V12" s="127">
        <v>8</v>
      </c>
      <c r="W12" s="127">
        <v>8</v>
      </c>
      <c r="X12" s="127">
        <v>8</v>
      </c>
      <c r="Y12" s="127">
        <v>8</v>
      </c>
      <c r="Z12" s="127"/>
      <c r="AA12" s="127">
        <v>8</v>
      </c>
      <c r="AB12" s="127">
        <v>8</v>
      </c>
      <c r="AC12" s="127">
        <v>8</v>
      </c>
      <c r="AD12" s="127">
        <v>8</v>
      </c>
      <c r="AE12" s="127">
        <v>8</v>
      </c>
      <c r="AF12" s="127">
        <v>8</v>
      </c>
      <c r="AG12" s="127"/>
      <c r="AH12" s="127">
        <v>8</v>
      </c>
      <c r="AI12" s="127">
        <v>8</v>
      </c>
      <c r="AJ12" s="127">
        <v>8</v>
      </c>
      <c r="AK12" s="228">
        <f t="shared" ref="AK12" si="2">((SUM(F12:AJ12))/8)-(SUMIF($F$6:$AJ$6,"C.Nhật",F12:AJ12)/8)</f>
        <v>27</v>
      </c>
      <c r="AL12" s="228">
        <f t="shared" ref="AL12" si="3">SUM(F13:AJ13)/8*1.5</f>
        <v>0</v>
      </c>
      <c r="AM12" s="230">
        <f>SUMIF($F$6:$AJ$6,"C.Nhật",$F12:$AJ13)/8*2</f>
        <v>0</v>
      </c>
      <c r="AN12" s="224">
        <f>SUM(AK12:AM13)</f>
        <v>27</v>
      </c>
      <c r="AO12" s="232">
        <v>0</v>
      </c>
      <c r="AP12" s="224"/>
      <c r="AQ12" s="224"/>
      <c r="AR12" s="224"/>
      <c r="AS12" s="226"/>
      <c r="AT12" s="19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3" customFormat="1" ht="18" customHeight="1">
      <c r="A13" s="235"/>
      <c r="B13" s="235"/>
      <c r="C13" s="237"/>
      <c r="D13" s="239"/>
      <c r="E13" s="55" t="s">
        <v>29</v>
      </c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229"/>
      <c r="AL13" s="229"/>
      <c r="AM13" s="231"/>
      <c r="AN13" s="225"/>
      <c r="AO13" s="233"/>
      <c r="AP13" s="225"/>
      <c r="AQ13" s="225"/>
      <c r="AR13" s="225"/>
      <c r="AS13" s="227"/>
      <c r="AT13" s="19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3" customFormat="1" ht="18" customHeight="1">
      <c r="A14" s="234">
        <v>2</v>
      </c>
      <c r="B14" s="234" t="s">
        <v>76</v>
      </c>
      <c r="C14" s="236" t="str">
        <f>VLOOKUP(B14,DS,2,0)</f>
        <v>Phan Thị Sương</v>
      </c>
      <c r="D14" s="238" t="str">
        <f>VLOOKUP(B14,DS,3,0)</f>
        <v>Công Đoạn 1</v>
      </c>
      <c r="E14" s="54" t="s">
        <v>30</v>
      </c>
      <c r="F14" s="127">
        <v>8</v>
      </c>
      <c r="G14" s="127">
        <v>8</v>
      </c>
      <c r="H14" s="127">
        <v>8</v>
      </c>
      <c r="I14" s="127">
        <v>8</v>
      </c>
      <c r="J14" s="127">
        <v>8</v>
      </c>
      <c r="K14" s="127">
        <v>8</v>
      </c>
      <c r="L14" s="127"/>
      <c r="M14" s="127">
        <v>8</v>
      </c>
      <c r="N14" s="127">
        <v>8</v>
      </c>
      <c r="O14" s="127">
        <v>8</v>
      </c>
      <c r="P14" s="127">
        <v>8</v>
      </c>
      <c r="Q14" s="127">
        <v>8</v>
      </c>
      <c r="R14" s="127">
        <v>8</v>
      </c>
      <c r="S14" s="127"/>
      <c r="T14" s="127">
        <v>8</v>
      </c>
      <c r="U14" s="127">
        <v>8</v>
      </c>
      <c r="V14" s="127">
        <v>8</v>
      </c>
      <c r="W14" s="127">
        <v>8</v>
      </c>
      <c r="X14" s="127">
        <v>8</v>
      </c>
      <c r="Y14" s="127">
        <v>8</v>
      </c>
      <c r="Z14" s="127"/>
      <c r="AA14" s="127">
        <v>8</v>
      </c>
      <c r="AB14" s="127">
        <v>8</v>
      </c>
      <c r="AC14" s="127">
        <v>8</v>
      </c>
      <c r="AD14" s="127">
        <v>8</v>
      </c>
      <c r="AE14" s="127">
        <v>8</v>
      </c>
      <c r="AF14" s="127">
        <v>8</v>
      </c>
      <c r="AG14" s="127"/>
      <c r="AH14" s="127">
        <v>8</v>
      </c>
      <c r="AI14" s="127">
        <v>8</v>
      </c>
      <c r="AJ14" s="127">
        <v>8</v>
      </c>
      <c r="AK14" s="228">
        <f t="shared" ref="AK14" si="4">((SUM(F14:AJ14))/8)-(SUMIF($F$6:$AJ$6,"C.Nhật",F14:AJ14)/8)</f>
        <v>27</v>
      </c>
      <c r="AL14" s="228">
        <f t="shared" ref="AL14" si="5">SUM(F15:AJ15)/8*1.5</f>
        <v>0</v>
      </c>
      <c r="AM14" s="230">
        <f>SUMIF($F$6:$AJ$6,"C.Nhật",$F14:$AJ15)/8*2</f>
        <v>0</v>
      </c>
      <c r="AN14" s="224">
        <f t="shared" ref="AN14" si="6">SUM(AK14:AM15)</f>
        <v>27</v>
      </c>
      <c r="AO14" s="232">
        <v>0</v>
      </c>
      <c r="AP14" s="224"/>
      <c r="AQ14" s="224"/>
      <c r="AR14" s="224"/>
      <c r="AS14" s="226"/>
      <c r="AT14" s="1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3" customFormat="1" ht="18" customHeight="1">
      <c r="A15" s="235"/>
      <c r="B15" s="235"/>
      <c r="C15" s="237"/>
      <c r="D15" s="239"/>
      <c r="E15" s="55" t="s">
        <v>29</v>
      </c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229"/>
      <c r="AL15" s="229"/>
      <c r="AM15" s="231"/>
      <c r="AN15" s="225"/>
      <c r="AO15" s="233"/>
      <c r="AP15" s="225"/>
      <c r="AQ15" s="225"/>
      <c r="AR15" s="225"/>
      <c r="AS15" s="227"/>
      <c r="AT15" s="1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3" customFormat="1" ht="18" customHeight="1">
      <c r="A16" s="234">
        <v>3</v>
      </c>
      <c r="B16" s="234" t="s">
        <v>77</v>
      </c>
      <c r="C16" s="236" t="str">
        <f>VLOOKUP(B16,DS,2,0)</f>
        <v>Cao Minh Chí</v>
      </c>
      <c r="D16" s="238" t="str">
        <f>VLOOKUP(B16,DS,3,0)</f>
        <v>Công Đoạn 2</v>
      </c>
      <c r="E16" s="54" t="s">
        <v>30</v>
      </c>
      <c r="F16" s="127">
        <v>8</v>
      </c>
      <c r="G16" s="127">
        <v>8</v>
      </c>
      <c r="H16" s="127">
        <v>8</v>
      </c>
      <c r="I16" s="127">
        <v>8</v>
      </c>
      <c r="J16" s="127">
        <v>8</v>
      </c>
      <c r="K16" s="127">
        <v>8</v>
      </c>
      <c r="L16" s="127"/>
      <c r="M16" s="127">
        <v>8</v>
      </c>
      <c r="N16" s="127">
        <v>8</v>
      </c>
      <c r="O16" s="127">
        <v>8</v>
      </c>
      <c r="P16" s="127">
        <v>8</v>
      </c>
      <c r="Q16" s="127">
        <v>8</v>
      </c>
      <c r="R16" s="127">
        <v>8</v>
      </c>
      <c r="S16" s="127"/>
      <c r="T16" s="127">
        <v>8</v>
      </c>
      <c r="U16" s="127">
        <v>8</v>
      </c>
      <c r="V16" s="127">
        <v>8</v>
      </c>
      <c r="W16" s="127">
        <v>8</v>
      </c>
      <c r="X16" s="127">
        <v>8</v>
      </c>
      <c r="Y16" s="127">
        <v>8</v>
      </c>
      <c r="Z16" s="127"/>
      <c r="AA16" s="127">
        <v>8</v>
      </c>
      <c r="AB16" s="127">
        <v>8</v>
      </c>
      <c r="AC16" s="127">
        <v>8</v>
      </c>
      <c r="AD16" s="127">
        <v>8</v>
      </c>
      <c r="AE16" s="127">
        <v>8</v>
      </c>
      <c r="AF16" s="127">
        <v>8</v>
      </c>
      <c r="AG16" s="127"/>
      <c r="AH16" s="127">
        <v>8</v>
      </c>
      <c r="AI16" s="127">
        <v>8</v>
      </c>
      <c r="AJ16" s="127">
        <v>8</v>
      </c>
      <c r="AK16" s="228">
        <f t="shared" ref="AK16" si="7">((SUM(F16:AJ16))/8)-(SUMIF($F$6:$AJ$6,"C.Nhật",F16:AJ16)/8)</f>
        <v>27</v>
      </c>
      <c r="AL16" s="228">
        <f t="shared" ref="AL16" si="8">SUM(F17:AJ17)/8*1.5</f>
        <v>0</v>
      </c>
      <c r="AM16" s="230">
        <f>SUMIF($F$6:$AJ$6,"C.Nhật",$F16:$AJ17)/8*2</f>
        <v>0</v>
      </c>
      <c r="AN16" s="224">
        <f t="shared" ref="AN16" si="9">SUM(AK16:AM17)</f>
        <v>27</v>
      </c>
      <c r="AO16" s="232">
        <v>0</v>
      </c>
      <c r="AP16" s="224"/>
      <c r="AQ16" s="224"/>
      <c r="AR16" s="224"/>
      <c r="AS16" s="226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3" customFormat="1" ht="18" customHeight="1">
      <c r="A17" s="235"/>
      <c r="B17" s="235"/>
      <c r="C17" s="237"/>
      <c r="D17" s="239"/>
      <c r="E17" s="55" t="s">
        <v>29</v>
      </c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229"/>
      <c r="AL17" s="229"/>
      <c r="AM17" s="231"/>
      <c r="AN17" s="225"/>
      <c r="AO17" s="233"/>
      <c r="AP17" s="225"/>
      <c r="AQ17" s="225"/>
      <c r="AR17" s="225"/>
      <c r="AS17" s="227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3" customFormat="1" ht="18" customHeight="1">
      <c r="A18" s="234">
        <v>4</v>
      </c>
      <c r="B18" s="234" t="s">
        <v>81</v>
      </c>
      <c r="C18" s="236" t="str">
        <f>VLOOKUP(B18,DS,2,0)</f>
        <v>Nguyễn Thị Sự</v>
      </c>
      <c r="D18" s="238" t="str">
        <f>VLOOKUP(B18,DS,3,0)</f>
        <v>Công Đoạn 2</v>
      </c>
      <c r="E18" s="54" t="s">
        <v>30</v>
      </c>
      <c r="F18" s="127">
        <v>8</v>
      </c>
      <c r="G18" s="127">
        <v>8</v>
      </c>
      <c r="H18" s="127">
        <v>8</v>
      </c>
      <c r="I18" s="127">
        <v>8</v>
      </c>
      <c r="J18" s="127">
        <v>8</v>
      </c>
      <c r="K18" s="127">
        <v>8</v>
      </c>
      <c r="L18" s="127"/>
      <c r="M18" s="127">
        <v>8</v>
      </c>
      <c r="N18" s="127">
        <v>8</v>
      </c>
      <c r="O18" s="127">
        <v>8</v>
      </c>
      <c r="P18" s="127">
        <v>8</v>
      </c>
      <c r="Q18" s="127">
        <v>8</v>
      </c>
      <c r="R18" s="127">
        <v>8</v>
      </c>
      <c r="S18" s="127"/>
      <c r="T18" s="127">
        <v>8</v>
      </c>
      <c r="U18" s="127">
        <v>8</v>
      </c>
      <c r="V18" s="127">
        <v>8</v>
      </c>
      <c r="W18" s="127">
        <v>8</v>
      </c>
      <c r="X18" s="127">
        <v>8</v>
      </c>
      <c r="Y18" s="127">
        <v>8</v>
      </c>
      <c r="Z18" s="127"/>
      <c r="AA18" s="127">
        <v>8</v>
      </c>
      <c r="AB18" s="127">
        <v>8</v>
      </c>
      <c r="AC18" s="127">
        <v>8</v>
      </c>
      <c r="AD18" s="127">
        <v>8</v>
      </c>
      <c r="AE18" s="127">
        <v>8</v>
      </c>
      <c r="AF18" s="127">
        <v>8</v>
      </c>
      <c r="AG18" s="127"/>
      <c r="AH18" s="127">
        <v>8</v>
      </c>
      <c r="AI18" s="127">
        <v>8</v>
      </c>
      <c r="AJ18" s="127">
        <v>8</v>
      </c>
      <c r="AK18" s="228">
        <f t="shared" ref="AK18" si="10">((SUM(F18:AJ18))/8)-(SUMIF($F$6:$AJ$6,"C.Nhật",F18:AJ18)/8)</f>
        <v>27</v>
      </c>
      <c r="AL18" s="228">
        <f t="shared" ref="AL18" si="11">SUM(F19:AJ19)/8*1.5</f>
        <v>0</v>
      </c>
      <c r="AM18" s="230">
        <f>SUMIF($F$6:$AJ$6,"C.Nhật",$F18:$AJ19)/8*2</f>
        <v>0</v>
      </c>
      <c r="AN18" s="224">
        <f t="shared" ref="AN18" si="12">SUM(AK18:AM19)</f>
        <v>27</v>
      </c>
      <c r="AO18" s="232">
        <v>0</v>
      </c>
      <c r="AP18" s="224"/>
      <c r="AQ18" s="224"/>
      <c r="AR18" s="224"/>
      <c r="AS18" s="226"/>
      <c r="AT18" s="1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3" customFormat="1" ht="18" customHeight="1">
      <c r="A19" s="235"/>
      <c r="B19" s="235"/>
      <c r="C19" s="237"/>
      <c r="D19" s="239"/>
      <c r="E19" s="55" t="s">
        <v>29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229"/>
      <c r="AL19" s="229"/>
      <c r="AM19" s="231"/>
      <c r="AN19" s="225"/>
      <c r="AO19" s="233"/>
      <c r="AP19" s="225"/>
      <c r="AQ19" s="225"/>
      <c r="AR19" s="225"/>
      <c r="AS19" s="227"/>
      <c r="AT19" s="1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6" customFormat="1" ht="12.75">
      <c r="A20" s="14"/>
      <c r="B20" s="57"/>
      <c r="C20" s="4"/>
      <c r="D20" s="98"/>
      <c r="E20" s="4"/>
      <c r="F20" s="61"/>
      <c r="G20" s="61"/>
      <c r="H20" s="58"/>
      <c r="I20" s="58"/>
      <c r="J20" s="104"/>
      <c r="K20" s="61"/>
      <c r="L20" s="58"/>
      <c r="M20" s="61"/>
      <c r="N20" s="61"/>
      <c r="O20" s="61"/>
      <c r="P20" s="61"/>
      <c r="Q20" s="58"/>
      <c r="R20" s="61"/>
      <c r="S20" s="61"/>
      <c r="T20" s="104"/>
      <c r="U20" s="61"/>
      <c r="V20" s="61"/>
      <c r="W20" s="61"/>
      <c r="X20" s="57"/>
      <c r="Y20" s="61"/>
      <c r="Z20" s="61"/>
      <c r="AA20" s="61"/>
      <c r="AB20" s="61"/>
      <c r="AC20" s="61"/>
      <c r="AD20" s="58"/>
      <c r="AE20" s="61"/>
      <c r="AF20" s="61"/>
      <c r="AG20" s="61"/>
      <c r="AH20" s="61"/>
      <c r="AI20" s="61"/>
      <c r="AJ20" s="61"/>
      <c r="AK20" s="4"/>
      <c r="AL20" s="4"/>
      <c r="AM20" s="84"/>
      <c r="AN20" s="60"/>
      <c r="AO20" s="60"/>
      <c r="AP20" s="60"/>
      <c r="AQ20" s="60"/>
      <c r="AR20" s="60"/>
      <c r="AS20" s="4"/>
      <c r="AT20" s="90"/>
    </row>
    <row r="21" spans="1:90" s="56" customFormat="1" ht="12.75">
      <c r="A21" s="14"/>
      <c r="B21" s="57"/>
      <c r="C21" s="14" t="s">
        <v>14</v>
      </c>
      <c r="D21" s="98"/>
      <c r="E21" s="4"/>
      <c r="F21" s="61"/>
      <c r="G21" s="61"/>
      <c r="H21" s="58"/>
      <c r="I21" s="58"/>
      <c r="J21" s="104"/>
      <c r="K21" s="61"/>
      <c r="L21" s="58"/>
      <c r="M21" s="61"/>
      <c r="N21" s="61"/>
      <c r="O21" s="61"/>
      <c r="P21" s="61"/>
      <c r="Q21" s="58"/>
      <c r="R21" s="61"/>
      <c r="S21" s="61"/>
      <c r="T21" s="104"/>
      <c r="U21" s="61"/>
      <c r="V21" s="61"/>
      <c r="W21" s="61"/>
      <c r="X21" s="57"/>
      <c r="Y21" s="61"/>
      <c r="Z21" s="61"/>
      <c r="AA21" s="61"/>
      <c r="AB21" s="61"/>
      <c r="AC21" s="61"/>
      <c r="AD21" s="58"/>
      <c r="AE21" s="61"/>
      <c r="AF21" s="61"/>
      <c r="AG21" s="61"/>
      <c r="AH21" s="61"/>
      <c r="AI21" s="61"/>
      <c r="AJ21" s="61"/>
      <c r="AK21" s="4"/>
      <c r="AL21" s="4"/>
      <c r="AM21" s="84"/>
      <c r="AN21" s="60"/>
      <c r="AO21" s="60"/>
      <c r="AP21" s="60"/>
      <c r="AQ21" s="60"/>
      <c r="AR21" s="60"/>
      <c r="AS21" s="4"/>
      <c r="AT21" s="90"/>
    </row>
    <row r="22" spans="1:90" s="56" customFormat="1" ht="12.75">
      <c r="A22" s="12"/>
      <c r="B22" s="12"/>
      <c r="C22" s="4"/>
      <c r="D22" s="98"/>
      <c r="E22" s="4"/>
      <c r="F22" s="61"/>
      <c r="G22" s="61"/>
      <c r="H22" s="105"/>
      <c r="I22" s="105"/>
      <c r="J22" s="105"/>
      <c r="K22" s="61"/>
      <c r="L22" s="105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105"/>
      <c r="AE22" s="61"/>
      <c r="AF22" s="61"/>
      <c r="AG22" s="61"/>
      <c r="AH22" s="61"/>
      <c r="AI22" s="61"/>
      <c r="AJ22" s="61"/>
      <c r="AK22" s="4"/>
      <c r="AL22" s="4"/>
      <c r="AM22" s="84"/>
      <c r="AN22" s="62"/>
      <c r="AO22" s="62"/>
      <c r="AP22" s="62"/>
      <c r="AQ22" s="62"/>
      <c r="AR22" s="62"/>
      <c r="AS22" s="4"/>
      <c r="AT22" s="90"/>
    </row>
    <row r="23" spans="1:90" s="59" customFormat="1" ht="15" customHeight="1">
      <c r="A23" s="12"/>
      <c r="B23" s="12"/>
      <c r="C23" s="4"/>
      <c r="D23" s="98"/>
      <c r="E23" s="4"/>
      <c r="F23" s="61"/>
      <c r="G23" s="61"/>
      <c r="H23" s="105"/>
      <c r="I23" s="105"/>
      <c r="J23" s="105"/>
      <c r="K23" s="61"/>
      <c r="L23" s="105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105"/>
      <c r="AE23" s="61"/>
      <c r="AF23" s="61"/>
      <c r="AG23" s="61"/>
      <c r="AH23" s="61"/>
      <c r="AI23" s="61"/>
      <c r="AJ23" s="61"/>
      <c r="AK23" s="4"/>
      <c r="AL23" s="4"/>
      <c r="AM23" s="84"/>
      <c r="AN23" s="62"/>
      <c r="AO23" s="62"/>
      <c r="AP23" s="62"/>
      <c r="AQ23" s="62"/>
      <c r="AR23" s="62"/>
      <c r="AS23" s="4"/>
      <c r="AT23" s="4"/>
    </row>
    <row r="24" spans="1:90" s="59" customFormat="1" ht="11.25">
      <c r="A24" s="12"/>
      <c r="B24" s="12"/>
      <c r="C24" s="4"/>
      <c r="D24" s="98"/>
      <c r="E24" s="4"/>
      <c r="F24" s="61"/>
      <c r="G24" s="61"/>
      <c r="H24" s="105"/>
      <c r="I24" s="105"/>
      <c r="J24" s="105"/>
      <c r="K24" s="61"/>
      <c r="L24" s="105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105"/>
      <c r="AE24" s="61"/>
      <c r="AF24" s="61"/>
      <c r="AG24" s="61"/>
      <c r="AH24" s="61"/>
      <c r="AI24" s="61"/>
      <c r="AJ24" s="61"/>
      <c r="AK24" s="4"/>
      <c r="AL24" s="4"/>
      <c r="AM24" s="84"/>
      <c r="AN24" s="62"/>
      <c r="AO24" s="62"/>
      <c r="AP24" s="62"/>
      <c r="AQ24" s="62"/>
      <c r="AR24" s="62"/>
      <c r="AS24" s="4"/>
      <c r="AT24" s="4"/>
    </row>
    <row r="25" spans="1:90" s="59" customFormat="1" ht="11.25">
      <c r="A25" s="12"/>
      <c r="B25" s="12"/>
      <c r="C25" s="4"/>
      <c r="D25" s="98"/>
      <c r="E25" s="4"/>
      <c r="F25" s="61"/>
      <c r="G25" s="61"/>
      <c r="H25" s="105"/>
      <c r="I25" s="105"/>
      <c r="J25" s="105"/>
      <c r="K25" s="61"/>
      <c r="L25" s="105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105"/>
      <c r="AE25" s="61"/>
      <c r="AF25" s="61"/>
      <c r="AG25" s="61"/>
      <c r="AH25" s="61"/>
      <c r="AI25" s="61"/>
      <c r="AJ25" s="61"/>
      <c r="AK25" s="4"/>
      <c r="AL25" s="4"/>
      <c r="AM25" s="84"/>
      <c r="AN25" s="62"/>
      <c r="AO25" s="62"/>
      <c r="AP25" s="62"/>
      <c r="AQ25" s="62"/>
      <c r="AR25" s="62"/>
      <c r="AS25" s="4"/>
      <c r="AT25" s="4"/>
    </row>
    <row r="26" spans="1:90" s="59" customFormat="1" ht="11.25">
      <c r="A26" s="10"/>
      <c r="B26" s="10"/>
      <c r="C26" s="14"/>
      <c r="D26" s="99"/>
      <c r="E26" s="63"/>
      <c r="F26" s="104"/>
      <c r="G26" s="106"/>
      <c r="H26" s="58"/>
      <c r="I26" s="58"/>
      <c r="J26" s="58"/>
      <c r="K26" s="106"/>
      <c r="L26" s="58"/>
      <c r="M26" s="106"/>
      <c r="N26" s="106"/>
      <c r="O26" s="106"/>
      <c r="P26" s="106"/>
      <c r="Q26" s="58"/>
      <c r="R26" s="104"/>
      <c r="S26" s="106"/>
      <c r="T26" s="106"/>
      <c r="U26" s="58"/>
      <c r="V26" s="106"/>
      <c r="W26" s="106"/>
      <c r="X26" s="58"/>
      <c r="Y26" s="106"/>
      <c r="Z26" s="106"/>
      <c r="AA26" s="106"/>
      <c r="AB26" s="106"/>
      <c r="AC26" s="106"/>
      <c r="AD26" s="58"/>
      <c r="AE26" s="106"/>
      <c r="AF26" s="106"/>
      <c r="AG26" s="106"/>
      <c r="AH26" s="106"/>
      <c r="AI26" s="106"/>
      <c r="AJ26" s="106"/>
      <c r="AK26" s="63"/>
      <c r="AM26" s="85"/>
      <c r="AN26" s="10"/>
      <c r="AO26" s="10"/>
      <c r="AP26" s="10"/>
      <c r="AQ26" s="10"/>
      <c r="AR26" s="10"/>
      <c r="AS26" s="14"/>
      <c r="AT26" s="4"/>
    </row>
    <row r="27" spans="1:90" s="59" customFormat="1" ht="12.75">
      <c r="A27" s="2"/>
      <c r="B27" s="2" t="s">
        <v>0</v>
      </c>
      <c r="C27" s="2"/>
      <c r="D27" s="172"/>
      <c r="E27" s="2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8"/>
      <c r="AI27" s="108"/>
      <c r="AJ27" s="108"/>
      <c r="AK27" s="2"/>
      <c r="AL27" s="2"/>
      <c r="AM27" s="86"/>
      <c r="AN27" s="2"/>
      <c r="AO27" s="2"/>
      <c r="AP27" s="2"/>
      <c r="AQ27" s="2"/>
      <c r="AR27" s="2"/>
      <c r="AS27" s="2"/>
      <c r="AT27" s="4"/>
    </row>
    <row r="28" spans="1:90" s="59" customFormat="1" ht="12.75">
      <c r="A28" s="2"/>
      <c r="B28" s="2"/>
      <c r="C28" s="2" t="s">
        <v>40</v>
      </c>
      <c r="D28" s="172"/>
      <c r="E28" s="2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8"/>
      <c r="AI28" s="108"/>
      <c r="AJ28" s="108"/>
      <c r="AK28" s="2"/>
      <c r="AL28" s="2"/>
      <c r="AM28" s="86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41</v>
      </c>
    </row>
    <row r="30" spans="1:90" ht="15" customHeight="1">
      <c r="C30" s="2" t="s">
        <v>42</v>
      </c>
    </row>
    <row r="31" spans="1:90" ht="15" customHeight="1">
      <c r="C31" s="2" t="s">
        <v>43</v>
      </c>
    </row>
    <row r="32" spans="1:90" ht="15" customHeight="1">
      <c r="C32" s="2" t="s">
        <v>44</v>
      </c>
    </row>
    <row r="33" spans="3:3" ht="15" customHeight="1">
      <c r="C33" s="2" t="s">
        <v>45</v>
      </c>
    </row>
    <row r="34" spans="3:3" ht="15" customHeight="1">
      <c r="C34" s="2" t="s">
        <v>46</v>
      </c>
    </row>
    <row r="35" spans="3:3" ht="15" customHeight="1">
      <c r="C35" s="2" t="s">
        <v>47</v>
      </c>
    </row>
    <row r="36" spans="3:3" ht="15" customHeight="1">
      <c r="C36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N18:AN19"/>
    <mergeCell ref="AO18:AO19"/>
    <mergeCell ref="AK14:AK15"/>
    <mergeCell ref="A14:A15"/>
    <mergeCell ref="B14:B15"/>
    <mergeCell ref="A16:A17"/>
    <mergeCell ref="B16:B17"/>
    <mergeCell ref="AN16:AN17"/>
    <mergeCell ref="A18:A19"/>
    <mergeCell ref="B18:B19"/>
    <mergeCell ref="C18:C19"/>
    <mergeCell ref="D18:D19"/>
    <mergeCell ref="AK18:AK19"/>
    <mergeCell ref="AM1:AS1"/>
    <mergeCell ref="AK5:AM5"/>
    <mergeCell ref="AN5:AN6"/>
    <mergeCell ref="AO5:AO6"/>
    <mergeCell ref="AP5:AP6"/>
    <mergeCell ref="AQ5:AQ6"/>
    <mergeCell ref="AR5:AR6"/>
    <mergeCell ref="AS5:AS6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C5:C6"/>
    <mergeCell ref="D5:D6"/>
    <mergeCell ref="E5:E6"/>
    <mergeCell ref="AL18:AL19"/>
    <mergeCell ref="AM18:AM19"/>
    <mergeCell ref="C14:C15"/>
    <mergeCell ref="D14:D15"/>
    <mergeCell ref="AL14:AL15"/>
    <mergeCell ref="AM14:AM15"/>
    <mergeCell ref="C16:C17"/>
    <mergeCell ref="D16:D17"/>
    <mergeCell ref="AK16:AK17"/>
    <mergeCell ref="AL16:AL17"/>
    <mergeCell ref="AM16:AM17"/>
    <mergeCell ref="AL12:AL13"/>
    <mergeCell ref="AM12:AM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  <mergeCell ref="AQ18:AQ19"/>
    <mergeCell ref="AR18:AR19"/>
    <mergeCell ref="AS18:AS19"/>
    <mergeCell ref="AP12:AP13"/>
    <mergeCell ref="AQ12:AQ13"/>
    <mergeCell ref="AP18:AP19"/>
    <mergeCell ref="AO16:AO17"/>
    <mergeCell ref="AP16:AP17"/>
    <mergeCell ref="AQ16:AQ17"/>
    <mergeCell ref="AR16:AR17"/>
    <mergeCell ref="AS16:AS17"/>
  </mergeCells>
  <conditionalFormatting sqref="F5:AJ6 F9:AJ10 F12:AJ15 F18:AJ19">
    <cfRule type="expression" dxfId="48" priority="41" stopIfTrue="1">
      <formula>IF(WEEKDAY(F$5)=1,TRUE,FALSE)</formula>
    </cfRule>
  </conditionalFormatting>
  <conditionalFormatting sqref="F9:AJ10">
    <cfRule type="expression" dxfId="47" priority="40" stopIfTrue="1">
      <formula>IF(WEEKDAY(F$5)=1,TRUE,FALSE)</formula>
    </cfRule>
  </conditionalFormatting>
  <conditionalFormatting sqref="F16:AJ17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G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5" sqref="A15:B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7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3"/>
      <c r="B1" s="176"/>
      <c r="C1" s="176"/>
      <c r="D1" s="258" t="str">
        <f>"BẢNG THANH TOÁN LƯƠNG THÁNG"&amp;" "&amp;TEXT($E$4,"mm")&amp;" / "&amp;TEXT($E$4,"yyyy")</f>
        <v>BẢNG THANH TOÁN LƯƠNG THÁNG 08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78</v>
      </c>
      <c r="S1" s="261"/>
      <c r="T1" s="262"/>
      <c r="U1" s="114" t="s">
        <v>51</v>
      </c>
      <c r="V1" s="96" t="s">
        <v>33</v>
      </c>
      <c r="W1" s="69"/>
      <c r="X1" s="69"/>
      <c r="Y1" s="5"/>
      <c r="Z1" s="5"/>
    </row>
    <row r="2" spans="1:31" s="4" customFormat="1" ht="15" customHeight="1">
      <c r="A2" s="123"/>
      <c r="B2" s="176"/>
      <c r="C2" s="176"/>
      <c r="D2" s="176"/>
      <c r="E2" s="67"/>
      <c r="F2" s="176"/>
      <c r="G2" s="176"/>
      <c r="H2" s="176"/>
      <c r="I2" s="176"/>
      <c r="J2" s="68"/>
      <c r="K2" s="176"/>
      <c r="L2" s="176"/>
      <c r="M2" s="176"/>
      <c r="N2" s="176"/>
      <c r="O2" s="176"/>
      <c r="P2" s="176"/>
      <c r="Q2" s="176"/>
      <c r="R2" s="176"/>
      <c r="S2" s="176"/>
      <c r="T2" s="45"/>
      <c r="U2" s="66">
        <f>MAX(F10:F19)</f>
        <v>27</v>
      </c>
      <c r="V2" s="97">
        <v>31</v>
      </c>
      <c r="W2" s="69"/>
      <c r="X2" s="69"/>
      <c r="Y2" s="5"/>
      <c r="Z2" s="5"/>
    </row>
    <row r="3" spans="1:31" s="4" customFormat="1" ht="15" customHeight="1">
      <c r="A3" s="123"/>
      <c r="B3" s="176"/>
      <c r="C3" s="176"/>
      <c r="D3" s="176"/>
      <c r="E3" s="67"/>
      <c r="F3" s="176"/>
      <c r="G3" s="176"/>
      <c r="H3" s="176"/>
      <c r="I3" s="176"/>
      <c r="J3" s="68"/>
      <c r="K3" s="176"/>
      <c r="L3" s="176"/>
      <c r="M3" s="176"/>
      <c r="N3" s="176"/>
      <c r="O3" s="176"/>
      <c r="P3" s="176"/>
      <c r="Q3" s="176"/>
      <c r="R3" s="176"/>
      <c r="S3" s="176"/>
      <c r="T3" s="45"/>
      <c r="U3" s="115"/>
      <c r="V3" s="116"/>
      <c r="W3" s="69"/>
      <c r="X3" s="69"/>
      <c r="Y3" s="5"/>
      <c r="Z3" s="5"/>
    </row>
    <row r="4" spans="1:31" s="91" customFormat="1" ht="14.25" customHeight="1">
      <c r="A4" s="89"/>
      <c r="B4" s="90"/>
      <c r="C4" s="90"/>
      <c r="D4" s="90"/>
      <c r="E4" s="170">
        <f>'CC - 8'!$E$4</f>
        <v>42583</v>
      </c>
      <c r="F4" s="90"/>
      <c r="G4" s="90"/>
      <c r="H4" s="90"/>
      <c r="I4" s="90"/>
      <c r="J4" s="90"/>
      <c r="K4" s="90"/>
      <c r="L4" s="90"/>
      <c r="M4" s="90"/>
      <c r="N4" s="145">
        <v>0.08</v>
      </c>
      <c r="O4" s="145">
        <v>1.4999999999999999E-2</v>
      </c>
      <c r="P4" s="145">
        <v>0.01</v>
      </c>
      <c r="Q4" s="90"/>
      <c r="R4" s="90"/>
      <c r="S4" s="90"/>
      <c r="T4" s="90"/>
      <c r="U4" s="90"/>
      <c r="V4" s="92"/>
      <c r="W4" s="92"/>
      <c r="X4" s="92"/>
      <c r="Y4" s="92"/>
      <c r="Z4" s="92"/>
    </row>
    <row r="5" spans="1:31" s="22" customFormat="1" ht="24" customHeight="1">
      <c r="A5" s="263" t="s">
        <v>19</v>
      </c>
      <c r="B5" s="263" t="s">
        <v>20</v>
      </c>
      <c r="C5" s="217" t="s">
        <v>1</v>
      </c>
      <c r="D5" s="217" t="s">
        <v>2</v>
      </c>
      <c r="E5" s="220" t="s">
        <v>49</v>
      </c>
      <c r="F5" s="265" t="s">
        <v>24</v>
      </c>
      <c r="G5" s="266"/>
      <c r="H5" s="266"/>
      <c r="I5" s="266"/>
      <c r="J5" s="266"/>
      <c r="K5" s="267"/>
      <c r="L5" s="254" t="s">
        <v>50</v>
      </c>
      <c r="M5" s="254" t="s">
        <v>5</v>
      </c>
      <c r="N5" s="217" t="s">
        <v>6</v>
      </c>
      <c r="O5" s="217"/>
      <c r="P5" s="217"/>
      <c r="Q5" s="254" t="s">
        <v>7</v>
      </c>
      <c r="R5" s="254" t="s">
        <v>8</v>
      </c>
      <c r="S5" s="254" t="s">
        <v>9</v>
      </c>
      <c r="T5" s="218" t="s">
        <v>10</v>
      </c>
      <c r="U5" s="90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64"/>
      <c r="B6" s="264"/>
      <c r="C6" s="217"/>
      <c r="D6" s="217"/>
      <c r="E6" s="220"/>
      <c r="F6" s="265" t="s">
        <v>52</v>
      </c>
      <c r="G6" s="267"/>
      <c r="H6" s="265" t="s">
        <v>71</v>
      </c>
      <c r="I6" s="266"/>
      <c r="J6" s="252" t="s">
        <v>25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31</v>
      </c>
      <c r="Q6" s="255"/>
      <c r="R6" s="255"/>
      <c r="S6" s="255"/>
      <c r="T6" s="219"/>
      <c r="U6" s="90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64"/>
      <c r="B7" s="264"/>
      <c r="C7" s="254"/>
      <c r="D7" s="254"/>
      <c r="E7" s="220"/>
      <c r="F7" s="175" t="s">
        <v>34</v>
      </c>
      <c r="G7" s="173" t="s">
        <v>18</v>
      </c>
      <c r="H7" s="175" t="s">
        <v>34</v>
      </c>
      <c r="I7" s="112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9"/>
      <c r="U7" s="90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1" customFormat="1" ht="12.75" customHeight="1">
      <c r="A8" s="70">
        <v>1</v>
      </c>
      <c r="B8" s="70">
        <v>1</v>
      </c>
      <c r="C8" s="70">
        <v>2</v>
      </c>
      <c r="D8" s="70">
        <v>3</v>
      </c>
      <c r="E8" s="70">
        <v>4</v>
      </c>
      <c r="F8" s="70">
        <v>5</v>
      </c>
      <c r="G8" s="70">
        <v>6</v>
      </c>
      <c r="H8" s="70">
        <v>7</v>
      </c>
      <c r="I8" s="70">
        <v>8</v>
      </c>
      <c r="J8" s="70">
        <v>9</v>
      </c>
      <c r="K8" s="70">
        <v>10</v>
      </c>
      <c r="L8" s="70">
        <v>11</v>
      </c>
      <c r="M8" s="70">
        <v>12</v>
      </c>
      <c r="N8" s="70">
        <v>13</v>
      </c>
      <c r="O8" s="70">
        <v>14</v>
      </c>
      <c r="P8" s="70">
        <v>15</v>
      </c>
      <c r="Q8" s="70">
        <v>16</v>
      </c>
      <c r="R8" s="70">
        <v>17</v>
      </c>
      <c r="S8" s="70">
        <v>18</v>
      </c>
      <c r="T8" s="70">
        <v>19</v>
      </c>
      <c r="U8" s="90"/>
      <c r="V8" s="72"/>
      <c r="W8" s="72"/>
      <c r="X8" s="73"/>
      <c r="Y8" s="73"/>
      <c r="Z8" s="73"/>
      <c r="AA8" s="74"/>
      <c r="AB8" s="74"/>
      <c r="AC8" s="74"/>
      <c r="AD8" s="74"/>
      <c r="AE8" s="74"/>
    </row>
    <row r="9" spans="1:31" s="71" customFormat="1" ht="24" customHeight="1">
      <c r="A9" s="169" t="s">
        <v>68</v>
      </c>
      <c r="B9" s="168" t="s">
        <v>79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90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28" customFormat="1" ht="24" customHeight="1">
      <c r="A10" s="30">
        <v>1</v>
      </c>
      <c r="B10" s="125" t="s">
        <v>74</v>
      </c>
      <c r="C10" s="75" t="str">
        <f t="shared" ref="C10" si="0">VLOOKUP(B10,DS,2,0)</f>
        <v>Nguyễn Thị Kim Quyên</v>
      </c>
      <c r="D10" s="100" t="str">
        <f t="shared" ref="D10" si="1">VLOOKUP(B10,DS,3,0)</f>
        <v>Văn Phòng</v>
      </c>
      <c r="E10" s="76">
        <f t="shared" ref="E10" si="2">VLOOKUP(B10,DS,4,0)</f>
        <v>4000000</v>
      </c>
      <c r="F10" s="78">
        <f>VLOOKUP(B10,'CC - 8'!$B$8:$AS$19,36,0)</f>
        <v>27</v>
      </c>
      <c r="G10" s="129">
        <f t="shared" ref="G10" si="3">ROUND(E10/$U$2*F10,0)</f>
        <v>4000000</v>
      </c>
      <c r="H10" s="78">
        <f>(VLOOKUP(B10,'CC - 8'!$B$8:$AS$19,37,0)+VLOOKUP(B10,'CC - 8'!$B$8:$AS$19,38,0))</f>
        <v>0</v>
      </c>
      <c r="I10" s="129">
        <f t="shared" ref="I10" si="4">ROUND(E10/$U$2*H10,0)</f>
        <v>0</v>
      </c>
      <c r="J10" s="79">
        <f t="shared" ref="J10" si="5">F10+H10</f>
        <v>27</v>
      </c>
      <c r="K10" s="31">
        <f>G10+I10</f>
        <v>4000000</v>
      </c>
      <c r="L10" s="76">
        <f t="shared" ref="L10" si="6">+F10*15000</f>
        <v>405000</v>
      </c>
      <c r="M10" s="32">
        <f t="shared" ref="M10" si="7">K10+L10</f>
        <v>4405000</v>
      </c>
      <c r="N10" s="32">
        <f>IF(VLOOKUP($B10,DS,23,0)="x",$E10*N$4,0)</f>
        <v>0</v>
      </c>
      <c r="O10" s="32">
        <f>IF(VLOOKUP($B10,DS,23,0)="x",$E10*O$4,0)</f>
        <v>0</v>
      </c>
      <c r="P10" s="32">
        <f>IF(VLOOKUP($B10,DS,23,0)="x",$E10*P$4,0)</f>
        <v>0</v>
      </c>
      <c r="Q10" s="31">
        <f t="shared" ref="Q10" si="8">M10-SUM(N10:P10)</f>
        <v>4405000</v>
      </c>
      <c r="R10" s="31">
        <f>VLOOKUP(B10,DS,23,0)</f>
        <v>0</v>
      </c>
      <c r="S10" s="37">
        <f t="shared" ref="S10" si="9">Q10-R10</f>
        <v>4405000</v>
      </c>
      <c r="T10" s="31"/>
      <c r="U10" s="90"/>
      <c r="V10" s="29"/>
      <c r="W10" s="23"/>
      <c r="X10" s="5"/>
      <c r="Y10" s="5"/>
      <c r="Z10" s="5"/>
      <c r="AA10" s="4"/>
      <c r="AB10" s="4"/>
      <c r="AC10" s="4"/>
      <c r="AD10" s="4"/>
      <c r="AE10" s="4"/>
    </row>
    <row r="11" spans="1:31" s="28" customFormat="1" ht="24" customHeight="1">
      <c r="A11" s="177"/>
      <c r="B11" s="178"/>
      <c r="C11" s="179"/>
      <c r="D11" s="180"/>
      <c r="E11" s="181"/>
      <c r="F11" s="182"/>
      <c r="G11" s="183"/>
      <c r="H11" s="182"/>
      <c r="I11" s="183"/>
      <c r="J11" s="184"/>
      <c r="K11" s="185"/>
      <c r="L11" s="181"/>
      <c r="M11" s="186"/>
      <c r="N11" s="186"/>
      <c r="O11" s="186"/>
      <c r="P11" s="186"/>
      <c r="Q11" s="185"/>
      <c r="R11" s="185"/>
      <c r="S11" s="187"/>
      <c r="T11" s="185"/>
      <c r="U11" s="90"/>
      <c r="V11" s="29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08" t="s">
        <v>23</v>
      </c>
      <c r="B12" s="209"/>
      <c r="C12" s="209"/>
      <c r="D12" s="210"/>
      <c r="E12" s="124">
        <f>SUM(E9:E10)</f>
        <v>4000000</v>
      </c>
      <c r="F12" s="124"/>
      <c r="G12" s="124">
        <f>SUM(G9:G10)</f>
        <v>4000000</v>
      </c>
      <c r="H12" s="124"/>
      <c r="I12" s="124">
        <f>SUM(I9:I10)</f>
        <v>0</v>
      </c>
      <c r="J12" s="124"/>
      <c r="K12" s="124">
        <f t="shared" ref="K12:S12" si="10">SUM(K9:K10)</f>
        <v>4000000</v>
      </c>
      <c r="L12" s="124">
        <f t="shared" si="10"/>
        <v>405000</v>
      </c>
      <c r="M12" s="124">
        <f t="shared" si="10"/>
        <v>4405000</v>
      </c>
      <c r="N12" s="124">
        <f t="shared" si="10"/>
        <v>0</v>
      </c>
      <c r="O12" s="124">
        <f t="shared" si="10"/>
        <v>0</v>
      </c>
      <c r="P12" s="124">
        <f t="shared" si="10"/>
        <v>0</v>
      </c>
      <c r="Q12" s="124">
        <f t="shared" si="10"/>
        <v>4405000</v>
      </c>
      <c r="R12" s="124">
        <f t="shared" si="10"/>
        <v>0</v>
      </c>
      <c r="S12" s="124">
        <f t="shared" si="10"/>
        <v>4405000</v>
      </c>
      <c r="T12" s="21"/>
      <c r="U12" s="90"/>
      <c r="V12" s="27"/>
      <c r="W12" s="27"/>
      <c r="X12" s="27"/>
      <c r="Y12" s="27"/>
      <c r="Z12" s="27"/>
    </row>
    <row r="13" spans="1:31" s="71" customFormat="1" ht="24" customHeight="1">
      <c r="A13" s="169" t="s">
        <v>69</v>
      </c>
      <c r="B13" s="168" t="s">
        <v>70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90"/>
      <c r="V13" s="72"/>
      <c r="W13" s="72"/>
      <c r="X13" s="73"/>
      <c r="Y13" s="73"/>
      <c r="Z13" s="73"/>
      <c r="AA13" s="74"/>
      <c r="AB13" s="74"/>
      <c r="AC13" s="74"/>
      <c r="AD13" s="74"/>
      <c r="AE13" s="74"/>
    </row>
    <row r="14" spans="1:31" s="28" customFormat="1" ht="24" customHeight="1">
      <c r="A14" s="30">
        <v>1</v>
      </c>
      <c r="B14" s="125" t="s">
        <v>75</v>
      </c>
      <c r="C14" s="75" t="str">
        <f t="shared" ref="C14:C17" si="11">VLOOKUP(B14,DS,2,0)</f>
        <v>Lê Văn Hữu</v>
      </c>
      <c r="D14" s="100" t="str">
        <f t="shared" ref="D14:D17" si="12">VLOOKUP(B14,DS,3,0)</f>
        <v>Công Đoạn 1</v>
      </c>
      <c r="E14" s="76">
        <f t="shared" ref="E14:E17" si="13">VLOOKUP(B14,DS,4,0)</f>
        <v>3200000</v>
      </c>
      <c r="F14" s="78">
        <f>VLOOKUP(B14,'CC - 8'!$B$8:$AS$19,36,0)</f>
        <v>27</v>
      </c>
      <c r="G14" s="129">
        <f t="shared" ref="G14:G17" si="14">ROUND(E14/$U$2*F14,0)</f>
        <v>3200000</v>
      </c>
      <c r="H14" s="78">
        <f>(VLOOKUP(B14,'CC - 8'!$B$8:$AS$19,37,0)+VLOOKUP(B14,'CC - 8'!$B$8:$AS$19,38,0))</f>
        <v>0</v>
      </c>
      <c r="I14" s="129">
        <f t="shared" ref="I14:I17" si="15">ROUND(E14/$U$2*H14,0)</f>
        <v>0</v>
      </c>
      <c r="J14" s="130">
        <f t="shared" ref="J14:K17" si="16">F14+H14</f>
        <v>27</v>
      </c>
      <c r="K14" s="31">
        <f t="shared" si="16"/>
        <v>3200000</v>
      </c>
      <c r="L14" s="76">
        <f t="shared" ref="L14:L17" si="17">+F14*15000</f>
        <v>405000</v>
      </c>
      <c r="M14" s="32">
        <f t="shared" ref="M14:M17" si="18">K14+L14</f>
        <v>3605000</v>
      </c>
      <c r="N14" s="32">
        <f t="shared" ref="N14:P17" si="19">IF(VLOOKUP($B14,DS,23,0)="x",$E14*N$4,0)</f>
        <v>0</v>
      </c>
      <c r="O14" s="32">
        <f t="shared" si="19"/>
        <v>0</v>
      </c>
      <c r="P14" s="32">
        <f t="shared" si="19"/>
        <v>0</v>
      </c>
      <c r="Q14" s="31">
        <f>M14-SUM(N14:P14)</f>
        <v>3605000</v>
      </c>
      <c r="R14" s="31">
        <f t="shared" ref="R14:R17" si="20">VLOOKUP(B14,DS,23,0)</f>
        <v>0</v>
      </c>
      <c r="S14" s="37">
        <f>Q14-R14</f>
        <v>3605000</v>
      </c>
      <c r="T14" s="31"/>
      <c r="U14" s="90"/>
      <c r="V14" s="29"/>
      <c r="W14" s="23"/>
      <c r="X14" s="5"/>
      <c r="Y14" s="5"/>
      <c r="Z14" s="5"/>
      <c r="AA14" s="4"/>
      <c r="AB14" s="4"/>
      <c r="AC14" s="4"/>
      <c r="AD14" s="4"/>
      <c r="AE14" s="4"/>
    </row>
    <row r="15" spans="1:31" s="28" customFormat="1" ht="24" customHeight="1">
      <c r="A15" s="30">
        <v>2</v>
      </c>
      <c r="B15" s="125" t="s">
        <v>76</v>
      </c>
      <c r="C15" s="75" t="str">
        <f t="shared" ref="C15:C16" si="21">VLOOKUP(B15,DS,2,0)</f>
        <v>Phan Thị Sương</v>
      </c>
      <c r="D15" s="100" t="str">
        <f t="shared" ref="D15:D16" si="22">VLOOKUP(B15,DS,3,0)</f>
        <v>Công Đoạn 1</v>
      </c>
      <c r="E15" s="76">
        <f t="shared" ref="E15:E16" si="23">VLOOKUP(B15,DS,4,0)</f>
        <v>3000000</v>
      </c>
      <c r="F15" s="78">
        <f>VLOOKUP(B15,'CC - 8'!$B$8:$AS$19,36,0)</f>
        <v>27</v>
      </c>
      <c r="G15" s="129">
        <f t="shared" ref="G15:G16" si="24">ROUND(E15/$U$2*F15,0)</f>
        <v>3000000</v>
      </c>
      <c r="H15" s="78">
        <f>(VLOOKUP(B15,'CC - 8'!$B$8:$AS$19,37,0)+VLOOKUP(B15,'CC - 8'!$B$8:$AS$19,38,0))</f>
        <v>0</v>
      </c>
      <c r="I15" s="129">
        <f t="shared" ref="I15:I16" si="25">ROUND(E15/$U$2*H15,0)</f>
        <v>0</v>
      </c>
      <c r="J15" s="130">
        <f t="shared" ref="J15:J16" si="26">F15+H15</f>
        <v>27</v>
      </c>
      <c r="K15" s="31">
        <f t="shared" ref="K15:K16" si="27">G15+I15</f>
        <v>3000000</v>
      </c>
      <c r="L15" s="76">
        <f t="shared" ref="L15:L16" si="28">+F15*15000</f>
        <v>405000</v>
      </c>
      <c r="M15" s="32">
        <f t="shared" ref="M15:M16" si="29">K15+L15</f>
        <v>3405000</v>
      </c>
      <c r="N15" s="32">
        <f t="shared" si="19"/>
        <v>0</v>
      </c>
      <c r="O15" s="32">
        <f t="shared" si="19"/>
        <v>0</v>
      </c>
      <c r="P15" s="32">
        <f t="shared" si="19"/>
        <v>0</v>
      </c>
      <c r="Q15" s="31">
        <f t="shared" ref="Q15:Q16" si="30">M15-SUM(N15:P15)</f>
        <v>3405000</v>
      </c>
      <c r="R15" s="31">
        <f t="shared" ref="R15:R16" si="31">VLOOKUP(B15,DS,23,0)</f>
        <v>0</v>
      </c>
      <c r="S15" s="37">
        <f t="shared" ref="S15:S16" si="32">Q15-R15</f>
        <v>3405000</v>
      </c>
      <c r="T15" s="31"/>
      <c r="U15" s="90"/>
      <c r="V15" s="29"/>
      <c r="W15" s="23"/>
      <c r="X15" s="5"/>
      <c r="Y15" s="5"/>
      <c r="Z15" s="5"/>
      <c r="AA15" s="4"/>
      <c r="AB15" s="4"/>
      <c r="AC15" s="4"/>
      <c r="AD15" s="4"/>
      <c r="AE15" s="4"/>
    </row>
    <row r="16" spans="1:31" s="28" customFormat="1" ht="24" customHeight="1">
      <c r="A16" s="30">
        <v>3</v>
      </c>
      <c r="B16" s="125" t="s">
        <v>77</v>
      </c>
      <c r="C16" s="75" t="str">
        <f t="shared" si="21"/>
        <v>Cao Minh Chí</v>
      </c>
      <c r="D16" s="100" t="str">
        <f t="shared" si="22"/>
        <v>Công Đoạn 2</v>
      </c>
      <c r="E16" s="76">
        <f t="shared" si="23"/>
        <v>3200000</v>
      </c>
      <c r="F16" s="78">
        <f>VLOOKUP(B16,'CC - 8'!$B$8:$AS$19,36,0)</f>
        <v>27</v>
      </c>
      <c r="G16" s="129">
        <f t="shared" si="24"/>
        <v>3200000</v>
      </c>
      <c r="H16" s="78">
        <f>(VLOOKUP(B16,'CC - 8'!$B$8:$AS$19,37,0)+VLOOKUP(B16,'CC - 8'!$B$8:$AS$19,38,0))</f>
        <v>0</v>
      </c>
      <c r="I16" s="129">
        <f t="shared" si="25"/>
        <v>0</v>
      </c>
      <c r="J16" s="130">
        <f t="shared" si="26"/>
        <v>27</v>
      </c>
      <c r="K16" s="31">
        <f t="shared" si="27"/>
        <v>3200000</v>
      </c>
      <c r="L16" s="76">
        <f t="shared" si="28"/>
        <v>405000</v>
      </c>
      <c r="M16" s="32">
        <f t="shared" si="29"/>
        <v>3605000</v>
      </c>
      <c r="N16" s="32">
        <f t="shared" si="19"/>
        <v>0</v>
      </c>
      <c r="O16" s="32">
        <f t="shared" si="19"/>
        <v>0</v>
      </c>
      <c r="P16" s="32">
        <f t="shared" si="19"/>
        <v>0</v>
      </c>
      <c r="Q16" s="31">
        <f t="shared" si="30"/>
        <v>3605000</v>
      </c>
      <c r="R16" s="31">
        <f t="shared" si="31"/>
        <v>0</v>
      </c>
      <c r="S16" s="37">
        <f t="shared" si="32"/>
        <v>3605000</v>
      </c>
      <c r="T16" s="31"/>
      <c r="U16" s="90"/>
      <c r="V16" s="29"/>
      <c r="W16" s="23"/>
      <c r="X16" s="5"/>
      <c r="Y16" s="5"/>
      <c r="Z16" s="5"/>
      <c r="AA16" s="4"/>
      <c r="AB16" s="4"/>
      <c r="AC16" s="4"/>
      <c r="AD16" s="4"/>
      <c r="AE16" s="4"/>
    </row>
    <row r="17" spans="1:31" s="28" customFormat="1" ht="24" customHeight="1">
      <c r="A17" s="30">
        <v>4</v>
      </c>
      <c r="B17" s="125" t="s">
        <v>81</v>
      </c>
      <c r="C17" s="75" t="str">
        <f t="shared" si="11"/>
        <v>Nguyễn Thị Sự</v>
      </c>
      <c r="D17" s="100" t="str">
        <f t="shared" si="12"/>
        <v>Công Đoạn 2</v>
      </c>
      <c r="E17" s="76">
        <f t="shared" si="13"/>
        <v>3000000</v>
      </c>
      <c r="F17" s="78">
        <f>VLOOKUP(B17,'CC - 8'!$B$8:$AS$19,36,0)</f>
        <v>27</v>
      </c>
      <c r="G17" s="129">
        <f t="shared" si="14"/>
        <v>3000000</v>
      </c>
      <c r="H17" s="78">
        <f>(VLOOKUP(B17,'CC - 8'!$B$8:$AS$19,37,0)+VLOOKUP(B17,'CC - 8'!$B$8:$AS$19,38,0))</f>
        <v>0</v>
      </c>
      <c r="I17" s="129">
        <f t="shared" si="15"/>
        <v>0</v>
      </c>
      <c r="J17" s="130">
        <f t="shared" si="16"/>
        <v>27</v>
      </c>
      <c r="K17" s="31">
        <f t="shared" si="16"/>
        <v>3000000</v>
      </c>
      <c r="L17" s="76">
        <f t="shared" si="17"/>
        <v>405000</v>
      </c>
      <c r="M17" s="32">
        <f t="shared" si="18"/>
        <v>3405000</v>
      </c>
      <c r="N17" s="32">
        <f t="shared" si="19"/>
        <v>0</v>
      </c>
      <c r="O17" s="32">
        <f t="shared" si="19"/>
        <v>0</v>
      </c>
      <c r="P17" s="32">
        <f t="shared" si="19"/>
        <v>0</v>
      </c>
      <c r="Q17" s="31">
        <f t="shared" ref="Q17" si="33">M17-SUM(N17:P17)</f>
        <v>3405000</v>
      </c>
      <c r="R17" s="31">
        <f t="shared" si="20"/>
        <v>0</v>
      </c>
      <c r="S17" s="37">
        <f t="shared" ref="S17" si="34">Q17-R17</f>
        <v>3405000</v>
      </c>
      <c r="T17" s="31"/>
      <c r="U17" s="90"/>
      <c r="V17" s="29"/>
      <c r="W17" s="23"/>
      <c r="X17" s="5"/>
      <c r="Y17" s="5"/>
      <c r="Z17" s="5"/>
      <c r="AA17" s="4"/>
      <c r="AB17" s="4"/>
      <c r="AC17" s="4"/>
      <c r="AD17" s="4"/>
      <c r="AE17" s="4"/>
    </row>
    <row r="18" spans="1:31" s="28" customFormat="1" ht="22.5" customHeight="1">
      <c r="A18" s="33"/>
      <c r="B18" s="166"/>
      <c r="C18" s="34"/>
      <c r="D18" s="3"/>
      <c r="E18" s="35"/>
      <c r="F18" s="35"/>
      <c r="G18" s="35"/>
      <c r="H18" s="35"/>
      <c r="I18" s="35"/>
      <c r="J18" s="36"/>
      <c r="K18" s="35"/>
      <c r="L18" s="35"/>
      <c r="M18" s="165"/>
      <c r="N18" s="35"/>
      <c r="O18" s="35"/>
      <c r="P18" s="35"/>
      <c r="Q18" s="35"/>
      <c r="R18" s="35"/>
      <c r="S18" s="35"/>
      <c r="T18" s="31"/>
      <c r="U18" s="90"/>
      <c r="V18" s="29"/>
      <c r="W18" s="29"/>
      <c r="X18" s="29"/>
      <c r="Y18" s="29"/>
      <c r="Z18" s="29"/>
    </row>
    <row r="19" spans="1:31" s="26" customFormat="1" ht="21" customHeight="1">
      <c r="A19" s="208" t="s">
        <v>23</v>
      </c>
      <c r="B19" s="209"/>
      <c r="C19" s="209"/>
      <c r="D19" s="210"/>
      <c r="E19" s="124">
        <f>SUM(E13:E18)</f>
        <v>12400000</v>
      </c>
      <c r="F19" s="124"/>
      <c r="G19" s="124">
        <f>SUM(G13:G18)</f>
        <v>12400000</v>
      </c>
      <c r="H19" s="124"/>
      <c r="I19" s="124">
        <f>SUM(I13:I18)</f>
        <v>0</v>
      </c>
      <c r="J19" s="124"/>
      <c r="K19" s="124">
        <f t="shared" ref="K19:S19" si="35">SUM(K13:K18)</f>
        <v>12400000</v>
      </c>
      <c r="L19" s="124">
        <f t="shared" si="35"/>
        <v>1620000</v>
      </c>
      <c r="M19" s="124">
        <f t="shared" si="35"/>
        <v>14020000</v>
      </c>
      <c r="N19" s="124">
        <f t="shared" si="35"/>
        <v>0</v>
      </c>
      <c r="O19" s="124">
        <f t="shared" si="35"/>
        <v>0</v>
      </c>
      <c r="P19" s="124">
        <f t="shared" si="35"/>
        <v>0</v>
      </c>
      <c r="Q19" s="124">
        <f t="shared" si="35"/>
        <v>14020000</v>
      </c>
      <c r="R19" s="124">
        <f t="shared" si="35"/>
        <v>0</v>
      </c>
      <c r="S19" s="124">
        <f t="shared" si="35"/>
        <v>14020000</v>
      </c>
      <c r="T19" s="21"/>
      <c r="U19" s="90"/>
      <c r="V19" s="27"/>
      <c r="W19" s="27"/>
      <c r="X19" s="27"/>
      <c r="Y19" s="27"/>
      <c r="Z19" s="27"/>
    </row>
    <row r="20" spans="1:31" ht="11.25" customHeight="1">
      <c r="A20" s="8"/>
      <c r="B20" s="8"/>
      <c r="C20" s="9"/>
      <c r="D20" s="101"/>
      <c r="E20" s="80"/>
      <c r="F20" s="9"/>
      <c r="G20" s="9"/>
      <c r="H20" s="9"/>
      <c r="I20" s="9"/>
      <c r="K20" s="9"/>
      <c r="L20" s="9"/>
      <c r="M20" s="88"/>
      <c r="N20" s="9"/>
      <c r="O20" s="9"/>
      <c r="P20" s="9"/>
      <c r="Q20" s="9"/>
      <c r="R20" s="9"/>
      <c r="S20" s="9"/>
      <c r="T20" s="9"/>
      <c r="U20" s="90"/>
    </row>
    <row r="21" spans="1:31" s="28" customFormat="1" ht="11.25" customHeight="1">
      <c r="A21" s="64"/>
      <c r="B21" s="64"/>
      <c r="C21" s="64"/>
      <c r="D21" s="117"/>
      <c r="E21" s="118"/>
      <c r="F21" s="64"/>
      <c r="G21" s="64"/>
      <c r="H21" s="64"/>
      <c r="I21" s="64"/>
      <c r="J21" s="119"/>
      <c r="K21" s="118"/>
      <c r="L21" s="64"/>
      <c r="M21" s="64"/>
      <c r="N21" s="64"/>
      <c r="O21" s="64"/>
      <c r="P21" s="64"/>
      <c r="Q21" s="64"/>
      <c r="R21" s="64"/>
      <c r="S21" s="94" t="str">
        <f>"Long An, ngày  "&amp;$V$2&amp;"   tháng   "&amp;TEXT($E$4,"mm")&amp;"   năm "&amp;TEXT($E$4,"yyyy")</f>
        <v>Long An, ngày  31   tháng   08   năm 2016</v>
      </c>
      <c r="T21" s="64"/>
      <c r="U21" s="120"/>
      <c r="V21" s="29"/>
      <c r="W21" s="29"/>
      <c r="X21" s="29"/>
      <c r="Y21" s="29"/>
      <c r="Z21" s="29"/>
    </row>
    <row r="22" spans="1:31" s="28" customFormat="1" ht="12.75">
      <c r="A22" s="24"/>
      <c r="B22" s="24"/>
      <c r="C22" s="24" t="s">
        <v>53</v>
      </c>
      <c r="D22" s="121"/>
      <c r="E22" s="65"/>
      <c r="F22" s="120"/>
      <c r="G22" s="65"/>
      <c r="H22" s="65"/>
      <c r="I22" s="65"/>
      <c r="J22" s="122"/>
      <c r="K22" s="29"/>
      <c r="L22" s="24"/>
      <c r="M22" s="131"/>
      <c r="N22" s="20"/>
      <c r="O22" s="20"/>
      <c r="P22" s="20"/>
      <c r="Q22" s="20"/>
      <c r="S22" s="120" t="s">
        <v>21</v>
      </c>
      <c r="T22" s="120"/>
      <c r="U22" s="120"/>
      <c r="V22" s="29"/>
      <c r="W22" s="29"/>
      <c r="X22" s="29"/>
      <c r="Y22" s="29"/>
      <c r="Z22" s="29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0"/>
    </row>
    <row r="24" spans="1:31" ht="12">
      <c r="C24" s="15"/>
      <c r="L24" s="15"/>
      <c r="T24" s="15"/>
      <c r="U24" s="90"/>
    </row>
    <row r="25" spans="1:31" ht="12">
      <c r="U25" s="90"/>
    </row>
    <row r="26" spans="1:31" ht="12">
      <c r="U26" s="90"/>
    </row>
    <row r="27" spans="1:31" ht="12">
      <c r="U27" s="90"/>
    </row>
    <row r="28" spans="1:31" ht="12">
      <c r="U28" s="90"/>
    </row>
    <row r="29" spans="1:31" ht="12">
      <c r="U29" s="90"/>
    </row>
    <row r="30" spans="1:31" ht="12">
      <c r="U30" s="90"/>
    </row>
  </sheetData>
  <protectedRanges>
    <protectedRange password="CC78" sqref="V18:IK19 C5:D7 B22:C22 V5:W9 A18:A23 B18:B21 B23 V13:W13 Q5:T7 E5:I6 D19 N5:P6 L5 L22 J6:K7 L7 A25:T58 U31:U58 N18:S18 V25:IK58 J18:L18 A59:IK65326 AF13:IK13 V12:IK12 D12 Q10:S11 W10:W11 AF5:IK11 A10:B12" name="Range1"/>
    <protectedRange password="CC78" sqref="F7:H7" name="Range1_4"/>
    <protectedRange password="CC78" sqref="V22:IK23 S22:T23 N22:Q23 E22:I23" name="Range1_1_1"/>
    <protectedRange password="CC78" sqref="U1 W1:IK3 V4:IK4 B4:T4 R2:S3 B1:Q3 U18:U30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7 Q14:S17 W14:W17 A14:B17" name="Range1_5"/>
    <protectedRange password="CC78" sqref="X14:AE17 U14:U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2" customWidth="1"/>
    <col min="5" max="5" width="7.140625" style="2" customWidth="1"/>
    <col min="6" max="33" width="3.42578125" style="107" customWidth="1"/>
    <col min="34" max="35" width="3.42578125" style="108" customWidth="1"/>
    <col min="36" max="36" width="3.42578125" style="108" hidden="1" customWidth="1"/>
    <col min="37" max="38" width="4.42578125" style="2" customWidth="1"/>
    <col min="39" max="39" width="5.5703125" style="86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3"/>
      <c r="B1" s="40"/>
      <c r="C1" s="40"/>
      <c r="D1" s="44"/>
      <c r="E1" s="40"/>
      <c r="F1" s="44"/>
      <c r="G1" s="44"/>
      <c r="H1" s="44"/>
      <c r="I1" s="44"/>
      <c r="J1" s="44"/>
      <c r="K1" s="103"/>
      <c r="L1" s="103"/>
      <c r="M1" s="103"/>
      <c r="N1" s="103"/>
      <c r="O1" s="103"/>
      <c r="P1" s="103"/>
      <c r="Q1" s="103"/>
      <c r="R1" s="103"/>
      <c r="S1" s="42" t="str">
        <f>CONCATENATE("BẢNG CHẤM CÔNG THÁNG ",TEXT($E$4,"mm")," NĂM ",TEXT($E$4,"yyyy"))</f>
        <v>BẢNG CHẤM CÔNG THÁNG 09 NĂM 2016</v>
      </c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41"/>
      <c r="AL1" s="41"/>
      <c r="AM1" s="241" t="s">
        <v>78</v>
      </c>
      <c r="AN1" s="242"/>
      <c r="AO1" s="242"/>
      <c r="AP1" s="242"/>
      <c r="AQ1" s="242"/>
      <c r="AR1" s="242"/>
      <c r="AS1" s="243"/>
      <c r="AT1" s="43"/>
    </row>
    <row r="2" spans="1:91" ht="20.25">
      <c r="A2" s="123"/>
      <c r="B2" s="44"/>
      <c r="C2" s="44"/>
      <c r="D2" s="44"/>
      <c r="E2" s="44"/>
      <c r="F2" s="44"/>
      <c r="G2" s="44"/>
      <c r="H2" s="44"/>
      <c r="I2" s="44"/>
      <c r="J2" s="44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41"/>
      <c r="AL2" s="41"/>
      <c r="AM2" s="82"/>
      <c r="AN2" s="45"/>
      <c r="AO2" s="45"/>
      <c r="AP2" s="45"/>
      <c r="AQ2" s="45"/>
      <c r="AR2" s="45"/>
      <c r="AS2" s="81"/>
      <c r="AT2" s="81"/>
    </row>
    <row r="3" spans="1:91" ht="21" customHeight="1">
      <c r="A3" s="123"/>
      <c r="B3" s="46"/>
      <c r="C3" s="46"/>
      <c r="D3" s="47"/>
      <c r="E3" s="47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41"/>
      <c r="AL3" s="41"/>
      <c r="AM3" s="82"/>
      <c r="AN3" s="43"/>
      <c r="AO3" s="43"/>
      <c r="AP3" s="43"/>
      <c r="AQ3" s="43"/>
      <c r="AR3" s="43"/>
      <c r="AS3" s="48"/>
      <c r="AT3" s="48"/>
    </row>
    <row r="4" spans="1:91" ht="14.25" customHeight="1">
      <c r="A4" s="49"/>
      <c r="B4" s="49"/>
      <c r="C4" s="139"/>
      <c r="D4" s="138"/>
      <c r="E4" s="50">
        <v>42614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  <c r="AI4" s="52"/>
      <c r="AJ4" s="52"/>
      <c r="AK4" s="49"/>
      <c r="AL4" s="49"/>
      <c r="AM4" s="83"/>
      <c r="AN4" s="49"/>
      <c r="AO4" s="49"/>
      <c r="AP4" s="49"/>
      <c r="AQ4" s="49"/>
      <c r="AR4" s="49"/>
      <c r="AS4" s="49"/>
      <c r="AT4" s="87"/>
    </row>
    <row r="5" spans="1:91" s="53" customFormat="1" ht="18.75" customHeight="1">
      <c r="A5" s="244" t="s">
        <v>26</v>
      </c>
      <c r="B5" s="244" t="s">
        <v>3</v>
      </c>
      <c r="C5" s="244" t="s">
        <v>1</v>
      </c>
      <c r="D5" s="246" t="s">
        <v>27</v>
      </c>
      <c r="E5" s="244" t="s">
        <v>28</v>
      </c>
      <c r="F5" s="102">
        <f>+E4</f>
        <v>42614</v>
      </c>
      <c r="G5" s="102">
        <f t="shared" ref="G5:AJ5" si="0">F5+1</f>
        <v>42615</v>
      </c>
      <c r="H5" s="102">
        <f t="shared" si="0"/>
        <v>42616</v>
      </c>
      <c r="I5" s="102">
        <f t="shared" si="0"/>
        <v>42617</v>
      </c>
      <c r="J5" s="102">
        <f t="shared" si="0"/>
        <v>42618</v>
      </c>
      <c r="K5" s="102">
        <f t="shared" si="0"/>
        <v>42619</v>
      </c>
      <c r="L5" s="102">
        <f t="shared" si="0"/>
        <v>42620</v>
      </c>
      <c r="M5" s="102">
        <f t="shared" si="0"/>
        <v>42621</v>
      </c>
      <c r="N5" s="102">
        <f t="shared" si="0"/>
        <v>42622</v>
      </c>
      <c r="O5" s="102">
        <f t="shared" si="0"/>
        <v>42623</v>
      </c>
      <c r="P5" s="102">
        <f t="shared" si="0"/>
        <v>42624</v>
      </c>
      <c r="Q5" s="102">
        <f t="shared" si="0"/>
        <v>42625</v>
      </c>
      <c r="R5" s="102">
        <f t="shared" si="0"/>
        <v>42626</v>
      </c>
      <c r="S5" s="102">
        <f t="shared" si="0"/>
        <v>42627</v>
      </c>
      <c r="T5" s="102">
        <f t="shared" si="0"/>
        <v>42628</v>
      </c>
      <c r="U5" s="102">
        <f t="shared" si="0"/>
        <v>42629</v>
      </c>
      <c r="V5" s="102">
        <f t="shared" si="0"/>
        <v>42630</v>
      </c>
      <c r="W5" s="102">
        <f t="shared" si="0"/>
        <v>42631</v>
      </c>
      <c r="X5" s="102">
        <f t="shared" si="0"/>
        <v>42632</v>
      </c>
      <c r="Y5" s="102">
        <f t="shared" si="0"/>
        <v>42633</v>
      </c>
      <c r="Z5" s="102">
        <f t="shared" si="0"/>
        <v>42634</v>
      </c>
      <c r="AA5" s="102">
        <f t="shared" si="0"/>
        <v>42635</v>
      </c>
      <c r="AB5" s="102">
        <f t="shared" si="0"/>
        <v>42636</v>
      </c>
      <c r="AC5" s="102">
        <f t="shared" si="0"/>
        <v>42637</v>
      </c>
      <c r="AD5" s="102">
        <f t="shared" si="0"/>
        <v>42638</v>
      </c>
      <c r="AE5" s="102">
        <f t="shared" si="0"/>
        <v>42639</v>
      </c>
      <c r="AF5" s="102">
        <f t="shared" si="0"/>
        <v>42640</v>
      </c>
      <c r="AG5" s="102">
        <f t="shared" si="0"/>
        <v>42641</v>
      </c>
      <c r="AH5" s="102">
        <f>AG5+1</f>
        <v>42642</v>
      </c>
      <c r="AI5" s="102">
        <f t="shared" si="0"/>
        <v>42643</v>
      </c>
      <c r="AJ5" s="102">
        <f t="shared" si="0"/>
        <v>42644</v>
      </c>
      <c r="AK5" s="247" t="s">
        <v>15</v>
      </c>
      <c r="AL5" s="248"/>
      <c r="AM5" s="249"/>
      <c r="AN5" s="250" t="s">
        <v>39</v>
      </c>
      <c r="AO5" s="250" t="s">
        <v>35</v>
      </c>
      <c r="AP5" s="250" t="s">
        <v>36</v>
      </c>
      <c r="AQ5" s="250" t="s">
        <v>37</v>
      </c>
      <c r="AR5" s="250" t="s">
        <v>38</v>
      </c>
      <c r="AS5" s="246" t="s">
        <v>0</v>
      </c>
      <c r="AT5" s="2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3" customFormat="1" ht="39.75" customHeight="1">
      <c r="A6" s="245"/>
      <c r="B6" s="245"/>
      <c r="C6" s="245"/>
      <c r="D6" s="245"/>
      <c r="E6" s="245"/>
      <c r="F6" s="155" t="str">
        <f>CHOOSE(WEEKDAY(F5),"C.Nhật","T.Hai","T.Ba","T.Tư","T.Năm","T.Sáu","T.Bảy")</f>
        <v>T.Năm</v>
      </c>
      <c r="G6" s="155" t="str">
        <f t="shared" ref="G6:AJ6" si="1">CHOOSE(WEEKDAY(G5),"C.Nhật","T.Hai","T.Ba","T.Tư","T.Năm","T.Sáu","T.Bảy")</f>
        <v>T.Sáu</v>
      </c>
      <c r="H6" s="155" t="str">
        <f t="shared" si="1"/>
        <v>T.Bảy</v>
      </c>
      <c r="I6" s="155" t="str">
        <f t="shared" si="1"/>
        <v>C.Nhật</v>
      </c>
      <c r="J6" s="155" t="str">
        <f t="shared" si="1"/>
        <v>T.Hai</v>
      </c>
      <c r="K6" s="155" t="str">
        <f t="shared" si="1"/>
        <v>T.Ba</v>
      </c>
      <c r="L6" s="155" t="str">
        <f t="shared" si="1"/>
        <v>T.Tư</v>
      </c>
      <c r="M6" s="155" t="str">
        <f t="shared" si="1"/>
        <v>T.Năm</v>
      </c>
      <c r="N6" s="155" t="str">
        <f t="shared" si="1"/>
        <v>T.Sáu</v>
      </c>
      <c r="O6" s="155" t="str">
        <f t="shared" si="1"/>
        <v>T.Bảy</v>
      </c>
      <c r="P6" s="155" t="str">
        <f t="shared" si="1"/>
        <v>C.Nhật</v>
      </c>
      <c r="Q6" s="155" t="str">
        <f t="shared" si="1"/>
        <v>T.Hai</v>
      </c>
      <c r="R6" s="155" t="str">
        <f t="shared" si="1"/>
        <v>T.Ba</v>
      </c>
      <c r="S6" s="155" t="str">
        <f t="shared" si="1"/>
        <v>T.Tư</v>
      </c>
      <c r="T6" s="155" t="str">
        <f t="shared" si="1"/>
        <v>T.Năm</v>
      </c>
      <c r="U6" s="155" t="str">
        <f t="shared" si="1"/>
        <v>T.Sáu</v>
      </c>
      <c r="V6" s="155" t="str">
        <f t="shared" si="1"/>
        <v>T.Bảy</v>
      </c>
      <c r="W6" s="155" t="str">
        <f t="shared" si="1"/>
        <v>C.Nhật</v>
      </c>
      <c r="X6" s="155" t="str">
        <f t="shared" si="1"/>
        <v>T.Hai</v>
      </c>
      <c r="Y6" s="155" t="str">
        <f t="shared" si="1"/>
        <v>T.Ba</v>
      </c>
      <c r="Z6" s="155" t="str">
        <f t="shared" si="1"/>
        <v>T.Tư</v>
      </c>
      <c r="AA6" s="155" t="str">
        <f t="shared" si="1"/>
        <v>T.Năm</v>
      </c>
      <c r="AB6" s="155" t="str">
        <f t="shared" si="1"/>
        <v>T.Sáu</v>
      </c>
      <c r="AC6" s="155" t="str">
        <f t="shared" si="1"/>
        <v>T.Bảy</v>
      </c>
      <c r="AD6" s="155" t="str">
        <f t="shared" si="1"/>
        <v>C.Nhật</v>
      </c>
      <c r="AE6" s="155" t="str">
        <f t="shared" si="1"/>
        <v>T.Hai</v>
      </c>
      <c r="AF6" s="155" t="str">
        <f t="shared" si="1"/>
        <v>T.Ba</v>
      </c>
      <c r="AG6" s="155" t="str">
        <f t="shared" si="1"/>
        <v>T.Tư</v>
      </c>
      <c r="AH6" s="155" t="str">
        <f t="shared" si="1"/>
        <v>T.Năm</v>
      </c>
      <c r="AI6" s="155" t="str">
        <f t="shared" si="1"/>
        <v>T.Sáu</v>
      </c>
      <c r="AJ6" s="155" t="str">
        <f t="shared" si="1"/>
        <v>T.Bảy</v>
      </c>
      <c r="AK6" s="156" t="s">
        <v>16</v>
      </c>
      <c r="AL6" s="156" t="s">
        <v>29</v>
      </c>
      <c r="AM6" s="157" t="s">
        <v>17</v>
      </c>
      <c r="AN6" s="251"/>
      <c r="AO6" s="251"/>
      <c r="AP6" s="251"/>
      <c r="AQ6" s="251"/>
      <c r="AR6" s="251"/>
      <c r="AS6" s="245"/>
      <c r="AT6" s="2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3" customFormat="1" ht="12.75" customHeight="1">
      <c r="A7" s="158">
        <v>1</v>
      </c>
      <c r="B7" s="158">
        <v>1</v>
      </c>
      <c r="C7" s="158">
        <v>2</v>
      </c>
      <c r="D7" s="158">
        <v>3</v>
      </c>
      <c r="E7" s="158">
        <v>4</v>
      </c>
      <c r="F7" s="158">
        <v>5</v>
      </c>
      <c r="G7" s="158">
        <v>6</v>
      </c>
      <c r="H7" s="158">
        <v>7</v>
      </c>
      <c r="I7" s="158">
        <v>8</v>
      </c>
      <c r="J7" s="158">
        <v>9</v>
      </c>
      <c r="K7" s="158">
        <v>10</v>
      </c>
      <c r="L7" s="158">
        <v>11</v>
      </c>
      <c r="M7" s="158">
        <v>12</v>
      </c>
      <c r="N7" s="158">
        <v>13</v>
      </c>
      <c r="O7" s="158">
        <v>14</v>
      </c>
      <c r="P7" s="158">
        <v>15</v>
      </c>
      <c r="Q7" s="158">
        <v>16</v>
      </c>
      <c r="R7" s="158">
        <v>17</v>
      </c>
      <c r="S7" s="158">
        <v>18</v>
      </c>
      <c r="T7" s="158">
        <v>19</v>
      </c>
      <c r="U7" s="158">
        <v>20</v>
      </c>
      <c r="V7" s="158">
        <v>21</v>
      </c>
      <c r="W7" s="158">
        <v>22</v>
      </c>
      <c r="X7" s="158">
        <v>23</v>
      </c>
      <c r="Y7" s="158">
        <v>24</v>
      </c>
      <c r="Z7" s="158">
        <v>25</v>
      </c>
      <c r="AA7" s="158">
        <v>26</v>
      </c>
      <c r="AB7" s="158">
        <v>27</v>
      </c>
      <c r="AC7" s="158">
        <v>28</v>
      </c>
      <c r="AD7" s="158">
        <v>29</v>
      </c>
      <c r="AE7" s="158">
        <v>30</v>
      </c>
      <c r="AF7" s="158">
        <v>31</v>
      </c>
      <c r="AG7" s="158">
        <v>32</v>
      </c>
      <c r="AH7" s="158">
        <v>33</v>
      </c>
      <c r="AI7" s="158">
        <v>34</v>
      </c>
      <c r="AJ7" s="158">
        <v>35</v>
      </c>
      <c r="AK7" s="158">
        <v>36</v>
      </c>
      <c r="AL7" s="158">
        <v>37</v>
      </c>
      <c r="AM7" s="158">
        <v>38</v>
      </c>
      <c r="AN7" s="158">
        <v>39</v>
      </c>
      <c r="AO7" s="158">
        <v>40</v>
      </c>
      <c r="AP7" s="158">
        <v>41</v>
      </c>
      <c r="AQ7" s="158">
        <v>42</v>
      </c>
      <c r="AR7" s="158">
        <v>43</v>
      </c>
      <c r="AS7" s="158">
        <v>44</v>
      </c>
      <c r="AT7" s="17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1" customFormat="1" ht="21" customHeight="1">
      <c r="A8" s="159" t="s">
        <v>68</v>
      </c>
      <c r="B8" s="162" t="s">
        <v>79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4"/>
      <c r="AT8" s="160"/>
    </row>
    <row r="9" spans="1:91" s="53" customFormat="1" ht="18" customHeight="1">
      <c r="A9" s="234">
        <v>1</v>
      </c>
      <c r="B9" s="234" t="s">
        <v>74</v>
      </c>
      <c r="C9" s="236" t="str">
        <f>VLOOKUP(B9,DS,2,0)</f>
        <v>Nguyễn Thị Kim Quyên</v>
      </c>
      <c r="D9" s="238" t="str">
        <f>VLOOKUP(B9,DS,3,0)</f>
        <v>Văn Phòng</v>
      </c>
      <c r="E9" s="54" t="s">
        <v>30</v>
      </c>
      <c r="F9" s="127">
        <v>8</v>
      </c>
      <c r="G9" s="127"/>
      <c r="H9" s="127">
        <v>8</v>
      </c>
      <c r="I9" s="127"/>
      <c r="J9" s="127">
        <v>8</v>
      </c>
      <c r="K9" s="127">
        <v>8</v>
      </c>
      <c r="L9" s="127">
        <v>8</v>
      </c>
      <c r="M9" s="127">
        <v>8</v>
      </c>
      <c r="N9" s="127">
        <v>8</v>
      </c>
      <c r="O9" s="127">
        <v>8</v>
      </c>
      <c r="P9" s="127"/>
      <c r="Q9" s="127">
        <v>8</v>
      </c>
      <c r="R9" s="127">
        <v>8</v>
      </c>
      <c r="S9" s="127">
        <v>8</v>
      </c>
      <c r="T9" s="127">
        <v>8</v>
      </c>
      <c r="U9" s="127">
        <v>8</v>
      </c>
      <c r="V9" s="127">
        <v>8</v>
      </c>
      <c r="W9" s="127"/>
      <c r="X9" s="127">
        <v>8</v>
      </c>
      <c r="Y9" s="127">
        <v>8</v>
      </c>
      <c r="Z9" s="127">
        <v>8</v>
      </c>
      <c r="AA9" s="127">
        <v>8</v>
      </c>
      <c r="AB9" s="127">
        <v>8</v>
      </c>
      <c r="AC9" s="127">
        <v>8</v>
      </c>
      <c r="AD9" s="127"/>
      <c r="AE9" s="127">
        <v>8</v>
      </c>
      <c r="AF9" s="127">
        <v>8</v>
      </c>
      <c r="AG9" s="127">
        <v>8</v>
      </c>
      <c r="AH9" s="127">
        <v>8</v>
      </c>
      <c r="AI9" s="127">
        <v>8</v>
      </c>
      <c r="AJ9" s="127"/>
      <c r="AK9" s="228">
        <f>((SUM(F9:AJ9))/8)-(SUMIF($F$6:$AJ$6,"C.Nhật",F9:AJ9)/8)</f>
        <v>25</v>
      </c>
      <c r="AL9" s="228">
        <f>SUM(F10:AJ10)/8*1.5</f>
        <v>0</v>
      </c>
      <c r="AM9" s="230">
        <f>SUMIF($F$6:$AJ$6,"C.Nhật",$F9:$AJ10)/8*2</f>
        <v>0</v>
      </c>
      <c r="AN9" s="224">
        <f>SUM(AK9:AM10)</f>
        <v>25</v>
      </c>
      <c r="AO9" s="232">
        <v>0</v>
      </c>
      <c r="AP9" s="224"/>
      <c r="AQ9" s="224"/>
      <c r="AR9" s="224"/>
      <c r="AS9" s="226"/>
      <c r="AT9" s="17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3" customFormat="1" ht="18" customHeight="1">
      <c r="A10" s="235"/>
      <c r="B10" s="235"/>
      <c r="C10" s="237"/>
      <c r="D10" s="239"/>
      <c r="E10" s="55" t="s">
        <v>29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229"/>
      <c r="AL10" s="229"/>
      <c r="AM10" s="231"/>
      <c r="AN10" s="225"/>
      <c r="AO10" s="233"/>
      <c r="AP10" s="225"/>
      <c r="AQ10" s="225"/>
      <c r="AR10" s="225"/>
      <c r="AS10" s="227"/>
      <c r="AT10" s="17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1" customFormat="1" ht="21" customHeight="1">
      <c r="A11" s="159" t="s">
        <v>69</v>
      </c>
      <c r="B11" s="162" t="s">
        <v>73</v>
      </c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4"/>
      <c r="AT11" s="160"/>
    </row>
    <row r="12" spans="1:91" s="53" customFormat="1" ht="18" customHeight="1">
      <c r="A12" s="234">
        <v>1</v>
      </c>
      <c r="B12" s="234" t="s">
        <v>75</v>
      </c>
      <c r="C12" s="236" t="str">
        <f>VLOOKUP(B12,DS,2,0)</f>
        <v>Lê Văn Hữu</v>
      </c>
      <c r="D12" s="238" t="str">
        <f>VLOOKUP(B12,DS,3,0)</f>
        <v>Công Đoạn 1</v>
      </c>
      <c r="E12" s="54" t="s">
        <v>30</v>
      </c>
      <c r="F12" s="127">
        <v>8</v>
      </c>
      <c r="G12" s="127"/>
      <c r="H12" s="127">
        <v>8</v>
      </c>
      <c r="I12" s="127"/>
      <c r="J12" s="127">
        <v>8</v>
      </c>
      <c r="K12" s="127">
        <v>8</v>
      </c>
      <c r="L12" s="127">
        <v>8</v>
      </c>
      <c r="M12" s="127">
        <v>8</v>
      </c>
      <c r="N12" s="127">
        <v>8</v>
      </c>
      <c r="O12" s="127">
        <v>8</v>
      </c>
      <c r="P12" s="127"/>
      <c r="Q12" s="127">
        <v>8</v>
      </c>
      <c r="R12" s="127">
        <v>8</v>
      </c>
      <c r="S12" s="127">
        <v>8</v>
      </c>
      <c r="T12" s="127">
        <v>8</v>
      </c>
      <c r="U12" s="127">
        <v>8</v>
      </c>
      <c r="V12" s="127">
        <v>8</v>
      </c>
      <c r="W12" s="127"/>
      <c r="X12" s="127">
        <v>8</v>
      </c>
      <c r="Y12" s="127">
        <v>8</v>
      </c>
      <c r="Z12" s="127">
        <v>8</v>
      </c>
      <c r="AA12" s="127">
        <v>8</v>
      </c>
      <c r="AB12" s="127">
        <v>8</v>
      </c>
      <c r="AC12" s="127">
        <v>8</v>
      </c>
      <c r="AD12" s="127"/>
      <c r="AE12" s="127">
        <v>8</v>
      </c>
      <c r="AF12" s="127">
        <v>8</v>
      </c>
      <c r="AG12" s="127">
        <v>8</v>
      </c>
      <c r="AH12" s="127">
        <v>8</v>
      </c>
      <c r="AI12" s="127">
        <v>8</v>
      </c>
      <c r="AJ12" s="127"/>
      <c r="AK12" s="228">
        <f t="shared" ref="AK12" si="2">((SUM(F12:AJ12))/8)-(SUMIF($F$6:$AJ$6,"C.Nhật",F12:AJ12)/8)</f>
        <v>25</v>
      </c>
      <c r="AL12" s="228">
        <f t="shared" ref="AL12" si="3">SUM(F13:AJ13)/8*1.5</f>
        <v>0</v>
      </c>
      <c r="AM12" s="230">
        <f>SUMIF($F$6:$AJ$6,"C.Nhật",$F12:$AJ13)/8*2</f>
        <v>0</v>
      </c>
      <c r="AN12" s="224">
        <f>SUM(AK12:AM13)</f>
        <v>25</v>
      </c>
      <c r="AO12" s="232">
        <v>0</v>
      </c>
      <c r="AP12" s="224"/>
      <c r="AQ12" s="224"/>
      <c r="AR12" s="224"/>
      <c r="AS12" s="226"/>
      <c r="AT12" s="19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3" customFormat="1" ht="18" customHeight="1">
      <c r="A13" s="235"/>
      <c r="B13" s="235"/>
      <c r="C13" s="237"/>
      <c r="D13" s="239"/>
      <c r="E13" s="55" t="s">
        <v>29</v>
      </c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229"/>
      <c r="AL13" s="229"/>
      <c r="AM13" s="231"/>
      <c r="AN13" s="225"/>
      <c r="AO13" s="233"/>
      <c r="AP13" s="225"/>
      <c r="AQ13" s="225"/>
      <c r="AR13" s="225"/>
      <c r="AS13" s="227"/>
      <c r="AT13" s="19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3" customFormat="1" ht="18" customHeight="1">
      <c r="A14" s="234">
        <v>2</v>
      </c>
      <c r="B14" s="234" t="s">
        <v>76</v>
      </c>
      <c r="C14" s="236" t="str">
        <f>VLOOKUP(B14,DS,2,0)</f>
        <v>Phan Thị Sương</v>
      </c>
      <c r="D14" s="238" t="str">
        <f>VLOOKUP(B14,DS,3,0)</f>
        <v>Công Đoạn 1</v>
      </c>
      <c r="E14" s="54" t="s">
        <v>30</v>
      </c>
      <c r="F14" s="127">
        <v>8</v>
      </c>
      <c r="G14" s="127"/>
      <c r="H14" s="127">
        <v>8</v>
      </c>
      <c r="I14" s="127"/>
      <c r="J14" s="127">
        <v>8</v>
      </c>
      <c r="K14" s="127">
        <v>8</v>
      </c>
      <c r="L14" s="127">
        <v>8</v>
      </c>
      <c r="M14" s="127">
        <v>8</v>
      </c>
      <c r="N14" s="127">
        <v>8</v>
      </c>
      <c r="O14" s="127">
        <v>8</v>
      </c>
      <c r="P14" s="127"/>
      <c r="Q14" s="127">
        <v>8</v>
      </c>
      <c r="R14" s="127">
        <v>8</v>
      </c>
      <c r="S14" s="127">
        <v>8</v>
      </c>
      <c r="T14" s="127">
        <v>8</v>
      </c>
      <c r="U14" s="127">
        <v>8</v>
      </c>
      <c r="V14" s="127">
        <v>8</v>
      </c>
      <c r="W14" s="127"/>
      <c r="X14" s="127">
        <v>8</v>
      </c>
      <c r="Y14" s="127">
        <v>8</v>
      </c>
      <c r="Z14" s="127">
        <v>8</v>
      </c>
      <c r="AA14" s="127">
        <v>8</v>
      </c>
      <c r="AB14" s="127">
        <v>8</v>
      </c>
      <c r="AC14" s="127">
        <v>8</v>
      </c>
      <c r="AD14" s="127"/>
      <c r="AE14" s="127">
        <v>8</v>
      </c>
      <c r="AF14" s="127">
        <v>8</v>
      </c>
      <c r="AG14" s="127">
        <v>8</v>
      </c>
      <c r="AH14" s="127">
        <v>8</v>
      </c>
      <c r="AI14" s="127">
        <v>8</v>
      </c>
      <c r="AJ14" s="127"/>
      <c r="AK14" s="228">
        <f t="shared" ref="AK14" si="4">((SUM(F14:AJ14))/8)-(SUMIF($F$6:$AJ$6,"C.Nhật",F14:AJ14)/8)</f>
        <v>25</v>
      </c>
      <c r="AL14" s="228">
        <f t="shared" ref="AL14" si="5">SUM(F15:AJ15)/8*1.5</f>
        <v>0</v>
      </c>
      <c r="AM14" s="230">
        <f>SUMIF($F$6:$AJ$6,"C.Nhật",$F14:$AJ15)/8*2</f>
        <v>0</v>
      </c>
      <c r="AN14" s="224">
        <f t="shared" ref="AN14" si="6">SUM(AK14:AM15)</f>
        <v>25</v>
      </c>
      <c r="AO14" s="232">
        <v>0</v>
      </c>
      <c r="AP14" s="224"/>
      <c r="AQ14" s="224"/>
      <c r="AR14" s="224"/>
      <c r="AS14" s="226"/>
      <c r="AT14" s="1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3" customFormat="1" ht="18" customHeight="1">
      <c r="A15" s="235"/>
      <c r="B15" s="235"/>
      <c r="C15" s="237"/>
      <c r="D15" s="239"/>
      <c r="E15" s="55" t="s">
        <v>29</v>
      </c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229"/>
      <c r="AL15" s="229"/>
      <c r="AM15" s="231"/>
      <c r="AN15" s="225"/>
      <c r="AO15" s="233"/>
      <c r="AP15" s="225"/>
      <c r="AQ15" s="225"/>
      <c r="AR15" s="225"/>
      <c r="AS15" s="227"/>
      <c r="AT15" s="1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3" customFormat="1" ht="18" customHeight="1">
      <c r="A16" s="234">
        <v>3</v>
      </c>
      <c r="B16" s="234" t="s">
        <v>77</v>
      </c>
      <c r="C16" s="236" t="str">
        <f>VLOOKUP(B16,DS,2,0)</f>
        <v>Cao Minh Chí</v>
      </c>
      <c r="D16" s="238" t="str">
        <f>VLOOKUP(B16,DS,3,0)</f>
        <v>Công Đoạn 2</v>
      </c>
      <c r="E16" s="54" t="s">
        <v>30</v>
      </c>
      <c r="F16" s="127">
        <v>8</v>
      </c>
      <c r="G16" s="127"/>
      <c r="H16" s="127">
        <v>8</v>
      </c>
      <c r="I16" s="127"/>
      <c r="J16" s="127">
        <v>8</v>
      </c>
      <c r="K16" s="127">
        <v>8</v>
      </c>
      <c r="L16" s="127">
        <v>8</v>
      </c>
      <c r="M16" s="127">
        <v>8</v>
      </c>
      <c r="N16" s="127">
        <v>8</v>
      </c>
      <c r="O16" s="127">
        <v>8</v>
      </c>
      <c r="P16" s="127"/>
      <c r="Q16" s="127">
        <v>8</v>
      </c>
      <c r="R16" s="127">
        <v>8</v>
      </c>
      <c r="S16" s="127">
        <v>8</v>
      </c>
      <c r="T16" s="127">
        <v>8</v>
      </c>
      <c r="U16" s="127">
        <v>8</v>
      </c>
      <c r="V16" s="127">
        <v>8</v>
      </c>
      <c r="W16" s="127"/>
      <c r="X16" s="127">
        <v>8</v>
      </c>
      <c r="Y16" s="127">
        <v>8</v>
      </c>
      <c r="Z16" s="127">
        <v>8</v>
      </c>
      <c r="AA16" s="127">
        <v>8</v>
      </c>
      <c r="AB16" s="127">
        <v>8</v>
      </c>
      <c r="AC16" s="127">
        <v>8</v>
      </c>
      <c r="AD16" s="127"/>
      <c r="AE16" s="127">
        <v>8</v>
      </c>
      <c r="AF16" s="127">
        <v>8</v>
      </c>
      <c r="AG16" s="127">
        <v>8</v>
      </c>
      <c r="AH16" s="127">
        <v>8</v>
      </c>
      <c r="AI16" s="127">
        <v>8</v>
      </c>
      <c r="AJ16" s="127"/>
      <c r="AK16" s="228">
        <f t="shared" ref="AK16" si="7">((SUM(F16:AJ16))/8)-(SUMIF($F$6:$AJ$6,"C.Nhật",F16:AJ16)/8)</f>
        <v>25</v>
      </c>
      <c r="AL16" s="228">
        <f t="shared" ref="AL16" si="8">SUM(F17:AJ17)/8*1.5</f>
        <v>0</v>
      </c>
      <c r="AM16" s="230">
        <f>SUMIF($F$6:$AJ$6,"C.Nhật",$F16:$AJ17)/8*2</f>
        <v>0</v>
      </c>
      <c r="AN16" s="224">
        <f t="shared" ref="AN16" si="9">SUM(AK16:AM17)</f>
        <v>25</v>
      </c>
      <c r="AO16" s="232">
        <v>0</v>
      </c>
      <c r="AP16" s="224"/>
      <c r="AQ16" s="224"/>
      <c r="AR16" s="224"/>
      <c r="AS16" s="226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3" customFormat="1" ht="18" customHeight="1">
      <c r="A17" s="235"/>
      <c r="B17" s="235"/>
      <c r="C17" s="237"/>
      <c r="D17" s="239"/>
      <c r="E17" s="55" t="s">
        <v>29</v>
      </c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229"/>
      <c r="AL17" s="229"/>
      <c r="AM17" s="231"/>
      <c r="AN17" s="225"/>
      <c r="AO17" s="233"/>
      <c r="AP17" s="225"/>
      <c r="AQ17" s="225"/>
      <c r="AR17" s="225"/>
      <c r="AS17" s="227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3" customFormat="1" ht="18" customHeight="1">
      <c r="A18" s="234">
        <v>4</v>
      </c>
      <c r="B18" s="234" t="s">
        <v>81</v>
      </c>
      <c r="C18" s="236" t="str">
        <f>VLOOKUP(B18,DS,2,0)</f>
        <v>Nguyễn Thị Sự</v>
      </c>
      <c r="D18" s="238" t="str">
        <f>VLOOKUP(B18,DS,3,0)</f>
        <v>Công Đoạn 2</v>
      </c>
      <c r="E18" s="54" t="s">
        <v>30</v>
      </c>
      <c r="F18" s="127">
        <v>8</v>
      </c>
      <c r="G18" s="127"/>
      <c r="H18" s="127">
        <v>8</v>
      </c>
      <c r="I18" s="127"/>
      <c r="J18" s="127">
        <v>8</v>
      </c>
      <c r="K18" s="127">
        <v>8</v>
      </c>
      <c r="L18" s="127">
        <v>8</v>
      </c>
      <c r="M18" s="127">
        <v>8</v>
      </c>
      <c r="N18" s="127">
        <v>8</v>
      </c>
      <c r="O18" s="127">
        <v>8</v>
      </c>
      <c r="P18" s="127"/>
      <c r="Q18" s="127">
        <v>8</v>
      </c>
      <c r="R18" s="127">
        <v>8</v>
      </c>
      <c r="S18" s="127">
        <v>8</v>
      </c>
      <c r="T18" s="127">
        <v>8</v>
      </c>
      <c r="U18" s="127">
        <v>8</v>
      </c>
      <c r="V18" s="127">
        <v>8</v>
      </c>
      <c r="W18" s="127"/>
      <c r="X18" s="127">
        <v>8</v>
      </c>
      <c r="Y18" s="127">
        <v>8</v>
      </c>
      <c r="Z18" s="127">
        <v>8</v>
      </c>
      <c r="AA18" s="127">
        <v>8</v>
      </c>
      <c r="AB18" s="127">
        <v>8</v>
      </c>
      <c r="AC18" s="127">
        <v>8</v>
      </c>
      <c r="AD18" s="127"/>
      <c r="AE18" s="127">
        <v>8</v>
      </c>
      <c r="AF18" s="127">
        <v>8</v>
      </c>
      <c r="AG18" s="127">
        <v>8</v>
      </c>
      <c r="AH18" s="127">
        <v>8</v>
      </c>
      <c r="AI18" s="127">
        <v>8</v>
      </c>
      <c r="AJ18" s="127"/>
      <c r="AK18" s="228">
        <f t="shared" ref="AK18" si="10">((SUM(F18:AJ18))/8)-(SUMIF($F$6:$AJ$6,"C.Nhật",F18:AJ18)/8)</f>
        <v>25</v>
      </c>
      <c r="AL18" s="228">
        <f t="shared" ref="AL18" si="11">SUM(F19:AJ19)/8*1.5</f>
        <v>0</v>
      </c>
      <c r="AM18" s="230">
        <f>SUMIF($F$6:$AJ$6,"C.Nhật",$F18:$AJ19)/8*2</f>
        <v>0</v>
      </c>
      <c r="AN18" s="224">
        <f t="shared" ref="AN18" si="12">SUM(AK18:AM19)</f>
        <v>25</v>
      </c>
      <c r="AO18" s="232">
        <v>0</v>
      </c>
      <c r="AP18" s="224"/>
      <c r="AQ18" s="224"/>
      <c r="AR18" s="224"/>
      <c r="AS18" s="226"/>
      <c r="AT18" s="1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3" customFormat="1" ht="18" customHeight="1">
      <c r="A19" s="235"/>
      <c r="B19" s="235"/>
      <c r="C19" s="237"/>
      <c r="D19" s="239"/>
      <c r="E19" s="55" t="s">
        <v>29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229"/>
      <c r="AL19" s="229"/>
      <c r="AM19" s="231"/>
      <c r="AN19" s="225"/>
      <c r="AO19" s="233"/>
      <c r="AP19" s="225"/>
      <c r="AQ19" s="225"/>
      <c r="AR19" s="225"/>
      <c r="AS19" s="227"/>
      <c r="AT19" s="1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6" customFormat="1" ht="12.75">
      <c r="A20" s="14"/>
      <c r="B20" s="57"/>
      <c r="C20" s="4"/>
      <c r="D20" s="98"/>
      <c r="E20" s="4"/>
      <c r="F20" s="61"/>
      <c r="G20" s="61"/>
      <c r="H20" s="58"/>
      <c r="I20" s="58"/>
      <c r="J20" s="104"/>
      <c r="K20" s="61"/>
      <c r="L20" s="58"/>
      <c r="M20" s="61"/>
      <c r="N20" s="61"/>
      <c r="O20" s="61"/>
      <c r="P20" s="61"/>
      <c r="Q20" s="58"/>
      <c r="R20" s="61"/>
      <c r="S20" s="61"/>
      <c r="T20" s="104"/>
      <c r="U20" s="61"/>
      <c r="V20" s="61"/>
      <c r="W20" s="61"/>
      <c r="X20" s="57"/>
      <c r="Y20" s="61"/>
      <c r="Z20" s="61"/>
      <c r="AA20" s="61"/>
      <c r="AB20" s="61"/>
      <c r="AC20" s="61"/>
      <c r="AD20" s="58"/>
      <c r="AE20" s="61"/>
      <c r="AF20" s="61"/>
      <c r="AG20" s="61"/>
      <c r="AH20" s="61"/>
      <c r="AI20" s="61"/>
      <c r="AJ20" s="61"/>
      <c r="AK20" s="4"/>
      <c r="AL20" s="4"/>
      <c r="AM20" s="84"/>
      <c r="AN20" s="60"/>
      <c r="AO20" s="60"/>
      <c r="AP20" s="60"/>
      <c r="AQ20" s="60"/>
      <c r="AR20" s="60"/>
      <c r="AS20" s="4"/>
      <c r="AT20" s="90"/>
    </row>
    <row r="21" spans="1:90" s="56" customFormat="1" ht="12.75">
      <c r="A21" s="14"/>
      <c r="B21" s="57"/>
      <c r="C21" s="14" t="s">
        <v>14</v>
      </c>
      <c r="D21" s="98"/>
      <c r="E21" s="4"/>
      <c r="F21" s="61"/>
      <c r="G21" s="61"/>
      <c r="H21" s="58"/>
      <c r="I21" s="58"/>
      <c r="J21" s="104"/>
      <c r="K21" s="61"/>
      <c r="L21" s="58"/>
      <c r="M21" s="61"/>
      <c r="N21" s="61"/>
      <c r="O21" s="61"/>
      <c r="P21" s="61"/>
      <c r="Q21" s="58"/>
      <c r="R21" s="61"/>
      <c r="S21" s="61"/>
      <c r="T21" s="104"/>
      <c r="U21" s="61"/>
      <c r="V21" s="61"/>
      <c r="W21" s="61"/>
      <c r="X21" s="57"/>
      <c r="Y21" s="61"/>
      <c r="Z21" s="61"/>
      <c r="AA21" s="61"/>
      <c r="AB21" s="61"/>
      <c r="AC21" s="61"/>
      <c r="AD21" s="58"/>
      <c r="AE21" s="61"/>
      <c r="AF21" s="61"/>
      <c r="AG21" s="61"/>
      <c r="AH21" s="61"/>
      <c r="AI21" s="61"/>
      <c r="AJ21" s="61"/>
      <c r="AK21" s="4"/>
      <c r="AL21" s="4"/>
      <c r="AM21" s="84"/>
      <c r="AN21" s="60"/>
      <c r="AO21" s="60"/>
      <c r="AP21" s="60"/>
      <c r="AQ21" s="60"/>
      <c r="AR21" s="60"/>
      <c r="AS21" s="4"/>
      <c r="AT21" s="90"/>
    </row>
    <row r="22" spans="1:90" s="56" customFormat="1" ht="12.75">
      <c r="A22" s="12"/>
      <c r="B22" s="12"/>
      <c r="C22" s="4"/>
      <c r="D22" s="98"/>
      <c r="E22" s="4"/>
      <c r="F22" s="61"/>
      <c r="G22" s="61"/>
      <c r="H22" s="105"/>
      <c r="I22" s="105"/>
      <c r="J22" s="105"/>
      <c r="K22" s="61"/>
      <c r="L22" s="105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105"/>
      <c r="AE22" s="61"/>
      <c r="AF22" s="61"/>
      <c r="AG22" s="61"/>
      <c r="AH22" s="61"/>
      <c r="AI22" s="61"/>
      <c r="AJ22" s="61"/>
      <c r="AK22" s="4"/>
      <c r="AL22" s="4"/>
      <c r="AM22" s="84"/>
      <c r="AN22" s="62"/>
      <c r="AO22" s="62"/>
      <c r="AP22" s="62"/>
      <c r="AQ22" s="62"/>
      <c r="AR22" s="62"/>
      <c r="AS22" s="4"/>
      <c r="AT22" s="90"/>
    </row>
    <row r="23" spans="1:90" s="59" customFormat="1" ht="15" customHeight="1">
      <c r="A23" s="12"/>
      <c r="B23" s="12"/>
      <c r="C23" s="4"/>
      <c r="D23" s="98"/>
      <c r="E23" s="4"/>
      <c r="F23" s="61"/>
      <c r="G23" s="61"/>
      <c r="H23" s="105"/>
      <c r="I23" s="105"/>
      <c r="J23" s="105"/>
      <c r="K23" s="61"/>
      <c r="L23" s="105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105"/>
      <c r="AE23" s="61"/>
      <c r="AF23" s="61"/>
      <c r="AG23" s="61"/>
      <c r="AH23" s="61"/>
      <c r="AI23" s="61"/>
      <c r="AJ23" s="61"/>
      <c r="AK23" s="4"/>
      <c r="AL23" s="4"/>
      <c r="AM23" s="84"/>
      <c r="AN23" s="62"/>
      <c r="AO23" s="62"/>
      <c r="AP23" s="62"/>
      <c r="AQ23" s="62"/>
      <c r="AR23" s="62"/>
      <c r="AS23" s="4"/>
      <c r="AT23" s="4"/>
    </row>
    <row r="24" spans="1:90" s="59" customFormat="1" ht="11.25">
      <c r="A24" s="12"/>
      <c r="B24" s="12"/>
      <c r="C24" s="4"/>
      <c r="D24" s="98"/>
      <c r="E24" s="4"/>
      <c r="F24" s="61"/>
      <c r="G24" s="61"/>
      <c r="H24" s="105"/>
      <c r="I24" s="105"/>
      <c r="J24" s="105"/>
      <c r="K24" s="61"/>
      <c r="L24" s="105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105"/>
      <c r="AE24" s="61"/>
      <c r="AF24" s="61"/>
      <c r="AG24" s="61"/>
      <c r="AH24" s="61"/>
      <c r="AI24" s="61"/>
      <c r="AJ24" s="61"/>
      <c r="AK24" s="4"/>
      <c r="AL24" s="4"/>
      <c r="AM24" s="84"/>
      <c r="AN24" s="62"/>
      <c r="AO24" s="62"/>
      <c r="AP24" s="62"/>
      <c r="AQ24" s="62"/>
      <c r="AR24" s="62"/>
      <c r="AS24" s="4"/>
      <c r="AT24" s="4"/>
    </row>
    <row r="25" spans="1:90" s="59" customFormat="1" ht="11.25">
      <c r="A25" s="12"/>
      <c r="B25" s="12"/>
      <c r="C25" s="4"/>
      <c r="D25" s="98"/>
      <c r="E25" s="4"/>
      <c r="F25" s="61"/>
      <c r="G25" s="61"/>
      <c r="H25" s="105"/>
      <c r="I25" s="105"/>
      <c r="J25" s="105"/>
      <c r="K25" s="61"/>
      <c r="L25" s="105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105"/>
      <c r="AE25" s="61"/>
      <c r="AF25" s="61"/>
      <c r="AG25" s="61"/>
      <c r="AH25" s="61"/>
      <c r="AI25" s="61"/>
      <c r="AJ25" s="61"/>
      <c r="AK25" s="4"/>
      <c r="AL25" s="4"/>
      <c r="AM25" s="84"/>
      <c r="AN25" s="62"/>
      <c r="AO25" s="62"/>
      <c r="AP25" s="62"/>
      <c r="AQ25" s="62"/>
      <c r="AR25" s="62"/>
      <c r="AS25" s="4"/>
      <c r="AT25" s="4"/>
    </row>
    <row r="26" spans="1:90" s="59" customFormat="1" ht="11.25">
      <c r="A26" s="10"/>
      <c r="B26" s="10"/>
      <c r="C26" s="14"/>
      <c r="D26" s="99"/>
      <c r="E26" s="63"/>
      <c r="F26" s="104"/>
      <c r="G26" s="106"/>
      <c r="H26" s="58"/>
      <c r="I26" s="58"/>
      <c r="J26" s="58"/>
      <c r="K26" s="106"/>
      <c r="L26" s="58"/>
      <c r="M26" s="106"/>
      <c r="N26" s="106"/>
      <c r="O26" s="106"/>
      <c r="P26" s="106"/>
      <c r="Q26" s="58"/>
      <c r="R26" s="104"/>
      <c r="S26" s="106"/>
      <c r="T26" s="106"/>
      <c r="U26" s="58"/>
      <c r="V26" s="106"/>
      <c r="W26" s="106"/>
      <c r="X26" s="58"/>
      <c r="Y26" s="106"/>
      <c r="Z26" s="106"/>
      <c r="AA26" s="106"/>
      <c r="AB26" s="106"/>
      <c r="AC26" s="106"/>
      <c r="AD26" s="58"/>
      <c r="AE26" s="106"/>
      <c r="AF26" s="106"/>
      <c r="AG26" s="106"/>
      <c r="AH26" s="106"/>
      <c r="AI26" s="106"/>
      <c r="AJ26" s="106"/>
      <c r="AK26" s="63"/>
      <c r="AM26" s="85"/>
      <c r="AN26" s="10"/>
      <c r="AO26" s="10"/>
      <c r="AP26" s="10"/>
      <c r="AQ26" s="10"/>
      <c r="AR26" s="10"/>
      <c r="AS26" s="14"/>
      <c r="AT26" s="4"/>
    </row>
    <row r="27" spans="1:90" s="59" customFormat="1" ht="12.75">
      <c r="A27" s="2"/>
      <c r="B27" s="2" t="s">
        <v>0</v>
      </c>
      <c r="C27" s="2"/>
      <c r="D27" s="172"/>
      <c r="E27" s="2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8"/>
      <c r="AI27" s="108"/>
      <c r="AJ27" s="108"/>
      <c r="AK27" s="2"/>
      <c r="AL27" s="2"/>
      <c r="AM27" s="86"/>
      <c r="AN27" s="2"/>
      <c r="AO27" s="2"/>
      <c r="AP27" s="2"/>
      <c r="AQ27" s="2"/>
      <c r="AR27" s="2"/>
      <c r="AS27" s="2"/>
      <c r="AT27" s="4"/>
    </row>
    <row r="28" spans="1:90" s="59" customFormat="1" ht="12.75">
      <c r="A28" s="2"/>
      <c r="B28" s="2"/>
      <c r="C28" s="2" t="s">
        <v>40</v>
      </c>
      <c r="D28" s="172"/>
      <c r="E28" s="2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8"/>
      <c r="AI28" s="108"/>
      <c r="AJ28" s="108"/>
      <c r="AK28" s="2"/>
      <c r="AL28" s="2"/>
      <c r="AM28" s="86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41</v>
      </c>
    </row>
    <row r="30" spans="1:90" ht="15" customHeight="1">
      <c r="C30" s="2" t="s">
        <v>42</v>
      </c>
    </row>
    <row r="31" spans="1:90" ht="15" customHeight="1">
      <c r="C31" s="2" t="s">
        <v>43</v>
      </c>
    </row>
    <row r="32" spans="1:90" ht="15" customHeight="1">
      <c r="C32" s="2" t="s">
        <v>44</v>
      </c>
    </row>
    <row r="33" spans="3:3" ht="15" customHeight="1">
      <c r="C33" s="2" t="s">
        <v>45</v>
      </c>
    </row>
    <row r="34" spans="3:3" ht="15" customHeight="1">
      <c r="C34" s="2" t="s">
        <v>46</v>
      </c>
    </row>
    <row r="35" spans="3:3" ht="15" customHeight="1">
      <c r="C35" s="2" t="s">
        <v>47</v>
      </c>
    </row>
    <row r="36" spans="3:3" ht="15" customHeight="1">
      <c r="C36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N18:AN19"/>
    <mergeCell ref="AO18:AO19"/>
    <mergeCell ref="AK14:AK15"/>
    <mergeCell ref="A14:A15"/>
    <mergeCell ref="B14:B15"/>
    <mergeCell ref="A16:A17"/>
    <mergeCell ref="B16:B17"/>
    <mergeCell ref="AN16:AN17"/>
    <mergeCell ref="A18:A19"/>
    <mergeCell ref="B18:B19"/>
    <mergeCell ref="C18:C19"/>
    <mergeCell ref="D18:D19"/>
    <mergeCell ref="AK18:AK19"/>
    <mergeCell ref="AM1:AS1"/>
    <mergeCell ref="AK5:AM5"/>
    <mergeCell ref="AN5:AN6"/>
    <mergeCell ref="AO5:AO6"/>
    <mergeCell ref="AP5:AP6"/>
    <mergeCell ref="AQ5:AQ6"/>
    <mergeCell ref="AR5:AR6"/>
    <mergeCell ref="AS5:AS6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C5:C6"/>
    <mergeCell ref="D5:D6"/>
    <mergeCell ref="E5:E6"/>
    <mergeCell ref="AL18:AL19"/>
    <mergeCell ref="AM18:AM19"/>
    <mergeCell ref="C14:C15"/>
    <mergeCell ref="D14:D15"/>
    <mergeCell ref="AL14:AL15"/>
    <mergeCell ref="AM14:AM15"/>
    <mergeCell ref="C16:C17"/>
    <mergeCell ref="D16:D17"/>
    <mergeCell ref="AK16:AK17"/>
    <mergeCell ref="AL16:AL17"/>
    <mergeCell ref="AM16:AM17"/>
    <mergeCell ref="AL12:AL13"/>
    <mergeCell ref="AM12:AM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  <mergeCell ref="AQ18:AQ19"/>
    <mergeCell ref="AR18:AR19"/>
    <mergeCell ref="AS18:AS19"/>
    <mergeCell ref="AP12:AP13"/>
    <mergeCell ref="AQ12:AQ13"/>
    <mergeCell ref="AP18:AP19"/>
    <mergeCell ref="AO16:AO17"/>
    <mergeCell ref="AP16:AP17"/>
    <mergeCell ref="AQ16:AQ17"/>
    <mergeCell ref="AR16:AR17"/>
    <mergeCell ref="AS16:AS17"/>
  </mergeCells>
  <conditionalFormatting sqref="F5:AJ6 F9:AJ10 F12:AI15 F18:AI19">
    <cfRule type="expression" dxfId="45" priority="65" stopIfTrue="1">
      <formula>IF(WEEKDAY(F$5)=1,TRUE,FALSE)</formula>
    </cfRule>
  </conditionalFormatting>
  <conditionalFormatting sqref="F9:AJ10">
    <cfRule type="expression" dxfId="44" priority="64" stopIfTrue="1">
      <formula>IF(WEEKDAY(F$5)=1,TRUE,FALSE)</formula>
    </cfRule>
  </conditionalFormatting>
  <conditionalFormatting sqref="AJ12:AJ13">
    <cfRule type="expression" dxfId="43" priority="51" stopIfTrue="1">
      <formula>IF(WEEKDAY(AJ$5)=1,TRUE,FALSE)</formula>
    </cfRule>
  </conditionalFormatting>
  <conditionalFormatting sqref="AJ12:AJ13">
    <cfRule type="expression" dxfId="42" priority="50" stopIfTrue="1">
      <formula>IF(WEEKDAY(AJ$5)=1,TRUE,FALSE)</formula>
    </cfRule>
  </conditionalFormatting>
  <conditionalFormatting sqref="AJ12:AJ13">
    <cfRule type="expression" dxfId="41" priority="49" stopIfTrue="1">
      <formula>IF(WEEKDAY(AJ$5)=1,TRUE,FALSE)</formula>
    </cfRule>
  </conditionalFormatting>
  <conditionalFormatting sqref="AJ12:AJ13">
    <cfRule type="expression" dxfId="40" priority="48" stopIfTrue="1">
      <formula>IF(WEEKDAY(AJ$5)=1,TRUE,FALSE)</formula>
    </cfRule>
  </conditionalFormatting>
  <conditionalFormatting sqref="AJ12:AJ13">
    <cfRule type="expression" dxfId="39" priority="47" stopIfTrue="1">
      <formula>IF(WEEKDAY(AJ$5)=1,TRUE,FALSE)</formula>
    </cfRule>
  </conditionalFormatting>
  <conditionalFormatting sqref="AJ12:AJ13">
    <cfRule type="expression" dxfId="38" priority="46" stopIfTrue="1">
      <formula>IF(WEEKDAY(AJ$5)=1,TRUE,FALSE)</formula>
    </cfRule>
  </conditionalFormatting>
  <conditionalFormatting sqref="AJ12:AJ13">
    <cfRule type="expression" dxfId="37" priority="45" stopIfTrue="1">
      <formula>IF(WEEKDAY(AJ$5)=1,TRUE,FALSE)</formula>
    </cfRule>
  </conditionalFormatting>
  <conditionalFormatting sqref="AJ18:AJ19">
    <cfRule type="expression" dxfId="36" priority="28" stopIfTrue="1">
      <formula>IF(WEEKDAY(AJ$5)=1,TRUE,FALSE)</formula>
    </cfRule>
  </conditionalFormatting>
  <conditionalFormatting sqref="AJ18:AJ19">
    <cfRule type="expression" dxfId="35" priority="27" stopIfTrue="1">
      <formula>IF(WEEKDAY(AJ$5)=1,TRUE,FALSE)</formula>
    </cfRule>
  </conditionalFormatting>
  <conditionalFormatting sqref="AJ18:AJ19">
    <cfRule type="expression" dxfId="34" priority="26" stopIfTrue="1">
      <formula>IF(WEEKDAY(AJ$5)=1,TRUE,FALSE)</formula>
    </cfRule>
  </conditionalFormatting>
  <conditionalFormatting sqref="AJ18:AJ19">
    <cfRule type="expression" dxfId="33" priority="25" stopIfTrue="1">
      <formula>IF(WEEKDAY(AJ$5)=1,TRUE,FALSE)</formula>
    </cfRule>
  </conditionalFormatting>
  <conditionalFormatting sqref="AJ18:AJ19">
    <cfRule type="expression" dxfId="32" priority="24" stopIfTrue="1">
      <formula>IF(WEEKDAY(AJ$5)=1,TRUE,FALSE)</formula>
    </cfRule>
  </conditionalFormatting>
  <conditionalFormatting sqref="AJ18:AJ19">
    <cfRule type="expression" dxfId="31" priority="23" stopIfTrue="1">
      <formula>IF(WEEKDAY(AJ$5)=1,TRUE,FALSE)</formula>
    </cfRule>
  </conditionalFormatting>
  <conditionalFormatting sqref="AJ18:AJ19">
    <cfRule type="expression" dxfId="30" priority="22" stopIfTrue="1">
      <formula>IF(WEEKDAY(AJ$5)=1,TRUE,FALSE)</formula>
    </cfRule>
  </conditionalFormatting>
  <conditionalFormatting sqref="AJ14:AJ15">
    <cfRule type="expression" dxfId="29" priority="19" stopIfTrue="1">
      <formula>IF(WEEKDAY(AJ$5)=1,TRUE,FALSE)</formula>
    </cfRule>
  </conditionalFormatting>
  <conditionalFormatting sqref="AJ14:AJ15">
    <cfRule type="expression" dxfId="28" priority="18" stopIfTrue="1">
      <formula>IF(WEEKDAY(AJ$5)=1,TRUE,FALSE)</formula>
    </cfRule>
  </conditionalFormatting>
  <conditionalFormatting sqref="AJ14:AJ15">
    <cfRule type="expression" dxfId="27" priority="17" stopIfTrue="1">
      <formula>IF(WEEKDAY(AJ$5)=1,TRUE,FALSE)</formula>
    </cfRule>
  </conditionalFormatting>
  <conditionalFormatting sqref="AJ14:AJ15">
    <cfRule type="expression" dxfId="26" priority="16" stopIfTrue="1">
      <formula>IF(WEEKDAY(AJ$5)=1,TRUE,FALSE)</formula>
    </cfRule>
  </conditionalFormatting>
  <conditionalFormatting sqref="AJ14:AJ15">
    <cfRule type="expression" dxfId="25" priority="15" stopIfTrue="1">
      <formula>IF(WEEKDAY(AJ$5)=1,TRUE,FALSE)</formula>
    </cfRule>
  </conditionalFormatting>
  <conditionalFormatting sqref="AJ14:AJ15">
    <cfRule type="expression" dxfId="24" priority="14" stopIfTrue="1">
      <formula>IF(WEEKDAY(AJ$5)=1,TRUE,FALSE)</formula>
    </cfRule>
  </conditionalFormatting>
  <conditionalFormatting sqref="AJ14:AJ15">
    <cfRule type="expression" dxfId="23" priority="13" stopIfTrue="1">
      <formula>IF(WEEKDAY(AJ$5)=1,TRUE,FALSE)</formula>
    </cfRule>
  </conditionalFormatting>
  <conditionalFormatting sqref="F16:AI17">
    <cfRule type="expression" dxfId="22" priority="8" stopIfTrue="1">
      <formula>IF(WEEKDAY(F$5)=1,TRUE,FALSE)</formula>
    </cfRule>
  </conditionalFormatting>
  <conditionalFormatting sqref="AJ16:AJ17">
    <cfRule type="expression" dxfId="21" priority="7" stopIfTrue="1">
      <formula>IF(WEEKDAY(AJ$5)=1,TRUE,FALSE)</formula>
    </cfRule>
  </conditionalFormatting>
  <conditionalFormatting sqref="AJ16:AJ17">
    <cfRule type="expression" dxfId="20" priority="6" stopIfTrue="1">
      <formula>IF(WEEKDAY(AJ$5)=1,TRUE,FALSE)</formula>
    </cfRule>
  </conditionalFormatting>
  <conditionalFormatting sqref="AJ16:AJ17">
    <cfRule type="expression" dxfId="19" priority="5" stopIfTrue="1">
      <formula>IF(WEEKDAY(AJ$5)=1,TRUE,FALSE)</formula>
    </cfRule>
  </conditionalFormatting>
  <conditionalFormatting sqref="AJ16:AJ17">
    <cfRule type="expression" dxfId="18" priority="4" stopIfTrue="1">
      <formula>IF(WEEKDAY(AJ$5)=1,TRUE,FALSE)</formula>
    </cfRule>
  </conditionalFormatting>
  <conditionalFormatting sqref="AJ16:AJ17">
    <cfRule type="expression" dxfId="17" priority="3" stopIfTrue="1">
      <formula>IF(WEEKDAY(AJ$5)=1,TRUE,FALSE)</formula>
    </cfRule>
  </conditionalFormatting>
  <conditionalFormatting sqref="AJ16:AJ17">
    <cfRule type="expression" dxfId="16" priority="2" stopIfTrue="1">
      <formula>IF(WEEKDAY(AJ$5)=1,TRUE,FALSE)</formula>
    </cfRule>
  </conditionalFormatting>
  <conditionalFormatting sqref="AJ16:AJ17">
    <cfRule type="expression" dxfId="1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G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5" sqref="A15:B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7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3"/>
      <c r="B1" s="176"/>
      <c r="C1" s="176"/>
      <c r="D1" s="258" t="str">
        <f>"BẢNG THANH TOÁN LƯƠNG THÁNG"&amp;" "&amp;TEXT($E$4,"mm")&amp;" / "&amp;TEXT($E$4,"yyyy")</f>
        <v>BẢNG THANH TOÁN LƯƠNG THÁNG 09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78</v>
      </c>
      <c r="S1" s="261"/>
      <c r="T1" s="262"/>
      <c r="U1" s="114" t="s">
        <v>51</v>
      </c>
      <c r="V1" s="96" t="s">
        <v>33</v>
      </c>
      <c r="W1" s="69"/>
      <c r="X1" s="69"/>
      <c r="Y1" s="5"/>
      <c r="Z1" s="5"/>
    </row>
    <row r="2" spans="1:31" s="4" customFormat="1" ht="15" customHeight="1">
      <c r="A2" s="123"/>
      <c r="B2" s="176"/>
      <c r="C2" s="176"/>
      <c r="D2" s="176"/>
      <c r="E2" s="67"/>
      <c r="F2" s="176"/>
      <c r="G2" s="176"/>
      <c r="H2" s="176"/>
      <c r="I2" s="176"/>
      <c r="J2" s="68"/>
      <c r="K2" s="176"/>
      <c r="L2" s="176"/>
      <c r="M2" s="176"/>
      <c r="N2" s="176"/>
      <c r="O2" s="176"/>
      <c r="P2" s="176"/>
      <c r="Q2" s="176"/>
      <c r="R2" s="176"/>
      <c r="S2" s="176"/>
      <c r="T2" s="45"/>
      <c r="U2" s="66">
        <f>MAX(F10:F19)</f>
        <v>25</v>
      </c>
      <c r="V2" s="97">
        <v>31</v>
      </c>
      <c r="W2" s="69"/>
      <c r="X2" s="69"/>
      <c r="Y2" s="5"/>
      <c r="Z2" s="5"/>
    </row>
    <row r="3" spans="1:31" s="4" customFormat="1" ht="15" customHeight="1">
      <c r="A3" s="123"/>
      <c r="B3" s="176"/>
      <c r="C3" s="176"/>
      <c r="D3" s="176"/>
      <c r="E3" s="67"/>
      <c r="F3" s="176"/>
      <c r="G3" s="176"/>
      <c r="H3" s="176"/>
      <c r="I3" s="176"/>
      <c r="J3" s="68"/>
      <c r="K3" s="176"/>
      <c r="L3" s="176"/>
      <c r="M3" s="176"/>
      <c r="N3" s="176"/>
      <c r="O3" s="176"/>
      <c r="P3" s="176"/>
      <c r="Q3" s="176"/>
      <c r="R3" s="176"/>
      <c r="S3" s="176"/>
      <c r="T3" s="45"/>
      <c r="U3" s="115"/>
      <c r="V3" s="116"/>
      <c r="W3" s="69"/>
      <c r="X3" s="69"/>
      <c r="Y3" s="5"/>
      <c r="Z3" s="5"/>
    </row>
    <row r="4" spans="1:31" s="91" customFormat="1" ht="14.25" customHeight="1">
      <c r="A4" s="89"/>
      <c r="B4" s="90"/>
      <c r="C4" s="90"/>
      <c r="D4" s="90"/>
      <c r="E4" s="170">
        <f>'CC -9'!$E$4</f>
        <v>42614</v>
      </c>
      <c r="F4" s="90"/>
      <c r="G4" s="90"/>
      <c r="H4" s="90"/>
      <c r="I4" s="90"/>
      <c r="J4" s="90"/>
      <c r="K4" s="90"/>
      <c r="L4" s="90"/>
      <c r="M4" s="90"/>
      <c r="N4" s="145">
        <v>0.08</v>
      </c>
      <c r="O4" s="145">
        <v>1.4999999999999999E-2</v>
      </c>
      <c r="P4" s="145">
        <v>0.01</v>
      </c>
      <c r="Q4" s="90"/>
      <c r="R4" s="90"/>
      <c r="S4" s="90"/>
      <c r="T4" s="90"/>
      <c r="U4" s="90"/>
      <c r="V4" s="92"/>
      <c r="W4" s="92"/>
      <c r="X4" s="92"/>
      <c r="Y4" s="92"/>
      <c r="Z4" s="92"/>
    </row>
    <row r="5" spans="1:31" s="22" customFormat="1" ht="24" customHeight="1">
      <c r="A5" s="263" t="s">
        <v>19</v>
      </c>
      <c r="B5" s="263" t="s">
        <v>20</v>
      </c>
      <c r="C5" s="217" t="s">
        <v>1</v>
      </c>
      <c r="D5" s="217" t="s">
        <v>2</v>
      </c>
      <c r="E5" s="220" t="s">
        <v>49</v>
      </c>
      <c r="F5" s="265" t="s">
        <v>24</v>
      </c>
      <c r="G5" s="266"/>
      <c r="H5" s="266"/>
      <c r="I5" s="266"/>
      <c r="J5" s="266"/>
      <c r="K5" s="267"/>
      <c r="L5" s="254" t="s">
        <v>50</v>
      </c>
      <c r="M5" s="254" t="s">
        <v>5</v>
      </c>
      <c r="N5" s="217" t="s">
        <v>6</v>
      </c>
      <c r="O5" s="217"/>
      <c r="P5" s="217"/>
      <c r="Q5" s="254" t="s">
        <v>7</v>
      </c>
      <c r="R5" s="254" t="s">
        <v>8</v>
      </c>
      <c r="S5" s="254" t="s">
        <v>9</v>
      </c>
      <c r="T5" s="218" t="s">
        <v>10</v>
      </c>
      <c r="U5" s="90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64"/>
      <c r="B6" s="264"/>
      <c r="C6" s="217"/>
      <c r="D6" s="217"/>
      <c r="E6" s="220"/>
      <c r="F6" s="265" t="s">
        <v>52</v>
      </c>
      <c r="G6" s="267"/>
      <c r="H6" s="265" t="s">
        <v>71</v>
      </c>
      <c r="I6" s="266"/>
      <c r="J6" s="252" t="s">
        <v>25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31</v>
      </c>
      <c r="Q6" s="255"/>
      <c r="R6" s="255"/>
      <c r="S6" s="255"/>
      <c r="T6" s="219"/>
      <c r="U6" s="90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64"/>
      <c r="B7" s="264"/>
      <c r="C7" s="254"/>
      <c r="D7" s="254"/>
      <c r="E7" s="220"/>
      <c r="F7" s="175" t="s">
        <v>34</v>
      </c>
      <c r="G7" s="173" t="s">
        <v>18</v>
      </c>
      <c r="H7" s="175" t="s">
        <v>34</v>
      </c>
      <c r="I7" s="112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9"/>
      <c r="U7" s="90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1" customFormat="1" ht="12.75" customHeight="1">
      <c r="A8" s="70">
        <v>1</v>
      </c>
      <c r="B8" s="70">
        <v>1</v>
      </c>
      <c r="C8" s="70">
        <v>2</v>
      </c>
      <c r="D8" s="70">
        <v>3</v>
      </c>
      <c r="E8" s="70">
        <v>4</v>
      </c>
      <c r="F8" s="70">
        <v>5</v>
      </c>
      <c r="G8" s="70">
        <v>6</v>
      </c>
      <c r="H8" s="70">
        <v>7</v>
      </c>
      <c r="I8" s="70">
        <v>8</v>
      </c>
      <c r="J8" s="70">
        <v>9</v>
      </c>
      <c r="K8" s="70">
        <v>10</v>
      </c>
      <c r="L8" s="70">
        <v>11</v>
      </c>
      <c r="M8" s="70">
        <v>12</v>
      </c>
      <c r="N8" s="70">
        <v>13</v>
      </c>
      <c r="O8" s="70">
        <v>14</v>
      </c>
      <c r="P8" s="70">
        <v>15</v>
      </c>
      <c r="Q8" s="70">
        <v>16</v>
      </c>
      <c r="R8" s="70">
        <v>17</v>
      </c>
      <c r="S8" s="70">
        <v>18</v>
      </c>
      <c r="T8" s="70">
        <v>19</v>
      </c>
      <c r="U8" s="90"/>
      <c r="V8" s="72"/>
      <c r="W8" s="72"/>
      <c r="X8" s="73"/>
      <c r="Y8" s="73"/>
      <c r="Z8" s="73"/>
      <c r="AA8" s="74"/>
      <c r="AB8" s="74"/>
      <c r="AC8" s="74"/>
      <c r="AD8" s="74"/>
      <c r="AE8" s="74"/>
    </row>
    <row r="9" spans="1:31" s="71" customFormat="1" ht="24" customHeight="1">
      <c r="A9" s="169" t="s">
        <v>68</v>
      </c>
      <c r="B9" s="168" t="s">
        <v>79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90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28" customFormat="1" ht="24" customHeight="1">
      <c r="A10" s="30">
        <v>1</v>
      </c>
      <c r="B10" s="125" t="s">
        <v>74</v>
      </c>
      <c r="C10" s="75" t="str">
        <f t="shared" ref="C10" si="0">VLOOKUP(B10,DS,2,0)</f>
        <v>Nguyễn Thị Kim Quyên</v>
      </c>
      <c r="D10" s="100" t="str">
        <f t="shared" ref="D10" si="1">VLOOKUP(B10,DS,3,0)</f>
        <v>Văn Phòng</v>
      </c>
      <c r="E10" s="76">
        <f t="shared" ref="E10" si="2">VLOOKUP(B10,DS,4,0)</f>
        <v>4000000</v>
      </c>
      <c r="F10" s="78">
        <f>VLOOKUP(B10,'CC -9'!$B$8:$AS$19,36,0)</f>
        <v>25</v>
      </c>
      <c r="G10" s="129">
        <f t="shared" ref="G10" si="3">ROUND(E10/$U$2*F10,0)</f>
        <v>4000000</v>
      </c>
      <c r="H10" s="78">
        <f>(VLOOKUP(B10,'CC -9'!$B$8:$AS$19,37,0)+VLOOKUP(B10,'CC -9'!$B$8:$AS$19,38,0))</f>
        <v>0</v>
      </c>
      <c r="I10" s="129">
        <f t="shared" ref="I10" si="4">ROUND(E10/$U$2*H10,0)</f>
        <v>0</v>
      </c>
      <c r="J10" s="79">
        <f t="shared" ref="J10" si="5">F10+H10</f>
        <v>25</v>
      </c>
      <c r="K10" s="31">
        <f>G10+I10</f>
        <v>4000000</v>
      </c>
      <c r="L10" s="76">
        <f t="shared" ref="L10" si="6">+F10*15000</f>
        <v>375000</v>
      </c>
      <c r="M10" s="32">
        <f t="shared" ref="M10" si="7">K10+L10</f>
        <v>4375000</v>
      </c>
      <c r="N10" s="32">
        <f>IF(VLOOKUP($B10,DS,25,0)="x",$E10*N$4,0)</f>
        <v>0</v>
      </c>
      <c r="O10" s="32">
        <f>IF(VLOOKUP($B10,DS,25,0)="x",$E10*O$4,0)</f>
        <v>0</v>
      </c>
      <c r="P10" s="32">
        <f>IF(VLOOKUP($B10,DS,25,0)="x",$E10*P$4,0)</f>
        <v>0</v>
      </c>
      <c r="Q10" s="31">
        <f t="shared" ref="Q10" si="8">M10-SUM(N10:P10)</f>
        <v>4375000</v>
      </c>
      <c r="R10" s="31">
        <f>VLOOKUP(B10,DS,23,0)</f>
        <v>0</v>
      </c>
      <c r="S10" s="37">
        <f t="shared" ref="S10" si="9">Q10-R10</f>
        <v>4375000</v>
      </c>
      <c r="T10" s="31"/>
      <c r="U10" s="90"/>
      <c r="V10" s="29"/>
      <c r="W10" s="23"/>
      <c r="X10" s="5"/>
      <c r="Y10" s="5"/>
      <c r="Z10" s="5"/>
      <c r="AA10" s="4"/>
      <c r="AB10" s="4"/>
      <c r="AC10" s="4"/>
      <c r="AD10" s="4"/>
      <c r="AE10" s="4"/>
    </row>
    <row r="11" spans="1:31" s="28" customFormat="1" ht="24" customHeight="1">
      <c r="A11" s="177"/>
      <c r="B11" s="178"/>
      <c r="C11" s="179"/>
      <c r="D11" s="180"/>
      <c r="E11" s="181"/>
      <c r="F11" s="182"/>
      <c r="G11" s="183"/>
      <c r="H11" s="182"/>
      <c r="I11" s="183"/>
      <c r="J11" s="184"/>
      <c r="K11" s="185"/>
      <c r="L11" s="181"/>
      <c r="M11" s="186"/>
      <c r="N11" s="186"/>
      <c r="O11" s="186"/>
      <c r="P11" s="186"/>
      <c r="Q11" s="185"/>
      <c r="R11" s="185"/>
      <c r="S11" s="187"/>
      <c r="T11" s="185"/>
      <c r="U11" s="90"/>
      <c r="V11" s="29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08" t="s">
        <v>23</v>
      </c>
      <c r="B12" s="209"/>
      <c r="C12" s="209"/>
      <c r="D12" s="210"/>
      <c r="E12" s="124">
        <f>SUM(E9:E10)</f>
        <v>4000000</v>
      </c>
      <c r="F12" s="124"/>
      <c r="G12" s="124">
        <f>SUM(G9:G10)</f>
        <v>4000000</v>
      </c>
      <c r="H12" s="124"/>
      <c r="I12" s="124">
        <f>SUM(I9:I10)</f>
        <v>0</v>
      </c>
      <c r="J12" s="124"/>
      <c r="K12" s="124">
        <f t="shared" ref="K12:S12" si="10">SUM(K9:K10)</f>
        <v>4000000</v>
      </c>
      <c r="L12" s="124">
        <f t="shared" si="10"/>
        <v>375000</v>
      </c>
      <c r="M12" s="124">
        <f t="shared" si="10"/>
        <v>4375000</v>
      </c>
      <c r="N12" s="124">
        <f t="shared" si="10"/>
        <v>0</v>
      </c>
      <c r="O12" s="124">
        <f t="shared" si="10"/>
        <v>0</v>
      </c>
      <c r="P12" s="124">
        <f t="shared" si="10"/>
        <v>0</v>
      </c>
      <c r="Q12" s="124">
        <f t="shared" si="10"/>
        <v>4375000</v>
      </c>
      <c r="R12" s="124">
        <f t="shared" si="10"/>
        <v>0</v>
      </c>
      <c r="S12" s="124">
        <f t="shared" si="10"/>
        <v>4375000</v>
      </c>
      <c r="T12" s="21"/>
      <c r="U12" s="90"/>
      <c r="V12" s="27"/>
      <c r="W12" s="27"/>
      <c r="X12" s="27"/>
      <c r="Y12" s="27"/>
      <c r="Z12" s="27"/>
    </row>
    <row r="13" spans="1:31" s="71" customFormat="1" ht="24" customHeight="1">
      <c r="A13" s="169" t="s">
        <v>69</v>
      </c>
      <c r="B13" s="168" t="s">
        <v>70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90"/>
      <c r="V13" s="72"/>
      <c r="W13" s="72"/>
      <c r="X13" s="73"/>
      <c r="Y13" s="73"/>
      <c r="Z13" s="73"/>
      <c r="AA13" s="74"/>
      <c r="AB13" s="74"/>
      <c r="AC13" s="74"/>
      <c r="AD13" s="74"/>
      <c r="AE13" s="74"/>
    </row>
    <row r="14" spans="1:31" s="28" customFormat="1" ht="24" customHeight="1">
      <c r="A14" s="30">
        <v>1</v>
      </c>
      <c r="B14" s="125" t="s">
        <v>75</v>
      </c>
      <c r="C14" s="75" t="str">
        <f t="shared" ref="C14:C17" si="11">VLOOKUP(B14,DS,2,0)</f>
        <v>Lê Văn Hữu</v>
      </c>
      <c r="D14" s="100" t="str">
        <f t="shared" ref="D14:D17" si="12">VLOOKUP(B14,DS,3,0)</f>
        <v>Công Đoạn 1</v>
      </c>
      <c r="E14" s="76">
        <f t="shared" ref="E14:E17" si="13">VLOOKUP(B14,DS,4,0)</f>
        <v>3200000</v>
      </c>
      <c r="F14" s="78">
        <f>VLOOKUP(B14,'CC -9'!$B$8:$AS$19,36,0)</f>
        <v>25</v>
      </c>
      <c r="G14" s="129">
        <f t="shared" ref="G14:G17" si="14">ROUND(E14/$U$2*F14,0)</f>
        <v>3200000</v>
      </c>
      <c r="H14" s="78">
        <f>(VLOOKUP(B14,'CC -9'!$B$8:$AS$19,37,0)+VLOOKUP(B14,'CC -9'!$B$8:$AS$19,38,0))</f>
        <v>0</v>
      </c>
      <c r="I14" s="129">
        <f t="shared" ref="I14:I17" si="15">ROUND(E14/$U$2*H14,0)</f>
        <v>0</v>
      </c>
      <c r="J14" s="130">
        <f t="shared" ref="J14:K17" si="16">F14+H14</f>
        <v>25</v>
      </c>
      <c r="K14" s="31">
        <f t="shared" si="16"/>
        <v>3200000</v>
      </c>
      <c r="L14" s="76">
        <f t="shared" ref="L14:L17" si="17">+F14*15000</f>
        <v>375000</v>
      </c>
      <c r="M14" s="32">
        <f t="shared" ref="M14:M17" si="18">K14+L14</f>
        <v>3575000</v>
      </c>
      <c r="N14" s="32">
        <f t="shared" ref="N14:P17" si="19">IF(VLOOKUP($B14,DS,25,0)="x",$E14*N$4,0)</f>
        <v>0</v>
      </c>
      <c r="O14" s="32">
        <f t="shared" si="19"/>
        <v>0</v>
      </c>
      <c r="P14" s="32">
        <f t="shared" si="19"/>
        <v>0</v>
      </c>
      <c r="Q14" s="31">
        <f>M14-SUM(N14:P14)</f>
        <v>3575000</v>
      </c>
      <c r="R14" s="31">
        <f t="shared" ref="R14:R17" si="20">VLOOKUP(B14,DS,23,0)</f>
        <v>0</v>
      </c>
      <c r="S14" s="37">
        <f>Q14-R14</f>
        <v>3575000</v>
      </c>
      <c r="T14" s="31"/>
      <c r="U14" s="90"/>
      <c r="V14" s="29"/>
      <c r="W14" s="23"/>
      <c r="X14" s="5"/>
      <c r="Y14" s="5"/>
      <c r="Z14" s="5"/>
      <c r="AA14" s="4"/>
      <c r="AB14" s="4"/>
      <c r="AC14" s="4"/>
      <c r="AD14" s="4"/>
      <c r="AE14" s="4"/>
    </row>
    <row r="15" spans="1:31" s="28" customFormat="1" ht="24" customHeight="1">
      <c r="A15" s="30">
        <v>2</v>
      </c>
      <c r="B15" s="125" t="s">
        <v>76</v>
      </c>
      <c r="C15" s="75" t="str">
        <f t="shared" ref="C15:C16" si="21">VLOOKUP(B15,DS,2,0)</f>
        <v>Phan Thị Sương</v>
      </c>
      <c r="D15" s="100" t="str">
        <f t="shared" ref="D15:D16" si="22">VLOOKUP(B15,DS,3,0)</f>
        <v>Công Đoạn 1</v>
      </c>
      <c r="E15" s="76">
        <f t="shared" ref="E15:E16" si="23">VLOOKUP(B15,DS,4,0)</f>
        <v>3000000</v>
      </c>
      <c r="F15" s="78">
        <f>VLOOKUP(B15,'CC -9'!$B$8:$AS$19,36,0)</f>
        <v>25</v>
      </c>
      <c r="G15" s="129">
        <f t="shared" ref="G15:G16" si="24">ROUND(E15/$U$2*F15,0)</f>
        <v>3000000</v>
      </c>
      <c r="H15" s="78">
        <f>(VLOOKUP(B15,'CC -9'!$B$8:$AS$19,37,0)+VLOOKUP(B15,'CC -9'!$B$8:$AS$19,38,0))</f>
        <v>0</v>
      </c>
      <c r="I15" s="129">
        <f t="shared" ref="I15:I16" si="25">ROUND(E15/$U$2*H15,0)</f>
        <v>0</v>
      </c>
      <c r="J15" s="130">
        <f t="shared" ref="J15:J16" si="26">F15+H15</f>
        <v>25</v>
      </c>
      <c r="K15" s="31">
        <f t="shared" ref="K15:K16" si="27">G15+I15</f>
        <v>3000000</v>
      </c>
      <c r="L15" s="76">
        <f t="shared" ref="L15:L16" si="28">+F15*15000</f>
        <v>375000</v>
      </c>
      <c r="M15" s="32">
        <f t="shared" ref="M15:M16" si="29">K15+L15</f>
        <v>3375000</v>
      </c>
      <c r="N15" s="32">
        <f t="shared" si="19"/>
        <v>0</v>
      </c>
      <c r="O15" s="32">
        <f t="shared" si="19"/>
        <v>0</v>
      </c>
      <c r="P15" s="32">
        <f t="shared" si="19"/>
        <v>0</v>
      </c>
      <c r="Q15" s="31">
        <f t="shared" ref="Q15:Q16" si="30">M15-SUM(N15:P15)</f>
        <v>3375000</v>
      </c>
      <c r="R15" s="31">
        <f t="shared" ref="R15:R16" si="31">VLOOKUP(B15,DS,23,0)</f>
        <v>0</v>
      </c>
      <c r="S15" s="37">
        <f t="shared" ref="S15:S16" si="32">Q15-R15</f>
        <v>3375000</v>
      </c>
      <c r="T15" s="31"/>
      <c r="U15" s="90"/>
      <c r="V15" s="29"/>
      <c r="W15" s="23"/>
      <c r="X15" s="5"/>
      <c r="Y15" s="5"/>
      <c r="Z15" s="5"/>
      <c r="AA15" s="4"/>
      <c r="AB15" s="4"/>
      <c r="AC15" s="4"/>
      <c r="AD15" s="4"/>
      <c r="AE15" s="4"/>
    </row>
    <row r="16" spans="1:31" s="28" customFormat="1" ht="24" customHeight="1">
      <c r="A16" s="30">
        <v>3</v>
      </c>
      <c r="B16" s="125" t="s">
        <v>77</v>
      </c>
      <c r="C16" s="75" t="str">
        <f t="shared" si="21"/>
        <v>Cao Minh Chí</v>
      </c>
      <c r="D16" s="100" t="str">
        <f t="shared" si="22"/>
        <v>Công Đoạn 2</v>
      </c>
      <c r="E16" s="76">
        <f t="shared" si="23"/>
        <v>3200000</v>
      </c>
      <c r="F16" s="78">
        <f>VLOOKUP(B16,'CC -9'!$B$8:$AS$19,36,0)</f>
        <v>25</v>
      </c>
      <c r="G16" s="129">
        <f t="shared" si="24"/>
        <v>3200000</v>
      </c>
      <c r="H16" s="78">
        <f>(VLOOKUP(B16,'CC -9'!$B$8:$AS$19,37,0)+VLOOKUP(B16,'CC -9'!$B$8:$AS$19,38,0))</f>
        <v>0</v>
      </c>
      <c r="I16" s="129">
        <f t="shared" si="25"/>
        <v>0</v>
      </c>
      <c r="J16" s="130">
        <f t="shared" si="26"/>
        <v>25</v>
      </c>
      <c r="K16" s="31">
        <f t="shared" si="27"/>
        <v>3200000</v>
      </c>
      <c r="L16" s="76">
        <f t="shared" si="28"/>
        <v>375000</v>
      </c>
      <c r="M16" s="32">
        <f t="shared" si="29"/>
        <v>3575000</v>
      </c>
      <c r="N16" s="32">
        <f t="shared" si="19"/>
        <v>0</v>
      </c>
      <c r="O16" s="32">
        <f t="shared" si="19"/>
        <v>0</v>
      </c>
      <c r="P16" s="32">
        <f t="shared" si="19"/>
        <v>0</v>
      </c>
      <c r="Q16" s="31">
        <f t="shared" si="30"/>
        <v>3575000</v>
      </c>
      <c r="R16" s="31">
        <f t="shared" si="31"/>
        <v>0</v>
      </c>
      <c r="S16" s="37">
        <f t="shared" si="32"/>
        <v>3575000</v>
      </c>
      <c r="T16" s="31"/>
      <c r="U16" s="90"/>
      <c r="V16" s="29"/>
      <c r="W16" s="23"/>
      <c r="X16" s="5"/>
      <c r="Y16" s="5"/>
      <c r="Z16" s="5"/>
      <c r="AA16" s="4"/>
      <c r="AB16" s="4"/>
      <c r="AC16" s="4"/>
      <c r="AD16" s="4"/>
      <c r="AE16" s="4"/>
    </row>
    <row r="17" spans="1:31" s="28" customFormat="1" ht="24" customHeight="1">
      <c r="A17" s="30">
        <v>4</v>
      </c>
      <c r="B17" s="125" t="s">
        <v>81</v>
      </c>
      <c r="C17" s="75" t="str">
        <f t="shared" si="11"/>
        <v>Nguyễn Thị Sự</v>
      </c>
      <c r="D17" s="100" t="str">
        <f t="shared" si="12"/>
        <v>Công Đoạn 2</v>
      </c>
      <c r="E17" s="76">
        <f t="shared" si="13"/>
        <v>3000000</v>
      </c>
      <c r="F17" s="78">
        <f>VLOOKUP(B17,'CC -9'!$B$8:$AS$19,36,0)</f>
        <v>25</v>
      </c>
      <c r="G17" s="129">
        <f t="shared" si="14"/>
        <v>3000000</v>
      </c>
      <c r="H17" s="78">
        <f>(VLOOKUP(B17,'CC -9'!$B$8:$AS$19,37,0)+VLOOKUP(B17,'CC -9'!$B$8:$AS$19,38,0))</f>
        <v>0</v>
      </c>
      <c r="I17" s="129">
        <f t="shared" si="15"/>
        <v>0</v>
      </c>
      <c r="J17" s="130">
        <f t="shared" si="16"/>
        <v>25</v>
      </c>
      <c r="K17" s="31">
        <f t="shared" si="16"/>
        <v>3000000</v>
      </c>
      <c r="L17" s="76">
        <f t="shared" si="17"/>
        <v>375000</v>
      </c>
      <c r="M17" s="32">
        <f t="shared" si="18"/>
        <v>3375000</v>
      </c>
      <c r="N17" s="32">
        <f t="shared" si="19"/>
        <v>0</v>
      </c>
      <c r="O17" s="32">
        <f t="shared" si="19"/>
        <v>0</v>
      </c>
      <c r="P17" s="32">
        <f t="shared" si="19"/>
        <v>0</v>
      </c>
      <c r="Q17" s="31">
        <f t="shared" ref="Q17" si="33">M17-SUM(N17:P17)</f>
        <v>3375000</v>
      </c>
      <c r="R17" s="31">
        <f t="shared" si="20"/>
        <v>0</v>
      </c>
      <c r="S17" s="37">
        <f t="shared" ref="S17" si="34">Q17-R17</f>
        <v>3375000</v>
      </c>
      <c r="T17" s="31"/>
      <c r="U17" s="90"/>
      <c r="V17" s="29"/>
      <c r="W17" s="23"/>
      <c r="X17" s="5"/>
      <c r="Y17" s="5"/>
      <c r="Z17" s="5"/>
      <c r="AA17" s="4"/>
      <c r="AB17" s="4"/>
      <c r="AC17" s="4"/>
      <c r="AD17" s="4"/>
      <c r="AE17" s="4"/>
    </row>
    <row r="18" spans="1:31" s="28" customFormat="1" ht="22.5" customHeight="1">
      <c r="A18" s="33"/>
      <c r="B18" s="166"/>
      <c r="C18" s="34"/>
      <c r="D18" s="3"/>
      <c r="E18" s="35"/>
      <c r="F18" s="35"/>
      <c r="G18" s="35"/>
      <c r="H18" s="35"/>
      <c r="I18" s="35"/>
      <c r="J18" s="36"/>
      <c r="K18" s="35"/>
      <c r="L18" s="35"/>
      <c r="M18" s="165"/>
      <c r="N18" s="35"/>
      <c r="O18" s="35"/>
      <c r="P18" s="35"/>
      <c r="Q18" s="35"/>
      <c r="R18" s="35"/>
      <c r="S18" s="35"/>
      <c r="T18" s="31"/>
      <c r="U18" s="90"/>
      <c r="V18" s="29"/>
      <c r="W18" s="29"/>
      <c r="X18" s="29"/>
      <c r="Y18" s="29"/>
      <c r="Z18" s="29"/>
    </row>
    <row r="19" spans="1:31" s="26" customFormat="1" ht="21" customHeight="1">
      <c r="A19" s="208" t="s">
        <v>23</v>
      </c>
      <c r="B19" s="209"/>
      <c r="C19" s="209"/>
      <c r="D19" s="210"/>
      <c r="E19" s="124">
        <f>SUM(E13:E18)</f>
        <v>12400000</v>
      </c>
      <c r="F19" s="124"/>
      <c r="G19" s="124">
        <f>SUM(G13:G18)</f>
        <v>12400000</v>
      </c>
      <c r="H19" s="124"/>
      <c r="I19" s="124">
        <f>SUM(I13:I18)</f>
        <v>0</v>
      </c>
      <c r="J19" s="124"/>
      <c r="K19" s="124">
        <f t="shared" ref="K19:S19" si="35">SUM(K13:K18)</f>
        <v>12400000</v>
      </c>
      <c r="L19" s="124">
        <f t="shared" si="35"/>
        <v>1500000</v>
      </c>
      <c r="M19" s="124">
        <f t="shared" si="35"/>
        <v>13900000</v>
      </c>
      <c r="N19" s="124">
        <f t="shared" si="35"/>
        <v>0</v>
      </c>
      <c r="O19" s="124">
        <f t="shared" si="35"/>
        <v>0</v>
      </c>
      <c r="P19" s="124">
        <f t="shared" si="35"/>
        <v>0</v>
      </c>
      <c r="Q19" s="124">
        <f t="shared" si="35"/>
        <v>13900000</v>
      </c>
      <c r="R19" s="124">
        <f t="shared" si="35"/>
        <v>0</v>
      </c>
      <c r="S19" s="124">
        <f t="shared" si="35"/>
        <v>13900000</v>
      </c>
      <c r="T19" s="21"/>
      <c r="U19" s="90"/>
      <c r="V19" s="27"/>
      <c r="W19" s="27"/>
      <c r="X19" s="27"/>
      <c r="Y19" s="27"/>
      <c r="Z19" s="27"/>
    </row>
    <row r="20" spans="1:31" ht="11.25" customHeight="1">
      <c r="A20" s="8"/>
      <c r="B20" s="8"/>
      <c r="C20" s="9"/>
      <c r="D20" s="101"/>
      <c r="E20" s="80"/>
      <c r="F20" s="9"/>
      <c r="G20" s="9"/>
      <c r="H20" s="9"/>
      <c r="I20" s="9"/>
      <c r="K20" s="9"/>
      <c r="L20" s="9"/>
      <c r="M20" s="88"/>
      <c r="N20" s="9"/>
      <c r="O20" s="9"/>
      <c r="P20" s="9"/>
      <c r="Q20" s="9"/>
      <c r="R20" s="9"/>
      <c r="S20" s="9"/>
      <c r="T20" s="9"/>
      <c r="U20" s="90"/>
    </row>
    <row r="21" spans="1:31" s="28" customFormat="1" ht="11.25" customHeight="1">
      <c r="A21" s="64"/>
      <c r="B21" s="64"/>
      <c r="C21" s="64"/>
      <c r="D21" s="117"/>
      <c r="E21" s="118"/>
      <c r="F21" s="64"/>
      <c r="G21" s="64"/>
      <c r="H21" s="64"/>
      <c r="I21" s="64"/>
      <c r="J21" s="119"/>
      <c r="K21" s="118"/>
      <c r="L21" s="64"/>
      <c r="M21" s="64"/>
      <c r="N21" s="64"/>
      <c r="O21" s="64"/>
      <c r="P21" s="64"/>
      <c r="Q21" s="64"/>
      <c r="R21" s="64"/>
      <c r="S21" s="94" t="str">
        <f>"Long An, ngày  "&amp;$V$2&amp;"   tháng   "&amp;TEXT($E$4,"mm")&amp;"   năm "&amp;TEXT($E$4,"yyyy")</f>
        <v>Long An, ngày  31   tháng   09   năm 2016</v>
      </c>
      <c r="T21" s="64"/>
      <c r="U21" s="120"/>
      <c r="V21" s="29"/>
      <c r="W21" s="29"/>
      <c r="X21" s="29"/>
      <c r="Y21" s="29"/>
      <c r="Z21" s="29"/>
    </row>
    <row r="22" spans="1:31" s="28" customFormat="1" ht="12.75">
      <c r="A22" s="24"/>
      <c r="B22" s="24"/>
      <c r="C22" s="24" t="s">
        <v>53</v>
      </c>
      <c r="D22" s="121"/>
      <c r="E22" s="65"/>
      <c r="F22" s="120"/>
      <c r="G22" s="65"/>
      <c r="H22" s="65"/>
      <c r="I22" s="65"/>
      <c r="J22" s="122"/>
      <c r="K22" s="29"/>
      <c r="L22" s="24"/>
      <c r="M22" s="131"/>
      <c r="N22" s="20"/>
      <c r="O22" s="20"/>
      <c r="P22" s="20"/>
      <c r="Q22" s="20"/>
      <c r="S22" s="120" t="s">
        <v>21</v>
      </c>
      <c r="T22" s="120"/>
      <c r="U22" s="120"/>
      <c r="V22" s="29"/>
      <c r="W22" s="29"/>
      <c r="X22" s="29"/>
      <c r="Y22" s="29"/>
      <c r="Z22" s="29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0"/>
    </row>
    <row r="24" spans="1:31" ht="12">
      <c r="C24" s="15"/>
      <c r="L24" s="15"/>
      <c r="T24" s="15"/>
      <c r="U24" s="90"/>
    </row>
    <row r="25" spans="1:31" ht="12">
      <c r="U25" s="90"/>
    </row>
    <row r="26" spans="1:31" ht="12">
      <c r="U26" s="90"/>
    </row>
    <row r="27" spans="1:31" ht="12">
      <c r="U27" s="90"/>
    </row>
    <row r="28" spans="1:31" ht="12">
      <c r="U28" s="90"/>
    </row>
    <row r="29" spans="1:31" ht="12">
      <c r="U29" s="90"/>
    </row>
    <row r="30" spans="1:31" ht="12">
      <c r="U30" s="90"/>
    </row>
  </sheetData>
  <protectedRanges>
    <protectedRange password="CC78" sqref="V18:IK19 C5:D7 B22:C22 V5:W9 A18:A23 B18:B21 B23 V13:W13 Q5:T7 E5:I6 D19 N5:P6 L5 L22 J6:K7 L7 A25:T58 U31:U58 N18:S18 V25:IK58 J18:L18 A59:IK65326 AF13:IK13 V12:IK12 D12 Q10:S11 W10:W11 AF5:IK11 A10:B12" name="Range1"/>
    <protectedRange password="CC78" sqref="F7:H7" name="Range1_4"/>
    <protectedRange password="CC78" sqref="V22:IK23 S22:T23 N22:Q23 E22:I23" name="Range1_1_1"/>
    <protectedRange password="CC78" sqref="U1 W1:IK3 V4:IK4 B4:T4 R2:S3 B1:Q3 U18:U30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7 Q14:S17 W14:W17 A14:B17" name="Range1_5"/>
    <protectedRange password="CC78" sqref="X14:AE17 U14:U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8" customWidth="1"/>
    <col min="5" max="5" width="7.140625" style="2" customWidth="1"/>
    <col min="6" max="33" width="3.42578125" style="107" customWidth="1"/>
    <col min="34" max="36" width="3.42578125" style="108" customWidth="1"/>
    <col min="37" max="38" width="4.42578125" style="2" customWidth="1"/>
    <col min="39" max="39" width="5.5703125" style="86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3"/>
      <c r="B1" s="40"/>
      <c r="C1" s="40"/>
      <c r="D1" s="44"/>
      <c r="E1" s="40"/>
      <c r="F1" s="44"/>
      <c r="G1" s="44"/>
      <c r="H1" s="44"/>
      <c r="I1" s="44"/>
      <c r="J1" s="44"/>
      <c r="K1" s="103"/>
      <c r="L1" s="103"/>
      <c r="M1" s="103"/>
      <c r="N1" s="103"/>
      <c r="O1" s="103"/>
      <c r="P1" s="103"/>
      <c r="Q1" s="103"/>
      <c r="R1" s="103"/>
      <c r="S1" s="42" t="str">
        <f>CONCATENATE("BẢNG CHẤM CÔNG THÁNG ",TEXT($E$4,"mm")," NĂM ",TEXT($E$4,"yyyy"))</f>
        <v>BẢNG CHẤM CÔNG THÁNG 10 NĂM 2016</v>
      </c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41"/>
      <c r="AL1" s="41"/>
      <c r="AM1" s="241" t="s">
        <v>78</v>
      </c>
      <c r="AN1" s="242"/>
      <c r="AO1" s="242"/>
      <c r="AP1" s="242"/>
      <c r="AQ1" s="242"/>
      <c r="AR1" s="242"/>
      <c r="AS1" s="243"/>
      <c r="AT1" s="43"/>
    </row>
    <row r="2" spans="1:91" ht="20.25">
      <c r="A2" s="123"/>
      <c r="B2" s="44"/>
      <c r="C2" s="44"/>
      <c r="D2" s="44"/>
      <c r="E2" s="44"/>
      <c r="F2" s="44"/>
      <c r="G2" s="44"/>
      <c r="H2" s="44"/>
      <c r="I2" s="44"/>
      <c r="J2" s="44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41"/>
      <c r="AL2" s="41"/>
      <c r="AM2" s="82"/>
      <c r="AN2" s="45"/>
      <c r="AO2" s="45"/>
      <c r="AP2" s="45"/>
      <c r="AQ2" s="45"/>
      <c r="AR2" s="45"/>
      <c r="AS2" s="81"/>
      <c r="AT2" s="81"/>
    </row>
    <row r="3" spans="1:91" ht="21" customHeight="1">
      <c r="A3" s="123"/>
      <c r="B3" s="46"/>
      <c r="C3" s="46"/>
      <c r="D3" s="47"/>
      <c r="E3" s="47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41"/>
      <c r="AL3" s="41"/>
      <c r="AM3" s="82"/>
      <c r="AN3" s="43"/>
      <c r="AO3" s="43"/>
      <c r="AP3" s="43"/>
      <c r="AQ3" s="43"/>
      <c r="AR3" s="43"/>
      <c r="AS3" s="48"/>
      <c r="AT3" s="48"/>
    </row>
    <row r="4" spans="1:91" ht="14.25" customHeight="1">
      <c r="A4" s="49"/>
      <c r="B4" s="49"/>
      <c r="C4" s="139"/>
      <c r="D4" s="138"/>
      <c r="E4" s="50">
        <v>42644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  <c r="AI4" s="52"/>
      <c r="AJ4" s="52"/>
      <c r="AK4" s="49"/>
      <c r="AL4" s="49"/>
      <c r="AM4" s="83"/>
      <c r="AN4" s="49"/>
      <c r="AO4" s="49"/>
      <c r="AP4" s="49"/>
      <c r="AQ4" s="49"/>
      <c r="AR4" s="49"/>
      <c r="AS4" s="49"/>
      <c r="AT4" s="87"/>
    </row>
    <row r="5" spans="1:91" s="53" customFormat="1" ht="18.75" customHeight="1">
      <c r="A5" s="244" t="s">
        <v>26</v>
      </c>
      <c r="B5" s="244" t="s">
        <v>3</v>
      </c>
      <c r="C5" s="244" t="s">
        <v>1</v>
      </c>
      <c r="D5" s="246" t="s">
        <v>27</v>
      </c>
      <c r="E5" s="244" t="s">
        <v>28</v>
      </c>
      <c r="F5" s="102">
        <f>+E4</f>
        <v>42644</v>
      </c>
      <c r="G5" s="102">
        <f t="shared" ref="G5:AJ5" si="0">F5+1</f>
        <v>42645</v>
      </c>
      <c r="H5" s="102">
        <f t="shared" si="0"/>
        <v>42646</v>
      </c>
      <c r="I5" s="102">
        <f t="shared" si="0"/>
        <v>42647</v>
      </c>
      <c r="J5" s="102">
        <f t="shared" si="0"/>
        <v>42648</v>
      </c>
      <c r="K5" s="102">
        <f t="shared" si="0"/>
        <v>42649</v>
      </c>
      <c r="L5" s="102">
        <f t="shared" si="0"/>
        <v>42650</v>
      </c>
      <c r="M5" s="102">
        <f t="shared" si="0"/>
        <v>42651</v>
      </c>
      <c r="N5" s="102">
        <f t="shared" si="0"/>
        <v>42652</v>
      </c>
      <c r="O5" s="102">
        <f t="shared" si="0"/>
        <v>42653</v>
      </c>
      <c r="P5" s="102">
        <f t="shared" si="0"/>
        <v>42654</v>
      </c>
      <c r="Q5" s="102">
        <f t="shared" si="0"/>
        <v>42655</v>
      </c>
      <c r="R5" s="102">
        <f t="shared" si="0"/>
        <v>42656</v>
      </c>
      <c r="S5" s="102">
        <f t="shared" si="0"/>
        <v>42657</v>
      </c>
      <c r="T5" s="102">
        <f t="shared" si="0"/>
        <v>42658</v>
      </c>
      <c r="U5" s="102">
        <f t="shared" si="0"/>
        <v>42659</v>
      </c>
      <c r="V5" s="102">
        <f t="shared" si="0"/>
        <v>42660</v>
      </c>
      <c r="W5" s="102">
        <f t="shared" si="0"/>
        <v>42661</v>
      </c>
      <c r="X5" s="102">
        <f t="shared" si="0"/>
        <v>42662</v>
      </c>
      <c r="Y5" s="102">
        <f t="shared" si="0"/>
        <v>42663</v>
      </c>
      <c r="Z5" s="102">
        <f t="shared" si="0"/>
        <v>42664</v>
      </c>
      <c r="AA5" s="102">
        <f t="shared" si="0"/>
        <v>42665</v>
      </c>
      <c r="AB5" s="102">
        <f t="shared" si="0"/>
        <v>42666</v>
      </c>
      <c r="AC5" s="102">
        <f t="shared" si="0"/>
        <v>42667</v>
      </c>
      <c r="AD5" s="102">
        <f t="shared" si="0"/>
        <v>42668</v>
      </c>
      <c r="AE5" s="102">
        <f t="shared" si="0"/>
        <v>42669</v>
      </c>
      <c r="AF5" s="102">
        <f t="shared" si="0"/>
        <v>42670</v>
      </c>
      <c r="AG5" s="102">
        <f t="shared" si="0"/>
        <v>42671</v>
      </c>
      <c r="AH5" s="102">
        <f>AG5+1</f>
        <v>42672</v>
      </c>
      <c r="AI5" s="102">
        <f t="shared" si="0"/>
        <v>42673</v>
      </c>
      <c r="AJ5" s="102">
        <f t="shared" si="0"/>
        <v>42674</v>
      </c>
      <c r="AK5" s="247" t="s">
        <v>15</v>
      </c>
      <c r="AL5" s="248"/>
      <c r="AM5" s="249"/>
      <c r="AN5" s="250" t="s">
        <v>39</v>
      </c>
      <c r="AO5" s="250" t="s">
        <v>35</v>
      </c>
      <c r="AP5" s="250" t="s">
        <v>36</v>
      </c>
      <c r="AQ5" s="250" t="s">
        <v>37</v>
      </c>
      <c r="AR5" s="250" t="s">
        <v>38</v>
      </c>
      <c r="AS5" s="246" t="s">
        <v>0</v>
      </c>
      <c r="AT5" s="2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3" customFormat="1" ht="39.75" customHeight="1">
      <c r="A6" s="245"/>
      <c r="B6" s="245"/>
      <c r="C6" s="245"/>
      <c r="D6" s="245"/>
      <c r="E6" s="245"/>
      <c r="F6" s="155" t="str">
        <f>CHOOSE(WEEKDAY(F5),"C.Nhật","T.Hai","T.Ba","T.Tư","T.Năm","T.Sáu","T.Bảy")</f>
        <v>T.Bảy</v>
      </c>
      <c r="G6" s="155" t="str">
        <f t="shared" ref="G6:AJ6" si="1">CHOOSE(WEEKDAY(G5),"C.Nhật","T.Hai","T.Ba","T.Tư","T.Năm","T.Sáu","T.Bảy")</f>
        <v>C.Nhật</v>
      </c>
      <c r="H6" s="155" t="str">
        <f t="shared" si="1"/>
        <v>T.Hai</v>
      </c>
      <c r="I6" s="155" t="str">
        <f t="shared" si="1"/>
        <v>T.Ba</v>
      </c>
      <c r="J6" s="155" t="str">
        <f t="shared" si="1"/>
        <v>T.Tư</v>
      </c>
      <c r="K6" s="155" t="str">
        <f t="shared" si="1"/>
        <v>T.Năm</v>
      </c>
      <c r="L6" s="155" t="str">
        <f t="shared" si="1"/>
        <v>T.Sáu</v>
      </c>
      <c r="M6" s="155" t="str">
        <f t="shared" si="1"/>
        <v>T.Bảy</v>
      </c>
      <c r="N6" s="155" t="str">
        <f t="shared" si="1"/>
        <v>C.Nhật</v>
      </c>
      <c r="O6" s="155" t="str">
        <f t="shared" si="1"/>
        <v>T.Hai</v>
      </c>
      <c r="P6" s="155" t="str">
        <f t="shared" si="1"/>
        <v>T.Ba</v>
      </c>
      <c r="Q6" s="155" t="str">
        <f t="shared" si="1"/>
        <v>T.Tư</v>
      </c>
      <c r="R6" s="155" t="str">
        <f t="shared" si="1"/>
        <v>T.Năm</v>
      </c>
      <c r="S6" s="155" t="str">
        <f t="shared" si="1"/>
        <v>T.Sáu</v>
      </c>
      <c r="T6" s="155" t="str">
        <f t="shared" si="1"/>
        <v>T.Bảy</v>
      </c>
      <c r="U6" s="155" t="str">
        <f t="shared" si="1"/>
        <v>C.Nhật</v>
      </c>
      <c r="V6" s="155" t="str">
        <f t="shared" si="1"/>
        <v>T.Hai</v>
      </c>
      <c r="W6" s="155" t="str">
        <f t="shared" si="1"/>
        <v>T.Ba</v>
      </c>
      <c r="X6" s="155" t="str">
        <f t="shared" si="1"/>
        <v>T.Tư</v>
      </c>
      <c r="Y6" s="155" t="str">
        <f t="shared" si="1"/>
        <v>T.Năm</v>
      </c>
      <c r="Z6" s="155" t="str">
        <f t="shared" si="1"/>
        <v>T.Sáu</v>
      </c>
      <c r="AA6" s="155" t="str">
        <f t="shared" si="1"/>
        <v>T.Bảy</v>
      </c>
      <c r="AB6" s="155" t="str">
        <f t="shared" si="1"/>
        <v>C.Nhật</v>
      </c>
      <c r="AC6" s="155" t="str">
        <f t="shared" si="1"/>
        <v>T.Hai</v>
      </c>
      <c r="AD6" s="155" t="str">
        <f t="shared" si="1"/>
        <v>T.Ba</v>
      </c>
      <c r="AE6" s="155" t="str">
        <f t="shared" si="1"/>
        <v>T.Tư</v>
      </c>
      <c r="AF6" s="155" t="str">
        <f t="shared" si="1"/>
        <v>T.Năm</v>
      </c>
      <c r="AG6" s="155" t="str">
        <f t="shared" si="1"/>
        <v>T.Sáu</v>
      </c>
      <c r="AH6" s="155" t="str">
        <f t="shared" si="1"/>
        <v>T.Bảy</v>
      </c>
      <c r="AI6" s="155" t="str">
        <f t="shared" si="1"/>
        <v>C.Nhật</v>
      </c>
      <c r="AJ6" s="155" t="str">
        <f t="shared" si="1"/>
        <v>T.Hai</v>
      </c>
      <c r="AK6" s="156" t="s">
        <v>16</v>
      </c>
      <c r="AL6" s="156" t="s">
        <v>29</v>
      </c>
      <c r="AM6" s="157" t="s">
        <v>17</v>
      </c>
      <c r="AN6" s="251"/>
      <c r="AO6" s="251"/>
      <c r="AP6" s="251"/>
      <c r="AQ6" s="251"/>
      <c r="AR6" s="251"/>
      <c r="AS6" s="245"/>
      <c r="AT6" s="2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3" customFormat="1" ht="12.75" customHeight="1">
      <c r="A7" s="158">
        <v>1</v>
      </c>
      <c r="B7" s="158">
        <v>1</v>
      </c>
      <c r="C7" s="158">
        <v>2</v>
      </c>
      <c r="D7" s="158">
        <v>3</v>
      </c>
      <c r="E7" s="158">
        <v>4</v>
      </c>
      <c r="F7" s="158">
        <v>5</v>
      </c>
      <c r="G7" s="158">
        <v>6</v>
      </c>
      <c r="H7" s="158">
        <v>7</v>
      </c>
      <c r="I7" s="158">
        <v>8</v>
      </c>
      <c r="J7" s="158">
        <v>9</v>
      </c>
      <c r="K7" s="158">
        <v>10</v>
      </c>
      <c r="L7" s="158">
        <v>11</v>
      </c>
      <c r="M7" s="158">
        <v>12</v>
      </c>
      <c r="N7" s="158">
        <v>13</v>
      </c>
      <c r="O7" s="158">
        <v>14</v>
      </c>
      <c r="P7" s="158">
        <v>15</v>
      </c>
      <c r="Q7" s="158">
        <v>16</v>
      </c>
      <c r="R7" s="158">
        <v>17</v>
      </c>
      <c r="S7" s="158">
        <v>18</v>
      </c>
      <c r="T7" s="158">
        <v>19</v>
      </c>
      <c r="U7" s="158">
        <v>20</v>
      </c>
      <c r="V7" s="158">
        <v>21</v>
      </c>
      <c r="W7" s="158">
        <v>22</v>
      </c>
      <c r="X7" s="158">
        <v>23</v>
      </c>
      <c r="Y7" s="158">
        <v>24</v>
      </c>
      <c r="Z7" s="158">
        <v>25</v>
      </c>
      <c r="AA7" s="158">
        <v>26</v>
      </c>
      <c r="AB7" s="158">
        <v>27</v>
      </c>
      <c r="AC7" s="158">
        <v>28</v>
      </c>
      <c r="AD7" s="158">
        <v>29</v>
      </c>
      <c r="AE7" s="158">
        <v>30</v>
      </c>
      <c r="AF7" s="158">
        <v>31</v>
      </c>
      <c r="AG7" s="158">
        <v>32</v>
      </c>
      <c r="AH7" s="158">
        <v>33</v>
      </c>
      <c r="AI7" s="158">
        <v>34</v>
      </c>
      <c r="AJ7" s="158">
        <v>35</v>
      </c>
      <c r="AK7" s="158">
        <v>36</v>
      </c>
      <c r="AL7" s="158">
        <v>37</v>
      </c>
      <c r="AM7" s="158">
        <v>38</v>
      </c>
      <c r="AN7" s="158">
        <v>39</v>
      </c>
      <c r="AO7" s="158">
        <v>40</v>
      </c>
      <c r="AP7" s="158">
        <v>41</v>
      </c>
      <c r="AQ7" s="158">
        <v>42</v>
      </c>
      <c r="AR7" s="158">
        <v>43</v>
      </c>
      <c r="AS7" s="158">
        <v>44</v>
      </c>
      <c r="AT7" s="1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1" customFormat="1" ht="21" customHeight="1">
      <c r="A8" s="159" t="s">
        <v>68</v>
      </c>
      <c r="B8" s="162" t="s">
        <v>79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4"/>
      <c r="AT8" s="160"/>
    </row>
    <row r="9" spans="1:91" s="53" customFormat="1" ht="18" customHeight="1">
      <c r="A9" s="234">
        <v>1</v>
      </c>
      <c r="B9" s="234" t="s">
        <v>74</v>
      </c>
      <c r="C9" s="236" t="str">
        <f>VLOOKUP(B9,DS,2,0)</f>
        <v>Nguyễn Thị Kim Quyên</v>
      </c>
      <c r="D9" s="238" t="str">
        <f>VLOOKUP(B9,DS,3,0)</f>
        <v>Văn Phòng</v>
      </c>
      <c r="E9" s="54" t="s">
        <v>30</v>
      </c>
      <c r="F9" s="127">
        <v>8</v>
      </c>
      <c r="G9" s="127"/>
      <c r="H9" s="127">
        <v>8</v>
      </c>
      <c r="I9" s="127">
        <v>8</v>
      </c>
      <c r="J9" s="127">
        <v>8</v>
      </c>
      <c r="K9" s="127">
        <v>8</v>
      </c>
      <c r="L9" s="127">
        <v>8</v>
      </c>
      <c r="M9" s="127">
        <v>8</v>
      </c>
      <c r="N9" s="127"/>
      <c r="O9" s="127">
        <v>8</v>
      </c>
      <c r="P9" s="127">
        <v>8</v>
      </c>
      <c r="Q9" s="127">
        <v>8</v>
      </c>
      <c r="R9" s="127">
        <v>8</v>
      </c>
      <c r="S9" s="127">
        <v>8</v>
      </c>
      <c r="T9" s="127">
        <v>8</v>
      </c>
      <c r="U9" s="127"/>
      <c r="V9" s="127">
        <v>8</v>
      </c>
      <c r="W9" s="127">
        <v>8</v>
      </c>
      <c r="X9" s="127">
        <v>8</v>
      </c>
      <c r="Y9" s="127">
        <v>8</v>
      </c>
      <c r="Z9" s="127">
        <v>8</v>
      </c>
      <c r="AA9" s="127">
        <v>8</v>
      </c>
      <c r="AB9" s="127"/>
      <c r="AC9" s="127">
        <v>8</v>
      </c>
      <c r="AD9" s="127">
        <v>8</v>
      </c>
      <c r="AE9" s="127">
        <v>8</v>
      </c>
      <c r="AF9" s="127">
        <v>8</v>
      </c>
      <c r="AG9" s="127">
        <v>8</v>
      </c>
      <c r="AH9" s="127">
        <v>8</v>
      </c>
      <c r="AI9" s="127"/>
      <c r="AJ9" s="127">
        <v>8</v>
      </c>
      <c r="AK9" s="228">
        <f>((SUM(F9:AJ9))/8)-(SUMIF($F$6:$AJ$6,"C.Nhật",F9:AJ9)/8)</f>
        <v>26</v>
      </c>
      <c r="AL9" s="228">
        <f>SUM(F10:AJ10)/8*1.5</f>
        <v>0</v>
      </c>
      <c r="AM9" s="230">
        <f>SUMIF($F$6:$AJ$6,"C.Nhật",$F9:$AJ10)/8*2</f>
        <v>0</v>
      </c>
      <c r="AN9" s="224">
        <f>SUM(AK9:AM10)</f>
        <v>26</v>
      </c>
      <c r="AO9" s="232">
        <v>0</v>
      </c>
      <c r="AP9" s="224"/>
      <c r="AQ9" s="224"/>
      <c r="AR9" s="224"/>
      <c r="AS9" s="226"/>
      <c r="AT9" s="1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3" customFormat="1" ht="18" customHeight="1">
      <c r="A10" s="235"/>
      <c r="B10" s="235"/>
      <c r="C10" s="237"/>
      <c r="D10" s="239"/>
      <c r="E10" s="55" t="s">
        <v>29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229"/>
      <c r="AL10" s="229"/>
      <c r="AM10" s="231"/>
      <c r="AN10" s="225"/>
      <c r="AO10" s="233"/>
      <c r="AP10" s="225"/>
      <c r="AQ10" s="225"/>
      <c r="AR10" s="225"/>
      <c r="AS10" s="227"/>
      <c r="AT10" s="1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1" customFormat="1" ht="21" customHeight="1">
      <c r="A11" s="159" t="s">
        <v>69</v>
      </c>
      <c r="B11" s="162" t="s">
        <v>73</v>
      </c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4"/>
      <c r="AT11" s="160"/>
    </row>
    <row r="12" spans="1:91" s="53" customFormat="1" ht="18" customHeight="1">
      <c r="A12" s="234">
        <v>1</v>
      </c>
      <c r="B12" s="234" t="s">
        <v>75</v>
      </c>
      <c r="C12" s="236" t="str">
        <f>VLOOKUP(B12,DS,2,0)</f>
        <v>Lê Văn Hữu</v>
      </c>
      <c r="D12" s="238" t="str">
        <f>VLOOKUP(B12,DS,3,0)</f>
        <v>Công Đoạn 1</v>
      </c>
      <c r="E12" s="54" t="s">
        <v>30</v>
      </c>
      <c r="F12" s="127">
        <v>8</v>
      </c>
      <c r="G12" s="127"/>
      <c r="H12" s="127">
        <v>8</v>
      </c>
      <c r="I12" s="127">
        <v>8</v>
      </c>
      <c r="J12" s="127">
        <v>8</v>
      </c>
      <c r="K12" s="127">
        <v>8</v>
      </c>
      <c r="L12" s="127">
        <v>8</v>
      </c>
      <c r="M12" s="127">
        <v>8</v>
      </c>
      <c r="N12" s="127"/>
      <c r="O12" s="127">
        <v>8</v>
      </c>
      <c r="P12" s="127">
        <v>8</v>
      </c>
      <c r="Q12" s="127">
        <v>8</v>
      </c>
      <c r="R12" s="127">
        <v>8</v>
      </c>
      <c r="S12" s="127">
        <v>8</v>
      </c>
      <c r="T12" s="127">
        <v>8</v>
      </c>
      <c r="U12" s="127"/>
      <c r="V12" s="127">
        <v>8</v>
      </c>
      <c r="W12" s="127">
        <v>8</v>
      </c>
      <c r="X12" s="127">
        <v>8</v>
      </c>
      <c r="Y12" s="127">
        <v>8</v>
      </c>
      <c r="Z12" s="127">
        <v>8</v>
      </c>
      <c r="AA12" s="127">
        <v>8</v>
      </c>
      <c r="AB12" s="127"/>
      <c r="AC12" s="127">
        <v>8</v>
      </c>
      <c r="AD12" s="127">
        <v>8</v>
      </c>
      <c r="AE12" s="127">
        <v>8</v>
      </c>
      <c r="AF12" s="127">
        <v>8</v>
      </c>
      <c r="AG12" s="127">
        <v>8</v>
      </c>
      <c r="AH12" s="127">
        <v>8</v>
      </c>
      <c r="AI12" s="127"/>
      <c r="AJ12" s="127">
        <v>8</v>
      </c>
      <c r="AK12" s="228">
        <f t="shared" ref="AK12" si="2">((SUM(F12:AJ12))/8)-(SUMIF($F$6:$AJ$6,"C.Nhật",F12:AJ12)/8)</f>
        <v>26</v>
      </c>
      <c r="AL12" s="228">
        <f t="shared" ref="AL12" si="3">SUM(F13:AJ13)/8*1.5</f>
        <v>0</v>
      </c>
      <c r="AM12" s="230">
        <f>SUMIF($F$6:$AJ$6,"C.Nhật",$F12:$AJ13)/8*2</f>
        <v>0</v>
      </c>
      <c r="AN12" s="224">
        <f>SUM(AK12:AM13)</f>
        <v>26</v>
      </c>
      <c r="AO12" s="232">
        <v>0</v>
      </c>
      <c r="AP12" s="224"/>
      <c r="AQ12" s="224"/>
      <c r="AR12" s="224"/>
      <c r="AS12" s="226"/>
      <c r="AT12" s="19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3" customFormat="1" ht="18" customHeight="1">
      <c r="A13" s="235"/>
      <c r="B13" s="235"/>
      <c r="C13" s="237"/>
      <c r="D13" s="239"/>
      <c r="E13" s="55" t="s">
        <v>29</v>
      </c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229"/>
      <c r="AL13" s="229"/>
      <c r="AM13" s="231"/>
      <c r="AN13" s="225"/>
      <c r="AO13" s="233"/>
      <c r="AP13" s="225"/>
      <c r="AQ13" s="225"/>
      <c r="AR13" s="225"/>
      <c r="AS13" s="227"/>
      <c r="AT13" s="19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3" customFormat="1" ht="18" customHeight="1">
      <c r="A14" s="234">
        <v>2</v>
      </c>
      <c r="B14" s="234" t="s">
        <v>76</v>
      </c>
      <c r="C14" s="236" t="str">
        <f>VLOOKUP(B14,DS,2,0)</f>
        <v>Phan Thị Sương</v>
      </c>
      <c r="D14" s="238" t="str">
        <f>VLOOKUP(B14,DS,3,0)</f>
        <v>Công Đoạn 1</v>
      </c>
      <c r="E14" s="54" t="s">
        <v>30</v>
      </c>
      <c r="F14" s="127">
        <v>8</v>
      </c>
      <c r="G14" s="127"/>
      <c r="H14" s="127">
        <v>8</v>
      </c>
      <c r="I14" s="127">
        <v>8</v>
      </c>
      <c r="J14" s="127">
        <v>8</v>
      </c>
      <c r="K14" s="127">
        <v>8</v>
      </c>
      <c r="L14" s="127">
        <v>8</v>
      </c>
      <c r="M14" s="127">
        <v>8</v>
      </c>
      <c r="N14" s="127"/>
      <c r="O14" s="127">
        <v>8</v>
      </c>
      <c r="P14" s="127">
        <v>8</v>
      </c>
      <c r="Q14" s="127">
        <v>8</v>
      </c>
      <c r="R14" s="127">
        <v>8</v>
      </c>
      <c r="S14" s="127">
        <v>8</v>
      </c>
      <c r="T14" s="127">
        <v>8</v>
      </c>
      <c r="U14" s="127"/>
      <c r="V14" s="127">
        <v>8</v>
      </c>
      <c r="W14" s="127">
        <v>8</v>
      </c>
      <c r="X14" s="127">
        <v>8</v>
      </c>
      <c r="Y14" s="127">
        <v>8</v>
      </c>
      <c r="Z14" s="127">
        <v>8</v>
      </c>
      <c r="AA14" s="127">
        <v>8</v>
      </c>
      <c r="AB14" s="127"/>
      <c r="AC14" s="127">
        <v>8</v>
      </c>
      <c r="AD14" s="127">
        <v>8</v>
      </c>
      <c r="AE14" s="127">
        <v>8</v>
      </c>
      <c r="AF14" s="127">
        <v>8</v>
      </c>
      <c r="AG14" s="127">
        <v>8</v>
      </c>
      <c r="AH14" s="127">
        <v>8</v>
      </c>
      <c r="AI14" s="127"/>
      <c r="AJ14" s="127">
        <v>8</v>
      </c>
      <c r="AK14" s="228">
        <f t="shared" ref="AK14" si="4">((SUM(F14:AJ14))/8)-(SUMIF($F$6:$AJ$6,"C.Nhật",F14:AJ14)/8)</f>
        <v>26</v>
      </c>
      <c r="AL14" s="228">
        <f t="shared" ref="AL14" si="5">SUM(F15:AJ15)/8*1.5</f>
        <v>0</v>
      </c>
      <c r="AM14" s="230">
        <f>SUMIF($F$6:$AJ$6,"C.Nhật",$F14:$AJ15)/8*2</f>
        <v>0</v>
      </c>
      <c r="AN14" s="224">
        <f t="shared" ref="AN14" si="6">SUM(AK14:AM15)</f>
        <v>26</v>
      </c>
      <c r="AO14" s="232">
        <v>0</v>
      </c>
      <c r="AP14" s="224"/>
      <c r="AQ14" s="224"/>
      <c r="AR14" s="224"/>
      <c r="AS14" s="226"/>
      <c r="AT14" s="1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3" customFormat="1" ht="18" customHeight="1">
      <c r="A15" s="235"/>
      <c r="B15" s="235"/>
      <c r="C15" s="237"/>
      <c r="D15" s="239"/>
      <c r="E15" s="55" t="s">
        <v>29</v>
      </c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229"/>
      <c r="AL15" s="229"/>
      <c r="AM15" s="231"/>
      <c r="AN15" s="225"/>
      <c r="AO15" s="233"/>
      <c r="AP15" s="225"/>
      <c r="AQ15" s="225"/>
      <c r="AR15" s="225"/>
      <c r="AS15" s="227"/>
      <c r="AT15" s="1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3" customFormat="1" ht="18" customHeight="1">
      <c r="A16" s="234">
        <v>3</v>
      </c>
      <c r="B16" s="234" t="s">
        <v>77</v>
      </c>
      <c r="C16" s="236" t="str">
        <f>VLOOKUP(B16,DS,2,0)</f>
        <v>Cao Minh Chí</v>
      </c>
      <c r="D16" s="238" t="str">
        <f>VLOOKUP(B16,DS,3,0)</f>
        <v>Công Đoạn 2</v>
      </c>
      <c r="E16" s="54" t="s">
        <v>30</v>
      </c>
      <c r="F16" s="127">
        <v>8</v>
      </c>
      <c r="G16" s="127"/>
      <c r="H16" s="127">
        <v>8</v>
      </c>
      <c r="I16" s="127">
        <v>8</v>
      </c>
      <c r="J16" s="127">
        <v>8</v>
      </c>
      <c r="K16" s="127">
        <v>8</v>
      </c>
      <c r="L16" s="127">
        <v>8</v>
      </c>
      <c r="M16" s="127">
        <v>8</v>
      </c>
      <c r="N16" s="127"/>
      <c r="O16" s="127">
        <v>8</v>
      </c>
      <c r="P16" s="127">
        <v>8</v>
      </c>
      <c r="Q16" s="127">
        <v>8</v>
      </c>
      <c r="R16" s="127">
        <v>8</v>
      </c>
      <c r="S16" s="127">
        <v>8</v>
      </c>
      <c r="T16" s="127">
        <v>8</v>
      </c>
      <c r="U16" s="127"/>
      <c r="V16" s="127">
        <v>8</v>
      </c>
      <c r="W16" s="127">
        <v>8</v>
      </c>
      <c r="X16" s="127">
        <v>8</v>
      </c>
      <c r="Y16" s="127">
        <v>8</v>
      </c>
      <c r="Z16" s="127">
        <v>8</v>
      </c>
      <c r="AA16" s="127">
        <v>8</v>
      </c>
      <c r="AB16" s="127"/>
      <c r="AC16" s="127">
        <v>8</v>
      </c>
      <c r="AD16" s="127">
        <v>8</v>
      </c>
      <c r="AE16" s="127">
        <v>8</v>
      </c>
      <c r="AF16" s="127">
        <v>8</v>
      </c>
      <c r="AG16" s="127">
        <v>8</v>
      </c>
      <c r="AH16" s="127">
        <v>8</v>
      </c>
      <c r="AI16" s="127"/>
      <c r="AJ16" s="127">
        <v>8</v>
      </c>
      <c r="AK16" s="228">
        <f t="shared" ref="AK16" si="7">((SUM(F16:AJ16))/8)-(SUMIF($F$6:$AJ$6,"C.Nhật",F16:AJ16)/8)</f>
        <v>26</v>
      </c>
      <c r="AL16" s="228">
        <f t="shared" ref="AL16" si="8">SUM(F17:AJ17)/8*1.5</f>
        <v>0</v>
      </c>
      <c r="AM16" s="230">
        <f>SUMIF($F$6:$AJ$6,"C.Nhật",$F16:$AJ17)/8*2</f>
        <v>0</v>
      </c>
      <c r="AN16" s="224">
        <f t="shared" ref="AN16" si="9">SUM(AK16:AM17)</f>
        <v>26</v>
      </c>
      <c r="AO16" s="232">
        <v>0</v>
      </c>
      <c r="AP16" s="224"/>
      <c r="AQ16" s="224"/>
      <c r="AR16" s="224"/>
      <c r="AS16" s="226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3" customFormat="1" ht="18" customHeight="1">
      <c r="A17" s="235"/>
      <c r="B17" s="235"/>
      <c r="C17" s="237"/>
      <c r="D17" s="239"/>
      <c r="E17" s="55" t="s">
        <v>29</v>
      </c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229"/>
      <c r="AL17" s="229"/>
      <c r="AM17" s="231"/>
      <c r="AN17" s="225"/>
      <c r="AO17" s="233"/>
      <c r="AP17" s="225"/>
      <c r="AQ17" s="225"/>
      <c r="AR17" s="225"/>
      <c r="AS17" s="227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3" customFormat="1" ht="18" customHeight="1">
      <c r="A18" s="234">
        <v>4</v>
      </c>
      <c r="B18" s="234" t="s">
        <v>81</v>
      </c>
      <c r="C18" s="236" t="str">
        <f>VLOOKUP(B18,DS,2,0)</f>
        <v>Nguyễn Thị Sự</v>
      </c>
      <c r="D18" s="238" t="str">
        <f>VLOOKUP(B18,DS,3,0)</f>
        <v>Công Đoạn 2</v>
      </c>
      <c r="E18" s="54" t="s">
        <v>30</v>
      </c>
      <c r="F18" s="127">
        <v>8</v>
      </c>
      <c r="G18" s="127"/>
      <c r="H18" s="127">
        <v>8</v>
      </c>
      <c r="I18" s="127">
        <v>8</v>
      </c>
      <c r="J18" s="127">
        <v>8</v>
      </c>
      <c r="K18" s="127">
        <v>8</v>
      </c>
      <c r="L18" s="127">
        <v>8</v>
      </c>
      <c r="M18" s="127">
        <v>8</v>
      </c>
      <c r="N18" s="127"/>
      <c r="O18" s="127">
        <v>8</v>
      </c>
      <c r="P18" s="127">
        <v>8</v>
      </c>
      <c r="Q18" s="127">
        <v>8</v>
      </c>
      <c r="R18" s="127">
        <v>8</v>
      </c>
      <c r="S18" s="127">
        <v>8</v>
      </c>
      <c r="T18" s="127">
        <v>8</v>
      </c>
      <c r="U18" s="127"/>
      <c r="V18" s="127">
        <v>8</v>
      </c>
      <c r="W18" s="127">
        <v>8</v>
      </c>
      <c r="X18" s="127">
        <v>8</v>
      </c>
      <c r="Y18" s="127">
        <v>8</v>
      </c>
      <c r="Z18" s="127">
        <v>8</v>
      </c>
      <c r="AA18" s="127">
        <v>8</v>
      </c>
      <c r="AB18" s="127"/>
      <c r="AC18" s="127">
        <v>8</v>
      </c>
      <c r="AD18" s="127">
        <v>8</v>
      </c>
      <c r="AE18" s="127">
        <v>8</v>
      </c>
      <c r="AF18" s="127">
        <v>8</v>
      </c>
      <c r="AG18" s="127">
        <v>8</v>
      </c>
      <c r="AH18" s="127">
        <v>8</v>
      </c>
      <c r="AI18" s="127"/>
      <c r="AJ18" s="127">
        <v>8</v>
      </c>
      <c r="AK18" s="228">
        <f t="shared" ref="AK18" si="10">((SUM(F18:AJ18))/8)-(SUMIF($F$6:$AJ$6,"C.Nhật",F18:AJ18)/8)</f>
        <v>26</v>
      </c>
      <c r="AL18" s="228">
        <f t="shared" ref="AL18" si="11">SUM(F19:AJ19)/8*1.5</f>
        <v>0</v>
      </c>
      <c r="AM18" s="230">
        <f>SUMIF($F$6:$AJ$6,"C.Nhật",$F18:$AJ19)/8*2</f>
        <v>0</v>
      </c>
      <c r="AN18" s="224">
        <f t="shared" ref="AN18" si="12">SUM(AK18:AM19)</f>
        <v>26</v>
      </c>
      <c r="AO18" s="232">
        <v>0</v>
      </c>
      <c r="AP18" s="224"/>
      <c r="AQ18" s="224"/>
      <c r="AR18" s="224"/>
      <c r="AS18" s="226"/>
      <c r="AT18" s="1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3" customFormat="1" ht="18" customHeight="1">
      <c r="A19" s="235"/>
      <c r="B19" s="235"/>
      <c r="C19" s="237"/>
      <c r="D19" s="239"/>
      <c r="E19" s="55" t="s">
        <v>29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229"/>
      <c r="AL19" s="229"/>
      <c r="AM19" s="231"/>
      <c r="AN19" s="225"/>
      <c r="AO19" s="233"/>
      <c r="AP19" s="225"/>
      <c r="AQ19" s="225"/>
      <c r="AR19" s="225"/>
      <c r="AS19" s="227"/>
      <c r="AT19" s="1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6" customFormat="1" ht="12.75">
      <c r="A20" s="14"/>
      <c r="B20" s="57"/>
      <c r="C20" s="4"/>
      <c r="D20" s="98"/>
      <c r="E20" s="4"/>
      <c r="F20" s="61"/>
      <c r="G20" s="61"/>
      <c r="H20" s="58"/>
      <c r="I20" s="58"/>
      <c r="J20" s="104"/>
      <c r="K20" s="61"/>
      <c r="L20" s="58"/>
      <c r="M20" s="61"/>
      <c r="N20" s="61"/>
      <c r="O20" s="61"/>
      <c r="P20" s="61"/>
      <c r="Q20" s="58"/>
      <c r="R20" s="61"/>
      <c r="S20" s="61"/>
      <c r="T20" s="104"/>
      <c r="U20" s="61"/>
      <c r="V20" s="61"/>
      <c r="W20" s="61"/>
      <c r="X20" s="57"/>
      <c r="Y20" s="61"/>
      <c r="Z20" s="61"/>
      <c r="AA20" s="61"/>
      <c r="AB20" s="61"/>
      <c r="AC20" s="61"/>
      <c r="AD20" s="58"/>
      <c r="AE20" s="61"/>
      <c r="AF20" s="61"/>
      <c r="AG20" s="61"/>
      <c r="AH20" s="61"/>
      <c r="AI20" s="61"/>
      <c r="AJ20" s="61"/>
      <c r="AK20" s="4"/>
      <c r="AL20" s="4"/>
      <c r="AM20" s="84"/>
      <c r="AN20" s="60"/>
      <c r="AO20" s="60"/>
      <c r="AP20" s="60"/>
      <c r="AQ20" s="60"/>
      <c r="AR20" s="60"/>
      <c r="AS20" s="4"/>
      <c r="AT20" s="90"/>
    </row>
    <row r="21" spans="1:91" s="56" customFormat="1" ht="12.75">
      <c r="A21" s="14"/>
      <c r="B21" s="57"/>
      <c r="C21" s="14" t="s">
        <v>14</v>
      </c>
      <c r="D21" s="98"/>
      <c r="E21" s="4"/>
      <c r="F21" s="61"/>
      <c r="G21" s="61"/>
      <c r="H21" s="58"/>
      <c r="I21" s="58"/>
      <c r="J21" s="104"/>
      <c r="K21" s="61"/>
      <c r="L21" s="58"/>
      <c r="M21" s="61"/>
      <c r="N21" s="61"/>
      <c r="O21" s="61"/>
      <c r="P21" s="61"/>
      <c r="Q21" s="58"/>
      <c r="R21" s="61"/>
      <c r="S21" s="61"/>
      <c r="T21" s="104"/>
      <c r="U21" s="61"/>
      <c r="V21" s="61"/>
      <c r="W21" s="61"/>
      <c r="X21" s="57"/>
      <c r="Y21" s="61"/>
      <c r="Z21" s="61"/>
      <c r="AA21" s="61"/>
      <c r="AB21" s="61"/>
      <c r="AC21" s="61"/>
      <c r="AD21" s="58"/>
      <c r="AE21" s="61"/>
      <c r="AF21" s="61"/>
      <c r="AG21" s="61"/>
      <c r="AH21" s="61"/>
      <c r="AI21" s="61"/>
      <c r="AJ21" s="61"/>
      <c r="AK21" s="4"/>
      <c r="AL21" s="4"/>
      <c r="AM21" s="84"/>
      <c r="AN21" s="60"/>
      <c r="AO21" s="60"/>
      <c r="AP21" s="60"/>
      <c r="AQ21" s="60"/>
      <c r="AR21" s="60"/>
      <c r="AS21" s="4"/>
      <c r="AT21" s="90"/>
    </row>
    <row r="22" spans="1:91" s="56" customFormat="1" ht="12.75">
      <c r="A22" s="12"/>
      <c r="B22" s="12"/>
      <c r="C22" s="4"/>
      <c r="D22" s="98"/>
      <c r="E22" s="4"/>
      <c r="F22" s="61"/>
      <c r="G22" s="61"/>
      <c r="H22" s="105"/>
      <c r="I22" s="105"/>
      <c r="J22" s="105"/>
      <c r="K22" s="61"/>
      <c r="L22" s="105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105"/>
      <c r="AE22" s="61"/>
      <c r="AF22" s="61"/>
      <c r="AG22" s="61"/>
      <c r="AH22" s="61"/>
      <c r="AI22" s="61"/>
      <c r="AJ22" s="61"/>
      <c r="AK22" s="4"/>
      <c r="AL22" s="4"/>
      <c r="AM22" s="84"/>
      <c r="AN22" s="62"/>
      <c r="AO22" s="62"/>
      <c r="AP22" s="62"/>
      <c r="AQ22" s="62"/>
      <c r="AR22" s="62"/>
      <c r="AS22" s="4"/>
      <c r="AT22" s="90"/>
    </row>
    <row r="23" spans="1:91" s="59" customFormat="1" ht="15" customHeight="1">
      <c r="A23" s="12"/>
      <c r="B23" s="12"/>
      <c r="C23" s="4"/>
      <c r="D23" s="98"/>
      <c r="E23" s="4"/>
      <c r="F23" s="61"/>
      <c r="G23" s="61"/>
      <c r="H23" s="105"/>
      <c r="I23" s="105"/>
      <c r="J23" s="105"/>
      <c r="K23" s="61"/>
      <c r="L23" s="105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105"/>
      <c r="AE23" s="61"/>
      <c r="AF23" s="61"/>
      <c r="AG23" s="61"/>
      <c r="AH23" s="61"/>
      <c r="AI23" s="61"/>
      <c r="AJ23" s="61"/>
      <c r="AK23" s="4"/>
      <c r="AL23" s="4"/>
      <c r="AM23" s="84"/>
      <c r="AN23" s="62"/>
      <c r="AO23" s="62"/>
      <c r="AP23" s="62"/>
      <c r="AQ23" s="62"/>
      <c r="AR23" s="62"/>
      <c r="AS23" s="4"/>
      <c r="AT23" s="4"/>
    </row>
    <row r="24" spans="1:91" s="59" customFormat="1" ht="11.25">
      <c r="A24" s="12"/>
      <c r="B24" s="12"/>
      <c r="C24" s="4"/>
      <c r="D24" s="98"/>
      <c r="E24" s="4"/>
      <c r="F24" s="61"/>
      <c r="G24" s="61"/>
      <c r="H24" s="105"/>
      <c r="I24" s="105"/>
      <c r="J24" s="105"/>
      <c r="K24" s="61"/>
      <c r="L24" s="105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105"/>
      <c r="AE24" s="61"/>
      <c r="AF24" s="61"/>
      <c r="AG24" s="61"/>
      <c r="AH24" s="61"/>
      <c r="AI24" s="61"/>
      <c r="AJ24" s="61"/>
      <c r="AK24" s="4"/>
      <c r="AL24" s="4"/>
      <c r="AM24" s="84"/>
      <c r="AN24" s="62"/>
      <c r="AO24" s="62"/>
      <c r="AP24" s="62"/>
      <c r="AQ24" s="62"/>
      <c r="AR24" s="62"/>
      <c r="AS24" s="4"/>
      <c r="AT24" s="4"/>
    </row>
    <row r="25" spans="1:91" s="59" customFormat="1" ht="11.25">
      <c r="A25" s="12"/>
      <c r="B25" s="12"/>
      <c r="C25" s="4"/>
      <c r="D25" s="98"/>
      <c r="E25" s="4"/>
      <c r="F25" s="61"/>
      <c r="G25" s="61"/>
      <c r="H25" s="105"/>
      <c r="I25" s="105"/>
      <c r="J25" s="105"/>
      <c r="K25" s="61"/>
      <c r="L25" s="105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105"/>
      <c r="AE25" s="61"/>
      <c r="AF25" s="61"/>
      <c r="AG25" s="61"/>
      <c r="AH25" s="61"/>
      <c r="AI25" s="61"/>
      <c r="AJ25" s="61"/>
      <c r="AK25" s="4"/>
      <c r="AL25" s="4"/>
      <c r="AM25" s="84"/>
      <c r="AN25" s="62"/>
      <c r="AO25" s="62"/>
      <c r="AP25" s="62"/>
      <c r="AQ25" s="62"/>
      <c r="AR25" s="62"/>
      <c r="AS25" s="4"/>
      <c r="AT25" s="4"/>
    </row>
    <row r="26" spans="1:91" s="59" customFormat="1" ht="11.25">
      <c r="A26" s="10"/>
      <c r="B26" s="10"/>
      <c r="C26" s="14"/>
      <c r="D26" s="99"/>
      <c r="E26" s="63"/>
      <c r="F26" s="104"/>
      <c r="G26" s="106"/>
      <c r="H26" s="58"/>
      <c r="I26" s="58"/>
      <c r="J26" s="58"/>
      <c r="K26" s="106"/>
      <c r="L26" s="58"/>
      <c r="M26" s="106"/>
      <c r="N26" s="106"/>
      <c r="O26" s="106"/>
      <c r="P26" s="106"/>
      <c r="Q26" s="58"/>
      <c r="R26" s="104"/>
      <c r="S26" s="106"/>
      <c r="T26" s="106"/>
      <c r="U26" s="58"/>
      <c r="V26" s="106"/>
      <c r="W26" s="106"/>
      <c r="X26" s="58"/>
      <c r="Y26" s="106"/>
      <c r="Z26" s="106"/>
      <c r="AA26" s="106"/>
      <c r="AB26" s="106"/>
      <c r="AC26" s="106"/>
      <c r="AD26" s="58"/>
      <c r="AE26" s="106"/>
      <c r="AF26" s="106"/>
      <c r="AG26" s="106"/>
      <c r="AH26" s="106"/>
      <c r="AI26" s="106"/>
      <c r="AJ26" s="106"/>
      <c r="AK26" s="63"/>
      <c r="AM26" s="85"/>
      <c r="AN26" s="10"/>
      <c r="AO26" s="10"/>
      <c r="AP26" s="10"/>
      <c r="AQ26" s="10"/>
      <c r="AR26" s="10"/>
      <c r="AS26" s="14"/>
      <c r="AT26" s="4"/>
    </row>
    <row r="27" spans="1:91" s="59" customFormat="1" ht="12.75">
      <c r="A27" s="2"/>
      <c r="B27" s="2" t="s">
        <v>0</v>
      </c>
      <c r="C27" s="2"/>
      <c r="D27" s="188"/>
      <c r="E27" s="2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8"/>
      <c r="AI27" s="108"/>
      <c r="AJ27" s="108"/>
      <c r="AK27" s="2"/>
      <c r="AL27" s="2"/>
      <c r="AM27" s="86"/>
      <c r="AN27" s="2"/>
      <c r="AO27" s="2"/>
      <c r="AP27" s="2"/>
      <c r="AQ27" s="2"/>
      <c r="AR27" s="2"/>
      <c r="AS27" s="2"/>
      <c r="AT27" s="4"/>
    </row>
    <row r="28" spans="1:91" s="59" customFormat="1" ht="12.75">
      <c r="A28" s="2"/>
      <c r="B28" s="2"/>
      <c r="C28" s="2" t="s">
        <v>40</v>
      </c>
      <c r="D28" s="188"/>
      <c r="E28" s="2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8"/>
      <c r="AI28" s="108"/>
      <c r="AJ28" s="108"/>
      <c r="AK28" s="2"/>
      <c r="AL28" s="2"/>
      <c r="AM28" s="86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41</v>
      </c>
    </row>
    <row r="30" spans="1:91" ht="15" customHeight="1">
      <c r="C30" s="2" t="s">
        <v>42</v>
      </c>
    </row>
    <row r="31" spans="1:91" s="188" customFormat="1" ht="15" customHeight="1">
      <c r="A31" s="2"/>
      <c r="B31" s="2"/>
      <c r="C31" s="2" t="s">
        <v>43</v>
      </c>
      <c r="E31" s="2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8"/>
      <c r="AI31" s="108"/>
      <c r="AJ31" s="108"/>
      <c r="AK31" s="2"/>
      <c r="AL31" s="2"/>
      <c r="AM31" s="86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88" customFormat="1" ht="15" customHeight="1">
      <c r="A32" s="2"/>
      <c r="B32" s="2"/>
      <c r="C32" s="2" t="s">
        <v>44</v>
      </c>
      <c r="E32" s="2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8"/>
      <c r="AI32" s="108"/>
      <c r="AJ32" s="108"/>
      <c r="AK32" s="2"/>
      <c r="AL32" s="2"/>
      <c r="AM32" s="86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88" customFormat="1" ht="15" customHeight="1">
      <c r="A33" s="2"/>
      <c r="B33" s="2"/>
      <c r="C33" s="2" t="s">
        <v>45</v>
      </c>
      <c r="E33" s="2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  <c r="AI33" s="108"/>
      <c r="AJ33" s="108"/>
      <c r="AK33" s="2"/>
      <c r="AL33" s="2"/>
      <c r="AM33" s="86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88" customFormat="1" ht="15" customHeight="1">
      <c r="A34" s="2"/>
      <c r="B34" s="2"/>
      <c r="C34" s="2" t="s">
        <v>46</v>
      </c>
      <c r="E34" s="2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8"/>
      <c r="AI34" s="108"/>
      <c r="AJ34" s="108"/>
      <c r="AK34" s="2"/>
      <c r="AL34" s="2"/>
      <c r="AM34" s="86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88" customFormat="1" ht="15" customHeight="1">
      <c r="A35" s="2"/>
      <c r="B35" s="2"/>
      <c r="C35" s="2" t="s">
        <v>47</v>
      </c>
      <c r="E35" s="2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8"/>
      <c r="AI35" s="108"/>
      <c r="AJ35" s="108"/>
      <c r="AK35" s="2"/>
      <c r="AL35" s="2"/>
      <c r="AM35" s="86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88" customFormat="1" ht="15" customHeight="1">
      <c r="A36" s="2"/>
      <c r="B36" s="2"/>
      <c r="C36" s="2" t="s">
        <v>48</v>
      </c>
      <c r="E36" s="2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8"/>
      <c r="AI36" s="108"/>
      <c r="AJ36" s="108"/>
      <c r="AK36" s="2"/>
      <c r="AL36" s="2"/>
      <c r="AM36" s="86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Q14:AQ15"/>
    <mergeCell ref="AR14:AR15"/>
    <mergeCell ref="AS14:AS15"/>
    <mergeCell ref="A18:A19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  <mergeCell ref="AQ18:AQ19"/>
    <mergeCell ref="B18:B19"/>
    <mergeCell ref="C18:C19"/>
    <mergeCell ref="D18:D19"/>
    <mergeCell ref="AK18:AK19"/>
    <mergeCell ref="AL18:AL19"/>
    <mergeCell ref="AR18:AR19"/>
    <mergeCell ref="AS18:AS19"/>
    <mergeCell ref="D12:D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AM18:AM19"/>
    <mergeCell ref="AN18:AN19"/>
    <mergeCell ref="AO18:AO19"/>
    <mergeCell ref="AP18:AP19"/>
    <mergeCell ref="AL16:AL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2:B13"/>
    <mergeCell ref="C12:C13"/>
    <mergeCell ref="A16:A17"/>
    <mergeCell ref="B16:B17"/>
    <mergeCell ref="C16:C17"/>
    <mergeCell ref="D16:D17"/>
    <mergeCell ref="AK16:AK17"/>
    <mergeCell ref="AR16:AR17"/>
    <mergeCell ref="AS16:AS17"/>
    <mergeCell ref="AM16:AM17"/>
    <mergeCell ref="AN16:AN17"/>
    <mergeCell ref="AO16:AO17"/>
    <mergeCell ref="AP16:AP17"/>
    <mergeCell ref="AQ16:AQ17"/>
  </mergeCells>
  <conditionalFormatting sqref="F5:AJ6 F9:AJ10 F12:AJ15 F18:AJ19">
    <cfRule type="expression" dxfId="14" priority="39" stopIfTrue="1">
      <formula>IF(WEEKDAY(F$5)=1,TRUE,FALSE)</formula>
    </cfRule>
  </conditionalFormatting>
  <conditionalFormatting sqref="F9:AJ10">
    <cfRule type="expression" dxfId="13" priority="38" stopIfTrue="1">
      <formula>IF(WEEKDAY(F$5)=1,TRUE,FALSE)</formula>
    </cfRule>
  </conditionalFormatting>
  <conditionalFormatting sqref="F16:AJ17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G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5" sqref="A15:B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7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3"/>
      <c r="B1" s="191"/>
      <c r="C1" s="191"/>
      <c r="D1" s="258" t="str">
        <f>"BẢNG THANH TOÁN LƯƠNG THÁNG"&amp;" "&amp;TEXT($E$4,"mm")&amp;" / "&amp;TEXT($E$4,"yyyy")</f>
        <v>BẢNG THANH TOÁN LƯƠNG THÁNG 10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78</v>
      </c>
      <c r="S1" s="261"/>
      <c r="T1" s="262"/>
      <c r="U1" s="114" t="s">
        <v>51</v>
      </c>
      <c r="V1" s="96" t="s">
        <v>33</v>
      </c>
      <c r="W1" s="69"/>
      <c r="X1" s="69"/>
      <c r="Y1" s="5"/>
      <c r="Z1" s="5"/>
    </row>
    <row r="2" spans="1:31" s="4" customFormat="1" ht="15" customHeight="1">
      <c r="A2" s="123"/>
      <c r="B2" s="191"/>
      <c r="C2" s="191"/>
      <c r="D2" s="191"/>
      <c r="E2" s="67"/>
      <c r="F2" s="191"/>
      <c r="G2" s="191"/>
      <c r="H2" s="191"/>
      <c r="I2" s="191"/>
      <c r="J2" s="68"/>
      <c r="K2" s="191"/>
      <c r="L2" s="191"/>
      <c r="M2" s="191"/>
      <c r="N2" s="191"/>
      <c r="O2" s="191"/>
      <c r="P2" s="191"/>
      <c r="Q2" s="191"/>
      <c r="R2" s="191"/>
      <c r="S2" s="191"/>
      <c r="T2" s="45"/>
      <c r="U2" s="66">
        <f>MAX(F10:F19)</f>
        <v>26</v>
      </c>
      <c r="V2" s="97">
        <v>31</v>
      </c>
      <c r="W2" s="69"/>
      <c r="X2" s="69"/>
      <c r="Y2" s="5"/>
      <c r="Z2" s="5"/>
    </row>
    <row r="3" spans="1:31" s="4" customFormat="1" ht="15" customHeight="1">
      <c r="A3" s="123"/>
      <c r="B3" s="191"/>
      <c r="C3" s="191"/>
      <c r="D3" s="191"/>
      <c r="E3" s="67"/>
      <c r="F3" s="191"/>
      <c r="G3" s="191"/>
      <c r="H3" s="191"/>
      <c r="I3" s="191"/>
      <c r="J3" s="68"/>
      <c r="K3" s="191"/>
      <c r="L3" s="191"/>
      <c r="M3" s="191"/>
      <c r="N3" s="191"/>
      <c r="O3" s="191"/>
      <c r="P3" s="191"/>
      <c r="Q3" s="191"/>
      <c r="R3" s="191"/>
      <c r="S3" s="191"/>
      <c r="T3" s="45"/>
      <c r="U3" s="115"/>
      <c r="V3" s="116"/>
      <c r="W3" s="69"/>
      <c r="X3" s="69"/>
      <c r="Y3" s="5"/>
      <c r="Z3" s="5"/>
    </row>
    <row r="4" spans="1:31" s="91" customFormat="1" ht="14.25" customHeight="1">
      <c r="A4" s="89"/>
      <c r="B4" s="90"/>
      <c r="C4" s="90"/>
      <c r="D4" s="90"/>
      <c r="E4" s="170">
        <f>'CC -10'!$E$4</f>
        <v>42644</v>
      </c>
      <c r="F4" s="90"/>
      <c r="G4" s="90"/>
      <c r="H4" s="90"/>
      <c r="I4" s="90"/>
      <c r="J4" s="90"/>
      <c r="K4" s="90"/>
      <c r="L4" s="90"/>
      <c r="M4" s="90"/>
      <c r="N4" s="145">
        <v>0.08</v>
      </c>
      <c r="O4" s="145">
        <v>1.4999999999999999E-2</v>
      </c>
      <c r="P4" s="145">
        <v>0.01</v>
      </c>
      <c r="Q4" s="90"/>
      <c r="R4" s="90"/>
      <c r="S4" s="90"/>
      <c r="T4" s="90"/>
      <c r="U4" s="90"/>
      <c r="V4" s="92"/>
      <c r="W4" s="92"/>
      <c r="X4" s="92"/>
      <c r="Y4" s="92"/>
      <c r="Z4" s="92"/>
    </row>
    <row r="5" spans="1:31" s="22" customFormat="1" ht="24" customHeight="1">
      <c r="A5" s="263" t="s">
        <v>19</v>
      </c>
      <c r="B5" s="263" t="s">
        <v>20</v>
      </c>
      <c r="C5" s="217" t="s">
        <v>1</v>
      </c>
      <c r="D5" s="217" t="s">
        <v>2</v>
      </c>
      <c r="E5" s="220" t="s">
        <v>49</v>
      </c>
      <c r="F5" s="265" t="s">
        <v>24</v>
      </c>
      <c r="G5" s="266"/>
      <c r="H5" s="266"/>
      <c r="I5" s="266"/>
      <c r="J5" s="266"/>
      <c r="K5" s="267"/>
      <c r="L5" s="254" t="s">
        <v>50</v>
      </c>
      <c r="M5" s="254" t="s">
        <v>5</v>
      </c>
      <c r="N5" s="217" t="s">
        <v>6</v>
      </c>
      <c r="O5" s="217"/>
      <c r="P5" s="217"/>
      <c r="Q5" s="254" t="s">
        <v>7</v>
      </c>
      <c r="R5" s="254" t="s">
        <v>8</v>
      </c>
      <c r="S5" s="254" t="s">
        <v>9</v>
      </c>
      <c r="T5" s="218" t="s">
        <v>10</v>
      </c>
      <c r="U5" s="90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64"/>
      <c r="B6" s="264"/>
      <c r="C6" s="217"/>
      <c r="D6" s="217"/>
      <c r="E6" s="220"/>
      <c r="F6" s="265" t="s">
        <v>52</v>
      </c>
      <c r="G6" s="267"/>
      <c r="H6" s="265" t="s">
        <v>71</v>
      </c>
      <c r="I6" s="266"/>
      <c r="J6" s="252" t="s">
        <v>25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31</v>
      </c>
      <c r="Q6" s="255"/>
      <c r="R6" s="255"/>
      <c r="S6" s="255"/>
      <c r="T6" s="219"/>
      <c r="U6" s="90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64"/>
      <c r="B7" s="264"/>
      <c r="C7" s="254"/>
      <c r="D7" s="254"/>
      <c r="E7" s="220"/>
      <c r="F7" s="192" t="s">
        <v>34</v>
      </c>
      <c r="G7" s="189" t="s">
        <v>18</v>
      </c>
      <c r="H7" s="192" t="s">
        <v>34</v>
      </c>
      <c r="I7" s="112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9"/>
      <c r="U7" s="90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1" customFormat="1" ht="12.75" customHeight="1">
      <c r="A8" s="70">
        <v>1</v>
      </c>
      <c r="B8" s="70">
        <v>1</v>
      </c>
      <c r="C8" s="70">
        <v>2</v>
      </c>
      <c r="D8" s="70">
        <v>3</v>
      </c>
      <c r="E8" s="70">
        <v>4</v>
      </c>
      <c r="F8" s="70">
        <v>5</v>
      </c>
      <c r="G8" s="70">
        <v>6</v>
      </c>
      <c r="H8" s="70">
        <v>7</v>
      </c>
      <c r="I8" s="70">
        <v>8</v>
      </c>
      <c r="J8" s="70">
        <v>9</v>
      </c>
      <c r="K8" s="70">
        <v>10</v>
      </c>
      <c r="L8" s="70">
        <v>11</v>
      </c>
      <c r="M8" s="70">
        <v>12</v>
      </c>
      <c r="N8" s="70">
        <v>13</v>
      </c>
      <c r="O8" s="70">
        <v>14</v>
      </c>
      <c r="P8" s="70">
        <v>15</v>
      </c>
      <c r="Q8" s="70">
        <v>16</v>
      </c>
      <c r="R8" s="70">
        <v>17</v>
      </c>
      <c r="S8" s="70">
        <v>18</v>
      </c>
      <c r="T8" s="70">
        <v>19</v>
      </c>
      <c r="U8" s="90"/>
      <c r="V8" s="72"/>
      <c r="W8" s="72"/>
      <c r="X8" s="73"/>
      <c r="Y8" s="73"/>
      <c r="Z8" s="73"/>
      <c r="AA8" s="74"/>
      <c r="AB8" s="74"/>
      <c r="AC8" s="74"/>
      <c r="AD8" s="74"/>
      <c r="AE8" s="74"/>
    </row>
    <row r="9" spans="1:31" s="71" customFormat="1" ht="24" customHeight="1">
      <c r="A9" s="169" t="s">
        <v>68</v>
      </c>
      <c r="B9" s="168" t="s">
        <v>79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90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28" customFormat="1" ht="24" customHeight="1">
      <c r="A10" s="30">
        <v>1</v>
      </c>
      <c r="B10" s="125" t="s">
        <v>74</v>
      </c>
      <c r="C10" s="75" t="str">
        <f t="shared" ref="C10" si="0">VLOOKUP(B10,DS,2,0)</f>
        <v>Nguyễn Thị Kim Quyên</v>
      </c>
      <c r="D10" s="100" t="str">
        <f t="shared" ref="D10" si="1">VLOOKUP(B10,DS,3,0)</f>
        <v>Văn Phòng</v>
      </c>
      <c r="E10" s="76">
        <f t="shared" ref="E10" si="2">VLOOKUP(B10,DS,4,0)</f>
        <v>4000000</v>
      </c>
      <c r="F10" s="78">
        <f>VLOOKUP(B10,'CC -10'!$B$8:$AS$19,36,0)</f>
        <v>26</v>
      </c>
      <c r="G10" s="129">
        <f t="shared" ref="G10" si="3">ROUND(E10/$U$2*F10,0)</f>
        <v>4000000</v>
      </c>
      <c r="H10" s="78">
        <f>(VLOOKUP(B10,'CC -10'!$B$8:$AS$19,37,0)+VLOOKUP(B10,'CC -10'!$B$8:$AS$19,38,0))</f>
        <v>0</v>
      </c>
      <c r="I10" s="129">
        <f t="shared" ref="I10" si="4">ROUND(E10/$U$2*H10,0)</f>
        <v>0</v>
      </c>
      <c r="J10" s="79">
        <f t="shared" ref="J10" si="5">F10+H10</f>
        <v>26</v>
      </c>
      <c r="K10" s="31">
        <f>G10+I10</f>
        <v>4000000</v>
      </c>
      <c r="L10" s="76">
        <f t="shared" ref="L10" si="6">+F10*15000</f>
        <v>390000</v>
      </c>
      <c r="M10" s="32">
        <f t="shared" ref="M10" si="7">K10+L10</f>
        <v>4390000</v>
      </c>
      <c r="N10" s="32">
        <f>IF(VLOOKUP($B10,DS,27,0)="x",$E10*N$4,0)</f>
        <v>0</v>
      </c>
      <c r="O10" s="32">
        <f>IF(VLOOKUP($B10,DS,27,0)="x",$E10*O$4,0)</f>
        <v>0</v>
      </c>
      <c r="P10" s="32">
        <f>IF(VLOOKUP($B10,DS,27,0)="x",$E10*P$4,0)</f>
        <v>0</v>
      </c>
      <c r="Q10" s="31">
        <f t="shared" ref="Q10" si="8">M10-SUM(N10:P10)</f>
        <v>4390000</v>
      </c>
      <c r="R10" s="31">
        <f>VLOOKUP(B10,DS,23,0)</f>
        <v>0</v>
      </c>
      <c r="S10" s="37">
        <f t="shared" ref="S10" si="9">Q10-R10</f>
        <v>4390000</v>
      </c>
      <c r="T10" s="31"/>
      <c r="U10" s="90"/>
      <c r="V10" s="29"/>
      <c r="W10" s="23"/>
      <c r="X10" s="5"/>
      <c r="Y10" s="5"/>
      <c r="Z10" s="5"/>
      <c r="AA10" s="4"/>
      <c r="AB10" s="4"/>
      <c r="AC10" s="4"/>
      <c r="AD10" s="4"/>
      <c r="AE10" s="4"/>
    </row>
    <row r="11" spans="1:31" s="28" customFormat="1" ht="24" customHeight="1">
      <c r="A11" s="177"/>
      <c r="B11" s="178"/>
      <c r="C11" s="179"/>
      <c r="D11" s="180"/>
      <c r="E11" s="181"/>
      <c r="F11" s="182"/>
      <c r="G11" s="183"/>
      <c r="H11" s="182"/>
      <c r="I11" s="183"/>
      <c r="J11" s="184"/>
      <c r="K11" s="185"/>
      <c r="L11" s="181"/>
      <c r="M11" s="186"/>
      <c r="N11" s="186"/>
      <c r="O11" s="186"/>
      <c r="P11" s="186"/>
      <c r="Q11" s="185"/>
      <c r="R11" s="185"/>
      <c r="S11" s="187"/>
      <c r="T11" s="185"/>
      <c r="U11" s="90"/>
      <c r="V11" s="29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08" t="s">
        <v>23</v>
      </c>
      <c r="B12" s="209"/>
      <c r="C12" s="209"/>
      <c r="D12" s="210"/>
      <c r="E12" s="124">
        <f>SUM(E9:E10)</f>
        <v>4000000</v>
      </c>
      <c r="F12" s="124"/>
      <c r="G12" s="124">
        <f>SUM(G9:G10)</f>
        <v>4000000</v>
      </c>
      <c r="H12" s="124"/>
      <c r="I12" s="124">
        <f>SUM(I9:I10)</f>
        <v>0</v>
      </c>
      <c r="J12" s="124"/>
      <c r="K12" s="124">
        <f t="shared" ref="K12:S12" si="10">SUM(K9:K10)</f>
        <v>4000000</v>
      </c>
      <c r="L12" s="124">
        <f t="shared" si="10"/>
        <v>390000</v>
      </c>
      <c r="M12" s="124">
        <f t="shared" si="10"/>
        <v>4390000</v>
      </c>
      <c r="N12" s="124">
        <f t="shared" si="10"/>
        <v>0</v>
      </c>
      <c r="O12" s="124">
        <f t="shared" si="10"/>
        <v>0</v>
      </c>
      <c r="P12" s="124">
        <f t="shared" si="10"/>
        <v>0</v>
      </c>
      <c r="Q12" s="124">
        <f t="shared" si="10"/>
        <v>4390000</v>
      </c>
      <c r="R12" s="124">
        <f t="shared" si="10"/>
        <v>0</v>
      </c>
      <c r="S12" s="124">
        <f t="shared" si="10"/>
        <v>4390000</v>
      </c>
      <c r="T12" s="21"/>
      <c r="U12" s="90"/>
      <c r="V12" s="27"/>
      <c r="W12" s="27"/>
      <c r="X12" s="27"/>
      <c r="Y12" s="27"/>
      <c r="Z12" s="27"/>
    </row>
    <row r="13" spans="1:31" s="71" customFormat="1" ht="24" customHeight="1">
      <c r="A13" s="169" t="s">
        <v>69</v>
      </c>
      <c r="B13" s="168" t="s">
        <v>70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90"/>
      <c r="V13" s="72"/>
      <c r="W13" s="72"/>
      <c r="X13" s="73"/>
      <c r="Y13" s="73"/>
      <c r="Z13" s="73"/>
      <c r="AA13" s="74"/>
      <c r="AB13" s="74"/>
      <c r="AC13" s="74"/>
      <c r="AD13" s="74"/>
      <c r="AE13" s="74"/>
    </row>
    <row r="14" spans="1:31" s="28" customFormat="1" ht="24" customHeight="1">
      <c r="A14" s="30">
        <v>1</v>
      </c>
      <c r="B14" s="125" t="s">
        <v>75</v>
      </c>
      <c r="C14" s="75" t="str">
        <f t="shared" ref="C14:C17" si="11">VLOOKUP(B14,DS,2,0)</f>
        <v>Lê Văn Hữu</v>
      </c>
      <c r="D14" s="100" t="str">
        <f t="shared" ref="D14:D17" si="12">VLOOKUP(B14,DS,3,0)</f>
        <v>Công Đoạn 1</v>
      </c>
      <c r="E14" s="76">
        <f t="shared" ref="E14:E17" si="13">VLOOKUP(B14,DS,4,0)</f>
        <v>3200000</v>
      </c>
      <c r="F14" s="78">
        <f>VLOOKUP(B14,'CC -10'!$B$8:$AS$19,36,0)</f>
        <v>26</v>
      </c>
      <c r="G14" s="129">
        <f t="shared" ref="G14:G17" si="14">ROUND(E14/$U$2*F14,0)</f>
        <v>3200000</v>
      </c>
      <c r="H14" s="78">
        <f>(VLOOKUP(B14,'CC -10'!$B$8:$AS$19,37,0)+VLOOKUP(B14,'CC -10'!$B$8:$AS$19,38,0))</f>
        <v>0</v>
      </c>
      <c r="I14" s="129">
        <f t="shared" ref="I14:I17" si="15">ROUND(E14/$U$2*H14,0)</f>
        <v>0</v>
      </c>
      <c r="J14" s="130">
        <f t="shared" ref="J14:K17" si="16">F14+H14</f>
        <v>26</v>
      </c>
      <c r="K14" s="31">
        <f t="shared" si="16"/>
        <v>3200000</v>
      </c>
      <c r="L14" s="76">
        <f t="shared" ref="L14:L17" si="17">+F14*15000</f>
        <v>390000</v>
      </c>
      <c r="M14" s="32">
        <f t="shared" ref="M14:M17" si="18">K14+L14</f>
        <v>3590000</v>
      </c>
      <c r="N14" s="32">
        <f t="shared" ref="N14:P17" si="19">IF(VLOOKUP($B14,DS,27,0)="x",$E14*N$4,0)</f>
        <v>0</v>
      </c>
      <c r="O14" s="32">
        <f t="shared" si="19"/>
        <v>0</v>
      </c>
      <c r="P14" s="32">
        <f t="shared" si="19"/>
        <v>0</v>
      </c>
      <c r="Q14" s="31">
        <f>M14-SUM(N14:P14)</f>
        <v>3590000</v>
      </c>
      <c r="R14" s="31">
        <f t="shared" ref="R14:R17" si="20">VLOOKUP(B14,DS,23,0)</f>
        <v>0</v>
      </c>
      <c r="S14" s="37">
        <f>Q14-R14</f>
        <v>3590000</v>
      </c>
      <c r="T14" s="31"/>
      <c r="U14" s="90"/>
      <c r="V14" s="29"/>
      <c r="W14" s="23"/>
      <c r="X14" s="5"/>
      <c r="Y14" s="5"/>
      <c r="Z14" s="5"/>
      <c r="AA14" s="4"/>
      <c r="AB14" s="4"/>
      <c r="AC14" s="4"/>
      <c r="AD14" s="4"/>
      <c r="AE14" s="4"/>
    </row>
    <row r="15" spans="1:31" s="28" customFormat="1" ht="24" customHeight="1">
      <c r="A15" s="30">
        <v>2</v>
      </c>
      <c r="B15" s="125" t="s">
        <v>76</v>
      </c>
      <c r="C15" s="75" t="str">
        <f t="shared" ref="C15:C16" si="21">VLOOKUP(B15,DS,2,0)</f>
        <v>Phan Thị Sương</v>
      </c>
      <c r="D15" s="100" t="str">
        <f t="shared" ref="D15:D16" si="22">VLOOKUP(B15,DS,3,0)</f>
        <v>Công Đoạn 1</v>
      </c>
      <c r="E15" s="76">
        <f t="shared" ref="E15:E16" si="23">VLOOKUP(B15,DS,4,0)</f>
        <v>3000000</v>
      </c>
      <c r="F15" s="78">
        <f>VLOOKUP(B15,'CC -10'!$B$8:$AS$19,36,0)</f>
        <v>26</v>
      </c>
      <c r="G15" s="129">
        <f t="shared" ref="G15:G16" si="24">ROUND(E15/$U$2*F15,0)</f>
        <v>3000000</v>
      </c>
      <c r="H15" s="78">
        <f>(VLOOKUP(B15,'CC -10'!$B$8:$AS$19,37,0)+VLOOKUP(B15,'CC -10'!$B$8:$AS$19,38,0))</f>
        <v>0</v>
      </c>
      <c r="I15" s="129">
        <f t="shared" ref="I15:I16" si="25">ROUND(E15/$U$2*H15,0)</f>
        <v>0</v>
      </c>
      <c r="J15" s="130">
        <f t="shared" ref="J15:J16" si="26">F15+H15</f>
        <v>26</v>
      </c>
      <c r="K15" s="31">
        <f t="shared" ref="K15:K16" si="27">G15+I15</f>
        <v>3000000</v>
      </c>
      <c r="L15" s="76">
        <f t="shared" ref="L15:L16" si="28">+F15*15000</f>
        <v>390000</v>
      </c>
      <c r="M15" s="32">
        <f t="shared" ref="M15:M16" si="29">K15+L15</f>
        <v>3390000</v>
      </c>
      <c r="N15" s="32">
        <f t="shared" si="19"/>
        <v>0</v>
      </c>
      <c r="O15" s="32">
        <f t="shared" si="19"/>
        <v>0</v>
      </c>
      <c r="P15" s="32">
        <f t="shared" si="19"/>
        <v>0</v>
      </c>
      <c r="Q15" s="31">
        <f t="shared" ref="Q15:Q16" si="30">M15-SUM(N15:P15)</f>
        <v>3390000</v>
      </c>
      <c r="R15" s="31">
        <f t="shared" ref="R15:R16" si="31">VLOOKUP(B15,DS,23,0)</f>
        <v>0</v>
      </c>
      <c r="S15" s="37">
        <f t="shared" ref="S15:S16" si="32">Q15-R15</f>
        <v>3390000</v>
      </c>
      <c r="T15" s="31"/>
      <c r="U15" s="90"/>
      <c r="V15" s="29"/>
      <c r="W15" s="23"/>
      <c r="X15" s="5"/>
      <c r="Y15" s="5"/>
      <c r="Z15" s="5"/>
      <c r="AA15" s="4"/>
      <c r="AB15" s="4"/>
      <c r="AC15" s="4"/>
      <c r="AD15" s="4"/>
      <c r="AE15" s="4"/>
    </row>
    <row r="16" spans="1:31" s="28" customFormat="1" ht="24" customHeight="1">
      <c r="A16" s="30">
        <v>3</v>
      </c>
      <c r="B16" s="125" t="s">
        <v>77</v>
      </c>
      <c r="C16" s="75" t="str">
        <f t="shared" si="21"/>
        <v>Cao Minh Chí</v>
      </c>
      <c r="D16" s="100" t="str">
        <f t="shared" si="22"/>
        <v>Công Đoạn 2</v>
      </c>
      <c r="E16" s="76">
        <f t="shared" si="23"/>
        <v>3200000</v>
      </c>
      <c r="F16" s="78">
        <f>VLOOKUP(B16,'CC -10'!$B$8:$AS$19,36,0)</f>
        <v>26</v>
      </c>
      <c r="G16" s="129">
        <f t="shared" si="24"/>
        <v>3200000</v>
      </c>
      <c r="H16" s="78">
        <f>(VLOOKUP(B16,'CC -10'!$B$8:$AS$19,37,0)+VLOOKUP(B16,'CC -10'!$B$8:$AS$19,38,0))</f>
        <v>0</v>
      </c>
      <c r="I16" s="129">
        <f t="shared" si="25"/>
        <v>0</v>
      </c>
      <c r="J16" s="130">
        <f t="shared" si="26"/>
        <v>26</v>
      </c>
      <c r="K16" s="31">
        <f t="shared" si="27"/>
        <v>3200000</v>
      </c>
      <c r="L16" s="76">
        <f t="shared" si="28"/>
        <v>390000</v>
      </c>
      <c r="M16" s="32">
        <f t="shared" si="29"/>
        <v>3590000</v>
      </c>
      <c r="N16" s="32">
        <f t="shared" si="19"/>
        <v>0</v>
      </c>
      <c r="O16" s="32">
        <f t="shared" si="19"/>
        <v>0</v>
      </c>
      <c r="P16" s="32">
        <f t="shared" si="19"/>
        <v>0</v>
      </c>
      <c r="Q16" s="31">
        <f t="shared" si="30"/>
        <v>3590000</v>
      </c>
      <c r="R16" s="31">
        <f t="shared" si="31"/>
        <v>0</v>
      </c>
      <c r="S16" s="37">
        <f t="shared" si="32"/>
        <v>3590000</v>
      </c>
      <c r="T16" s="31"/>
      <c r="U16" s="90"/>
      <c r="V16" s="29"/>
      <c r="W16" s="23"/>
      <c r="X16" s="5"/>
      <c r="Y16" s="5"/>
      <c r="Z16" s="5"/>
      <c r="AA16" s="4"/>
      <c r="AB16" s="4"/>
      <c r="AC16" s="4"/>
      <c r="AD16" s="4"/>
      <c r="AE16" s="4"/>
    </row>
    <row r="17" spans="1:31" s="28" customFormat="1" ht="24" customHeight="1">
      <c r="A17" s="30">
        <v>4</v>
      </c>
      <c r="B17" s="125" t="s">
        <v>81</v>
      </c>
      <c r="C17" s="75" t="str">
        <f t="shared" si="11"/>
        <v>Nguyễn Thị Sự</v>
      </c>
      <c r="D17" s="100" t="str">
        <f t="shared" si="12"/>
        <v>Công Đoạn 2</v>
      </c>
      <c r="E17" s="76">
        <f t="shared" si="13"/>
        <v>3000000</v>
      </c>
      <c r="F17" s="78">
        <f>VLOOKUP(B17,'CC -10'!$B$8:$AS$19,36,0)</f>
        <v>26</v>
      </c>
      <c r="G17" s="129">
        <f t="shared" si="14"/>
        <v>3000000</v>
      </c>
      <c r="H17" s="78">
        <f>(VLOOKUP(B17,'CC -10'!$B$8:$AS$19,37,0)+VLOOKUP(B17,'CC -10'!$B$8:$AS$19,38,0))</f>
        <v>0</v>
      </c>
      <c r="I17" s="129">
        <f t="shared" si="15"/>
        <v>0</v>
      </c>
      <c r="J17" s="130">
        <f t="shared" si="16"/>
        <v>26</v>
      </c>
      <c r="K17" s="31">
        <f t="shared" si="16"/>
        <v>3000000</v>
      </c>
      <c r="L17" s="76">
        <f t="shared" si="17"/>
        <v>390000</v>
      </c>
      <c r="M17" s="32">
        <f t="shared" si="18"/>
        <v>3390000</v>
      </c>
      <c r="N17" s="32">
        <f t="shared" si="19"/>
        <v>0</v>
      </c>
      <c r="O17" s="32">
        <f t="shared" si="19"/>
        <v>0</v>
      </c>
      <c r="P17" s="32">
        <f t="shared" si="19"/>
        <v>0</v>
      </c>
      <c r="Q17" s="31">
        <f t="shared" ref="Q17" si="33">M17-SUM(N17:P17)</f>
        <v>3390000</v>
      </c>
      <c r="R17" s="31">
        <f t="shared" si="20"/>
        <v>0</v>
      </c>
      <c r="S17" s="37">
        <f t="shared" ref="S17" si="34">Q17-R17</f>
        <v>3390000</v>
      </c>
      <c r="T17" s="31"/>
      <c r="U17" s="90"/>
      <c r="V17" s="29"/>
      <c r="W17" s="23"/>
      <c r="X17" s="5"/>
      <c r="Y17" s="5"/>
      <c r="Z17" s="5"/>
      <c r="AA17" s="4"/>
      <c r="AB17" s="4"/>
      <c r="AC17" s="4"/>
      <c r="AD17" s="4"/>
      <c r="AE17" s="4"/>
    </row>
    <row r="18" spans="1:31" s="28" customFormat="1" ht="22.5" customHeight="1">
      <c r="A18" s="33"/>
      <c r="B18" s="166"/>
      <c r="C18" s="34"/>
      <c r="D18" s="3"/>
      <c r="E18" s="35"/>
      <c r="F18" s="35"/>
      <c r="G18" s="35"/>
      <c r="H18" s="35"/>
      <c r="I18" s="35"/>
      <c r="J18" s="36"/>
      <c r="K18" s="35"/>
      <c r="L18" s="35"/>
      <c r="M18" s="165"/>
      <c r="N18" s="35"/>
      <c r="O18" s="35"/>
      <c r="P18" s="35"/>
      <c r="Q18" s="35"/>
      <c r="R18" s="35"/>
      <c r="S18" s="35"/>
      <c r="T18" s="31"/>
      <c r="U18" s="90"/>
      <c r="V18" s="29"/>
      <c r="W18" s="29"/>
      <c r="X18" s="29"/>
      <c r="Y18" s="29"/>
      <c r="Z18" s="29"/>
    </row>
    <row r="19" spans="1:31" s="26" customFormat="1" ht="21" customHeight="1">
      <c r="A19" s="208" t="s">
        <v>23</v>
      </c>
      <c r="B19" s="209"/>
      <c r="C19" s="209"/>
      <c r="D19" s="210"/>
      <c r="E19" s="124">
        <f>SUM(E13:E18)</f>
        <v>12400000</v>
      </c>
      <c r="F19" s="124"/>
      <c r="G19" s="124">
        <f>SUM(G13:G18)</f>
        <v>12400000</v>
      </c>
      <c r="H19" s="124"/>
      <c r="I19" s="124">
        <f>SUM(I13:I18)</f>
        <v>0</v>
      </c>
      <c r="J19" s="124"/>
      <c r="K19" s="124">
        <f t="shared" ref="K19:S19" si="35">SUM(K13:K18)</f>
        <v>12400000</v>
      </c>
      <c r="L19" s="124">
        <f t="shared" si="35"/>
        <v>1560000</v>
      </c>
      <c r="M19" s="124">
        <f t="shared" si="35"/>
        <v>13960000</v>
      </c>
      <c r="N19" s="124">
        <f t="shared" si="35"/>
        <v>0</v>
      </c>
      <c r="O19" s="124">
        <f t="shared" si="35"/>
        <v>0</v>
      </c>
      <c r="P19" s="124">
        <f t="shared" si="35"/>
        <v>0</v>
      </c>
      <c r="Q19" s="124">
        <f t="shared" si="35"/>
        <v>13960000</v>
      </c>
      <c r="R19" s="124">
        <f t="shared" si="35"/>
        <v>0</v>
      </c>
      <c r="S19" s="124">
        <f t="shared" si="35"/>
        <v>13960000</v>
      </c>
      <c r="T19" s="21"/>
      <c r="U19" s="90"/>
      <c r="V19" s="27"/>
      <c r="W19" s="27"/>
      <c r="X19" s="27"/>
      <c r="Y19" s="27"/>
      <c r="Z19" s="27"/>
    </row>
    <row r="20" spans="1:31" ht="11.25" customHeight="1">
      <c r="A20" s="8"/>
      <c r="B20" s="8"/>
      <c r="C20" s="9"/>
      <c r="D20" s="101"/>
      <c r="E20" s="80"/>
      <c r="F20" s="9"/>
      <c r="G20" s="9"/>
      <c r="H20" s="9"/>
      <c r="I20" s="9"/>
      <c r="K20" s="9"/>
      <c r="L20" s="9"/>
      <c r="M20" s="88"/>
      <c r="N20" s="9"/>
      <c r="O20" s="9"/>
      <c r="P20" s="9"/>
      <c r="Q20" s="9"/>
      <c r="R20" s="9"/>
      <c r="S20" s="9"/>
      <c r="T20" s="9"/>
      <c r="U20" s="90"/>
    </row>
    <row r="21" spans="1:31" s="28" customFormat="1" ht="11.25" customHeight="1">
      <c r="A21" s="64"/>
      <c r="B21" s="64"/>
      <c r="C21" s="64"/>
      <c r="D21" s="117"/>
      <c r="E21" s="118"/>
      <c r="F21" s="64"/>
      <c r="G21" s="64"/>
      <c r="H21" s="64"/>
      <c r="I21" s="64"/>
      <c r="J21" s="119"/>
      <c r="K21" s="118"/>
      <c r="L21" s="64"/>
      <c r="M21" s="64"/>
      <c r="N21" s="64"/>
      <c r="O21" s="64"/>
      <c r="P21" s="64"/>
      <c r="Q21" s="64"/>
      <c r="R21" s="64"/>
      <c r="S21" s="94" t="str">
        <f>"Long An, ngày  "&amp;$V$2&amp;"   tháng   "&amp;TEXT($E$4,"mm")&amp;"   năm "&amp;TEXT($E$4,"yyyy")</f>
        <v>Long An, ngày  31   tháng   10   năm 2016</v>
      </c>
      <c r="T21" s="64"/>
      <c r="U21" s="120"/>
      <c r="V21" s="29"/>
      <c r="W21" s="29"/>
      <c r="X21" s="29"/>
      <c r="Y21" s="29"/>
      <c r="Z21" s="29"/>
    </row>
    <row r="22" spans="1:31" s="28" customFormat="1" ht="12.75">
      <c r="A22" s="24"/>
      <c r="B22" s="24"/>
      <c r="C22" s="24" t="s">
        <v>53</v>
      </c>
      <c r="D22" s="121"/>
      <c r="E22" s="65"/>
      <c r="F22" s="120"/>
      <c r="G22" s="65"/>
      <c r="H22" s="65"/>
      <c r="I22" s="65"/>
      <c r="J22" s="122"/>
      <c r="K22" s="29"/>
      <c r="L22" s="24"/>
      <c r="M22" s="131"/>
      <c r="N22" s="20"/>
      <c r="O22" s="20"/>
      <c r="P22" s="20"/>
      <c r="Q22" s="20"/>
      <c r="S22" s="120" t="s">
        <v>21</v>
      </c>
      <c r="T22" s="120"/>
      <c r="U22" s="120"/>
      <c r="V22" s="29"/>
      <c r="W22" s="29"/>
      <c r="X22" s="29"/>
      <c r="Y22" s="29"/>
      <c r="Z22" s="29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0"/>
    </row>
    <row r="24" spans="1:31" ht="12">
      <c r="C24" s="15"/>
      <c r="L24" s="15"/>
      <c r="T24" s="15"/>
      <c r="U24" s="90"/>
    </row>
    <row r="25" spans="1:31" ht="12">
      <c r="U25" s="90"/>
    </row>
    <row r="26" spans="1:31" ht="12">
      <c r="U26" s="90"/>
    </row>
    <row r="27" spans="1:31" ht="12">
      <c r="U27" s="90"/>
    </row>
    <row r="28" spans="1:31" ht="12">
      <c r="U28" s="90"/>
    </row>
    <row r="29" spans="1:31" ht="12">
      <c r="U29" s="90"/>
    </row>
    <row r="30" spans="1:31" ht="12">
      <c r="U30" s="90"/>
    </row>
  </sheetData>
  <protectedRanges>
    <protectedRange password="CC78" sqref="V18:IK19 C5:D7 B22:C22 V5:W9 A18:A23 B18:B21 B23 V13:W13 Q5:T7 E5:I6 D19 N5:P6 L5 L22 J6:K7 L7 A25:T58 U31:U58 N18:S18 V25:IK58 J18:L18 A59:IK65326 AF13:IK13 V12:IK12 D12 Q10:S11 W10:W11 AF5:IK11 A10:B12" name="Range1"/>
    <protectedRange password="CC78" sqref="F7:H7" name="Range1_4"/>
    <protectedRange password="CC78" sqref="V22:IK23 S22:T23 N22:Q23 E22:I23" name="Range1_1_1"/>
    <protectedRange password="CC78" sqref="U1 W1:IK3 V4:IK4 B4:T4 R2:S3 B1:Q3 U18:U30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7 Q14:S17 AF14:IK17 A14:B17" name="Range1_5"/>
    <protectedRange password="CC78" sqref="U14:U17 X14:AE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8" customWidth="1"/>
    <col min="5" max="5" width="7.140625" style="2" customWidth="1"/>
    <col min="6" max="33" width="3.42578125" style="107" customWidth="1"/>
    <col min="34" max="35" width="3.42578125" style="108" customWidth="1"/>
    <col min="36" max="36" width="3.42578125" style="108" hidden="1" customWidth="1"/>
    <col min="37" max="38" width="4.42578125" style="2" customWidth="1"/>
    <col min="39" max="39" width="5.5703125" style="86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3"/>
      <c r="B1" s="40"/>
      <c r="C1" s="40"/>
      <c r="D1" s="44"/>
      <c r="E1" s="40"/>
      <c r="F1" s="44"/>
      <c r="G1" s="44"/>
      <c r="H1" s="44"/>
      <c r="I1" s="44"/>
      <c r="J1" s="44"/>
      <c r="K1" s="103"/>
      <c r="L1" s="103"/>
      <c r="M1" s="103"/>
      <c r="N1" s="103"/>
      <c r="O1" s="103"/>
      <c r="P1" s="103"/>
      <c r="Q1" s="103"/>
      <c r="R1" s="103"/>
      <c r="S1" s="42" t="str">
        <f>CONCATENATE("BẢNG CHẤM CÔNG THÁNG ",TEXT($E$4,"mm")," NĂM ",TEXT($E$4,"yyyy"))</f>
        <v>BẢNG CHẤM CÔNG THÁNG 11 NĂM 2016</v>
      </c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41"/>
      <c r="AL1" s="41"/>
      <c r="AM1" s="241" t="s">
        <v>78</v>
      </c>
      <c r="AN1" s="242"/>
      <c r="AO1" s="242"/>
      <c r="AP1" s="242"/>
      <c r="AQ1" s="242"/>
      <c r="AR1" s="242"/>
      <c r="AS1" s="243"/>
      <c r="AT1" s="43"/>
    </row>
    <row r="2" spans="1:91" ht="20.25">
      <c r="A2" s="123"/>
      <c r="B2" s="44"/>
      <c r="C2" s="44"/>
      <c r="D2" s="44"/>
      <c r="E2" s="44"/>
      <c r="F2" s="44"/>
      <c r="G2" s="44"/>
      <c r="H2" s="44"/>
      <c r="I2" s="44"/>
      <c r="J2" s="44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41"/>
      <c r="AL2" s="41"/>
      <c r="AM2" s="82"/>
      <c r="AN2" s="45"/>
      <c r="AO2" s="45"/>
      <c r="AP2" s="45"/>
      <c r="AQ2" s="45"/>
      <c r="AR2" s="45"/>
      <c r="AS2" s="81"/>
      <c r="AT2" s="81"/>
    </row>
    <row r="3" spans="1:91" ht="21" customHeight="1">
      <c r="A3" s="123"/>
      <c r="B3" s="46"/>
      <c r="C3" s="46"/>
      <c r="D3" s="47"/>
      <c r="E3" s="47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41"/>
      <c r="AL3" s="41"/>
      <c r="AM3" s="82"/>
      <c r="AN3" s="43"/>
      <c r="AO3" s="43"/>
      <c r="AP3" s="43"/>
      <c r="AQ3" s="43"/>
      <c r="AR3" s="43"/>
      <c r="AS3" s="48"/>
      <c r="AT3" s="48"/>
    </row>
    <row r="4" spans="1:91" ht="14.25" customHeight="1">
      <c r="A4" s="49"/>
      <c r="B4" s="49"/>
      <c r="C4" s="139"/>
      <c r="D4" s="138"/>
      <c r="E4" s="50">
        <v>42675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  <c r="AI4" s="52"/>
      <c r="AJ4" s="52"/>
      <c r="AK4" s="49"/>
      <c r="AL4" s="49"/>
      <c r="AM4" s="83"/>
      <c r="AN4" s="49"/>
      <c r="AO4" s="49"/>
      <c r="AP4" s="49"/>
      <c r="AQ4" s="49"/>
      <c r="AR4" s="49"/>
      <c r="AS4" s="49"/>
      <c r="AT4" s="87"/>
    </row>
    <row r="5" spans="1:91" s="53" customFormat="1" ht="18.75" customHeight="1">
      <c r="A5" s="244" t="s">
        <v>26</v>
      </c>
      <c r="B5" s="244" t="s">
        <v>3</v>
      </c>
      <c r="C5" s="244" t="s">
        <v>1</v>
      </c>
      <c r="D5" s="246" t="s">
        <v>27</v>
      </c>
      <c r="E5" s="244" t="s">
        <v>28</v>
      </c>
      <c r="F5" s="102">
        <f>+E4</f>
        <v>42675</v>
      </c>
      <c r="G5" s="102">
        <f t="shared" ref="G5:AI5" si="0">F5+1</f>
        <v>42676</v>
      </c>
      <c r="H5" s="102">
        <f t="shared" si="0"/>
        <v>42677</v>
      </c>
      <c r="I5" s="102">
        <f t="shared" si="0"/>
        <v>42678</v>
      </c>
      <c r="J5" s="102">
        <f t="shared" si="0"/>
        <v>42679</v>
      </c>
      <c r="K5" s="102">
        <f t="shared" si="0"/>
        <v>42680</v>
      </c>
      <c r="L5" s="102">
        <f t="shared" si="0"/>
        <v>42681</v>
      </c>
      <c r="M5" s="102">
        <f t="shared" si="0"/>
        <v>42682</v>
      </c>
      <c r="N5" s="102">
        <f t="shared" si="0"/>
        <v>42683</v>
      </c>
      <c r="O5" s="102">
        <f t="shared" si="0"/>
        <v>42684</v>
      </c>
      <c r="P5" s="102">
        <f t="shared" si="0"/>
        <v>42685</v>
      </c>
      <c r="Q5" s="102">
        <f t="shared" si="0"/>
        <v>42686</v>
      </c>
      <c r="R5" s="102">
        <f t="shared" si="0"/>
        <v>42687</v>
      </c>
      <c r="S5" s="102">
        <f t="shared" si="0"/>
        <v>42688</v>
      </c>
      <c r="T5" s="102">
        <f t="shared" si="0"/>
        <v>42689</v>
      </c>
      <c r="U5" s="102">
        <f t="shared" si="0"/>
        <v>42690</v>
      </c>
      <c r="V5" s="102">
        <f t="shared" si="0"/>
        <v>42691</v>
      </c>
      <c r="W5" s="102">
        <f t="shared" si="0"/>
        <v>42692</v>
      </c>
      <c r="X5" s="102">
        <f t="shared" si="0"/>
        <v>42693</v>
      </c>
      <c r="Y5" s="102">
        <f t="shared" si="0"/>
        <v>42694</v>
      </c>
      <c r="Z5" s="102">
        <f t="shared" si="0"/>
        <v>42695</v>
      </c>
      <c r="AA5" s="102">
        <f t="shared" si="0"/>
        <v>42696</v>
      </c>
      <c r="AB5" s="102">
        <f t="shared" si="0"/>
        <v>42697</v>
      </c>
      <c r="AC5" s="102">
        <f t="shared" si="0"/>
        <v>42698</v>
      </c>
      <c r="AD5" s="102">
        <f t="shared" si="0"/>
        <v>42699</v>
      </c>
      <c r="AE5" s="102">
        <f t="shared" si="0"/>
        <v>42700</v>
      </c>
      <c r="AF5" s="102">
        <f t="shared" si="0"/>
        <v>42701</v>
      </c>
      <c r="AG5" s="102">
        <f t="shared" si="0"/>
        <v>42702</v>
      </c>
      <c r="AH5" s="102">
        <f>AG5+1</f>
        <v>42703</v>
      </c>
      <c r="AI5" s="102">
        <f t="shared" si="0"/>
        <v>42704</v>
      </c>
      <c r="AJ5" s="194"/>
      <c r="AK5" s="247" t="s">
        <v>15</v>
      </c>
      <c r="AL5" s="248"/>
      <c r="AM5" s="249"/>
      <c r="AN5" s="250" t="s">
        <v>39</v>
      </c>
      <c r="AO5" s="250" t="s">
        <v>35</v>
      </c>
      <c r="AP5" s="250" t="s">
        <v>36</v>
      </c>
      <c r="AQ5" s="250" t="s">
        <v>37</v>
      </c>
      <c r="AR5" s="250" t="s">
        <v>38</v>
      </c>
      <c r="AS5" s="246" t="s">
        <v>0</v>
      </c>
      <c r="AT5" s="2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3" customFormat="1" ht="39.75" customHeight="1">
      <c r="A6" s="245"/>
      <c r="B6" s="245"/>
      <c r="C6" s="245"/>
      <c r="D6" s="245"/>
      <c r="E6" s="245"/>
      <c r="F6" s="155" t="str">
        <f>CHOOSE(WEEKDAY(F5),"C.Nhật","T.Hai","T.Ba","T.Tư","T.Năm","T.Sáu","T.Bảy")</f>
        <v>T.Ba</v>
      </c>
      <c r="G6" s="155" t="str">
        <f t="shared" ref="G6:AI6" si="1">CHOOSE(WEEKDAY(G5),"C.Nhật","T.Hai","T.Ba","T.Tư","T.Năm","T.Sáu","T.Bảy")</f>
        <v>T.Tư</v>
      </c>
      <c r="H6" s="155" t="str">
        <f t="shared" si="1"/>
        <v>T.Năm</v>
      </c>
      <c r="I6" s="155" t="str">
        <f t="shared" si="1"/>
        <v>T.Sáu</v>
      </c>
      <c r="J6" s="155" t="str">
        <f t="shared" si="1"/>
        <v>T.Bảy</v>
      </c>
      <c r="K6" s="155" t="str">
        <f t="shared" si="1"/>
        <v>C.Nhật</v>
      </c>
      <c r="L6" s="155" t="str">
        <f t="shared" si="1"/>
        <v>T.Hai</v>
      </c>
      <c r="M6" s="155" t="str">
        <f t="shared" si="1"/>
        <v>T.Ba</v>
      </c>
      <c r="N6" s="155" t="str">
        <f t="shared" si="1"/>
        <v>T.Tư</v>
      </c>
      <c r="O6" s="155" t="str">
        <f t="shared" si="1"/>
        <v>T.Năm</v>
      </c>
      <c r="P6" s="155" t="str">
        <f t="shared" si="1"/>
        <v>T.Sáu</v>
      </c>
      <c r="Q6" s="155" t="str">
        <f t="shared" si="1"/>
        <v>T.Bảy</v>
      </c>
      <c r="R6" s="155" t="str">
        <f t="shared" si="1"/>
        <v>C.Nhật</v>
      </c>
      <c r="S6" s="155" t="str">
        <f t="shared" si="1"/>
        <v>T.Hai</v>
      </c>
      <c r="T6" s="155" t="str">
        <f t="shared" si="1"/>
        <v>T.Ba</v>
      </c>
      <c r="U6" s="155" t="str">
        <f t="shared" si="1"/>
        <v>T.Tư</v>
      </c>
      <c r="V6" s="155" t="str">
        <f t="shared" si="1"/>
        <v>T.Năm</v>
      </c>
      <c r="W6" s="155" t="str">
        <f t="shared" si="1"/>
        <v>T.Sáu</v>
      </c>
      <c r="X6" s="155" t="str">
        <f t="shared" si="1"/>
        <v>T.Bảy</v>
      </c>
      <c r="Y6" s="155" t="str">
        <f t="shared" si="1"/>
        <v>C.Nhật</v>
      </c>
      <c r="Z6" s="155" t="str">
        <f t="shared" si="1"/>
        <v>T.Hai</v>
      </c>
      <c r="AA6" s="155" t="str">
        <f t="shared" si="1"/>
        <v>T.Ba</v>
      </c>
      <c r="AB6" s="155" t="str">
        <f t="shared" si="1"/>
        <v>T.Tư</v>
      </c>
      <c r="AC6" s="155" t="str">
        <f t="shared" si="1"/>
        <v>T.Năm</v>
      </c>
      <c r="AD6" s="155" t="str">
        <f t="shared" si="1"/>
        <v>T.Sáu</v>
      </c>
      <c r="AE6" s="155" t="str">
        <f t="shared" si="1"/>
        <v>T.Bảy</v>
      </c>
      <c r="AF6" s="155" t="str">
        <f t="shared" si="1"/>
        <v>C.Nhật</v>
      </c>
      <c r="AG6" s="155" t="str">
        <f t="shared" si="1"/>
        <v>T.Hai</v>
      </c>
      <c r="AH6" s="155" t="str">
        <f t="shared" si="1"/>
        <v>T.Ba</v>
      </c>
      <c r="AI6" s="155" t="str">
        <f t="shared" si="1"/>
        <v>T.Tư</v>
      </c>
      <c r="AJ6" s="155"/>
      <c r="AK6" s="156" t="s">
        <v>16</v>
      </c>
      <c r="AL6" s="156" t="s">
        <v>29</v>
      </c>
      <c r="AM6" s="157" t="s">
        <v>17</v>
      </c>
      <c r="AN6" s="251"/>
      <c r="AO6" s="251"/>
      <c r="AP6" s="251"/>
      <c r="AQ6" s="251"/>
      <c r="AR6" s="251"/>
      <c r="AS6" s="245"/>
      <c r="AT6" s="2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3" customFormat="1" ht="12.75" customHeight="1">
      <c r="A7" s="158">
        <v>1</v>
      </c>
      <c r="B7" s="158">
        <v>1</v>
      </c>
      <c r="C7" s="158">
        <v>2</v>
      </c>
      <c r="D7" s="158">
        <v>3</v>
      </c>
      <c r="E7" s="158">
        <v>4</v>
      </c>
      <c r="F7" s="158">
        <v>5</v>
      </c>
      <c r="G7" s="158">
        <v>6</v>
      </c>
      <c r="H7" s="158">
        <v>7</v>
      </c>
      <c r="I7" s="158">
        <v>8</v>
      </c>
      <c r="J7" s="158">
        <v>9</v>
      </c>
      <c r="K7" s="158">
        <v>10</v>
      </c>
      <c r="L7" s="158">
        <v>11</v>
      </c>
      <c r="M7" s="158">
        <v>12</v>
      </c>
      <c r="N7" s="158">
        <v>13</v>
      </c>
      <c r="O7" s="158">
        <v>14</v>
      </c>
      <c r="P7" s="158">
        <v>15</v>
      </c>
      <c r="Q7" s="158">
        <v>16</v>
      </c>
      <c r="R7" s="158">
        <v>17</v>
      </c>
      <c r="S7" s="158">
        <v>18</v>
      </c>
      <c r="T7" s="158">
        <v>19</v>
      </c>
      <c r="U7" s="158">
        <v>20</v>
      </c>
      <c r="V7" s="158">
        <v>21</v>
      </c>
      <c r="W7" s="158">
        <v>22</v>
      </c>
      <c r="X7" s="158">
        <v>23</v>
      </c>
      <c r="Y7" s="158">
        <v>24</v>
      </c>
      <c r="Z7" s="158">
        <v>25</v>
      </c>
      <c r="AA7" s="158">
        <v>26</v>
      </c>
      <c r="AB7" s="158">
        <v>27</v>
      </c>
      <c r="AC7" s="158">
        <v>28</v>
      </c>
      <c r="AD7" s="158">
        <v>29</v>
      </c>
      <c r="AE7" s="158">
        <v>30</v>
      </c>
      <c r="AF7" s="158">
        <v>31</v>
      </c>
      <c r="AG7" s="158">
        <v>32</v>
      </c>
      <c r="AH7" s="158">
        <v>33</v>
      </c>
      <c r="AI7" s="158">
        <v>34</v>
      </c>
      <c r="AJ7" s="158"/>
      <c r="AK7" s="158">
        <v>36</v>
      </c>
      <c r="AL7" s="158">
        <v>37</v>
      </c>
      <c r="AM7" s="158">
        <v>38</v>
      </c>
      <c r="AN7" s="158">
        <v>39</v>
      </c>
      <c r="AO7" s="158">
        <v>40</v>
      </c>
      <c r="AP7" s="158">
        <v>41</v>
      </c>
      <c r="AQ7" s="158">
        <v>42</v>
      </c>
      <c r="AR7" s="158">
        <v>43</v>
      </c>
      <c r="AS7" s="158">
        <v>44</v>
      </c>
      <c r="AT7" s="1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1" customFormat="1" ht="21" customHeight="1">
      <c r="A8" s="159" t="s">
        <v>68</v>
      </c>
      <c r="B8" s="162" t="s">
        <v>79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4"/>
      <c r="AT8" s="160"/>
    </row>
    <row r="9" spans="1:91" s="53" customFormat="1" ht="18" customHeight="1">
      <c r="A9" s="234">
        <v>1</v>
      </c>
      <c r="B9" s="234" t="s">
        <v>74</v>
      </c>
      <c r="C9" s="236" t="str">
        <f>VLOOKUP(B9,DS,2,0)</f>
        <v>Nguyễn Thị Kim Quyên</v>
      </c>
      <c r="D9" s="238" t="str">
        <f>VLOOKUP(B9,DS,3,0)</f>
        <v>Văn Phòng</v>
      </c>
      <c r="E9" s="54" t="s">
        <v>30</v>
      </c>
      <c r="F9" s="127">
        <v>8</v>
      </c>
      <c r="G9" s="127">
        <v>8</v>
      </c>
      <c r="H9" s="127">
        <v>8</v>
      </c>
      <c r="I9" s="127">
        <v>8</v>
      </c>
      <c r="J9" s="127">
        <v>8</v>
      </c>
      <c r="K9" s="127"/>
      <c r="L9" s="127">
        <v>8</v>
      </c>
      <c r="M9" s="127">
        <v>8</v>
      </c>
      <c r="N9" s="127">
        <v>8</v>
      </c>
      <c r="O9" s="127">
        <v>8</v>
      </c>
      <c r="P9" s="127">
        <v>8</v>
      </c>
      <c r="Q9" s="127">
        <v>8</v>
      </c>
      <c r="R9" s="127"/>
      <c r="S9" s="127">
        <v>8</v>
      </c>
      <c r="T9" s="127">
        <v>8</v>
      </c>
      <c r="U9" s="127">
        <v>8</v>
      </c>
      <c r="V9" s="127">
        <v>8</v>
      </c>
      <c r="W9" s="127">
        <v>8</v>
      </c>
      <c r="X9" s="127">
        <v>8</v>
      </c>
      <c r="Y9" s="127"/>
      <c r="Z9" s="127">
        <v>8</v>
      </c>
      <c r="AA9" s="127">
        <v>8</v>
      </c>
      <c r="AB9" s="127">
        <v>8</v>
      </c>
      <c r="AC9" s="127">
        <v>8</v>
      </c>
      <c r="AD9" s="127">
        <v>8</v>
      </c>
      <c r="AE9" s="127">
        <v>8</v>
      </c>
      <c r="AF9" s="127"/>
      <c r="AG9" s="127">
        <v>8</v>
      </c>
      <c r="AH9" s="127">
        <v>8</v>
      </c>
      <c r="AI9" s="127">
        <v>8</v>
      </c>
      <c r="AJ9" s="195"/>
      <c r="AK9" s="228">
        <f>((SUM(F9:AI9))/8)-(SUMIF($F$6:$AI$6,"C.Nhật",F9:AI9)/8)</f>
        <v>26</v>
      </c>
      <c r="AL9" s="228">
        <f>SUM(F10:AI10)/8*1.5</f>
        <v>0</v>
      </c>
      <c r="AM9" s="230">
        <f>SUMIF($F$6:$AI$6,"C.Nhật",$F9:$AI10)/8*2</f>
        <v>0</v>
      </c>
      <c r="AN9" s="224">
        <f>SUM(AK9:AM10)</f>
        <v>26</v>
      </c>
      <c r="AO9" s="232">
        <v>0</v>
      </c>
      <c r="AP9" s="224"/>
      <c r="AQ9" s="224"/>
      <c r="AR9" s="224"/>
      <c r="AS9" s="226"/>
      <c r="AT9" s="1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3" customFormat="1" ht="18" customHeight="1">
      <c r="A10" s="235"/>
      <c r="B10" s="235"/>
      <c r="C10" s="237"/>
      <c r="D10" s="239"/>
      <c r="E10" s="55" t="s">
        <v>29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96"/>
      <c r="AK10" s="229"/>
      <c r="AL10" s="229"/>
      <c r="AM10" s="231"/>
      <c r="AN10" s="225"/>
      <c r="AO10" s="233"/>
      <c r="AP10" s="225"/>
      <c r="AQ10" s="225"/>
      <c r="AR10" s="225"/>
      <c r="AS10" s="227"/>
      <c r="AT10" s="1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1" customFormat="1" ht="21" customHeight="1">
      <c r="A11" s="159" t="s">
        <v>69</v>
      </c>
      <c r="B11" s="162" t="s">
        <v>73</v>
      </c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4"/>
      <c r="AT11" s="160"/>
    </row>
    <row r="12" spans="1:91" s="53" customFormat="1" ht="18" customHeight="1">
      <c r="A12" s="234">
        <v>1</v>
      </c>
      <c r="B12" s="234" t="s">
        <v>75</v>
      </c>
      <c r="C12" s="236" t="str">
        <f>VLOOKUP(B12,DS,2,0)</f>
        <v>Lê Văn Hữu</v>
      </c>
      <c r="D12" s="238" t="str">
        <f>VLOOKUP(B12,DS,3,0)</f>
        <v>Công Đoạn 1</v>
      </c>
      <c r="E12" s="54" t="s">
        <v>30</v>
      </c>
      <c r="F12" s="127">
        <v>8</v>
      </c>
      <c r="G12" s="127">
        <v>8</v>
      </c>
      <c r="H12" s="127">
        <v>8</v>
      </c>
      <c r="I12" s="127">
        <v>8</v>
      </c>
      <c r="J12" s="127">
        <v>8</v>
      </c>
      <c r="K12" s="127"/>
      <c r="L12" s="127">
        <v>8</v>
      </c>
      <c r="M12" s="127">
        <v>8</v>
      </c>
      <c r="N12" s="127">
        <v>8</v>
      </c>
      <c r="O12" s="127">
        <v>8</v>
      </c>
      <c r="P12" s="127">
        <v>8</v>
      </c>
      <c r="Q12" s="127">
        <v>8</v>
      </c>
      <c r="R12" s="127"/>
      <c r="S12" s="127">
        <v>8</v>
      </c>
      <c r="T12" s="127">
        <v>8</v>
      </c>
      <c r="U12" s="127">
        <v>8</v>
      </c>
      <c r="V12" s="127">
        <v>8</v>
      </c>
      <c r="W12" s="127">
        <v>8</v>
      </c>
      <c r="X12" s="127">
        <v>8</v>
      </c>
      <c r="Y12" s="127"/>
      <c r="Z12" s="127">
        <v>8</v>
      </c>
      <c r="AA12" s="127">
        <v>8</v>
      </c>
      <c r="AB12" s="127">
        <v>8</v>
      </c>
      <c r="AC12" s="127">
        <v>8</v>
      </c>
      <c r="AD12" s="127">
        <v>8</v>
      </c>
      <c r="AE12" s="127">
        <v>8</v>
      </c>
      <c r="AF12" s="127"/>
      <c r="AG12" s="127">
        <v>8</v>
      </c>
      <c r="AH12" s="127">
        <v>8</v>
      </c>
      <c r="AI12" s="127">
        <v>8</v>
      </c>
      <c r="AJ12" s="195"/>
      <c r="AK12" s="228">
        <f>((SUM(F12:AI12))/8)-(SUMIF($F$6:$AI$6,"C.Nhật",F12:AI12)/8)</f>
        <v>26</v>
      </c>
      <c r="AL12" s="228">
        <f>SUM(F13:AI13)/8*1.5</f>
        <v>0</v>
      </c>
      <c r="AM12" s="230">
        <f>SUMIF($F$6:$AI$6,"C.Nhật",$F12:$AI13)/8*2</f>
        <v>0</v>
      </c>
      <c r="AN12" s="224">
        <f>SUM(AK12:AM13)</f>
        <v>26</v>
      </c>
      <c r="AO12" s="232">
        <v>0</v>
      </c>
      <c r="AP12" s="224"/>
      <c r="AQ12" s="224"/>
      <c r="AR12" s="224"/>
      <c r="AS12" s="226"/>
      <c r="AT12" s="19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3" customFormat="1" ht="18" customHeight="1">
      <c r="A13" s="235"/>
      <c r="B13" s="235"/>
      <c r="C13" s="237"/>
      <c r="D13" s="239"/>
      <c r="E13" s="55" t="s">
        <v>29</v>
      </c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96"/>
      <c r="AK13" s="229"/>
      <c r="AL13" s="229"/>
      <c r="AM13" s="231"/>
      <c r="AN13" s="225"/>
      <c r="AO13" s="233"/>
      <c r="AP13" s="225"/>
      <c r="AQ13" s="225"/>
      <c r="AR13" s="225"/>
      <c r="AS13" s="227"/>
      <c r="AT13" s="19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3" customFormat="1" ht="18" customHeight="1">
      <c r="A14" s="234">
        <v>2</v>
      </c>
      <c r="B14" s="234" t="s">
        <v>76</v>
      </c>
      <c r="C14" s="236" t="str">
        <f>VLOOKUP(B14,DS,2,0)</f>
        <v>Phan Thị Sương</v>
      </c>
      <c r="D14" s="238" t="str">
        <f>VLOOKUP(B14,DS,3,0)</f>
        <v>Công Đoạn 1</v>
      </c>
      <c r="E14" s="54" t="s">
        <v>30</v>
      </c>
      <c r="F14" s="127">
        <v>8</v>
      </c>
      <c r="G14" s="127">
        <v>8</v>
      </c>
      <c r="H14" s="127">
        <v>8</v>
      </c>
      <c r="I14" s="127">
        <v>8</v>
      </c>
      <c r="J14" s="127">
        <v>8</v>
      </c>
      <c r="K14" s="127"/>
      <c r="L14" s="127">
        <v>8</v>
      </c>
      <c r="M14" s="127">
        <v>8</v>
      </c>
      <c r="N14" s="127">
        <v>8</v>
      </c>
      <c r="O14" s="127">
        <v>8</v>
      </c>
      <c r="P14" s="127">
        <v>8</v>
      </c>
      <c r="Q14" s="127">
        <v>8</v>
      </c>
      <c r="R14" s="127"/>
      <c r="S14" s="127">
        <v>8</v>
      </c>
      <c r="T14" s="127">
        <v>8</v>
      </c>
      <c r="U14" s="127">
        <v>8</v>
      </c>
      <c r="V14" s="127">
        <v>8</v>
      </c>
      <c r="W14" s="127">
        <v>8</v>
      </c>
      <c r="X14" s="127">
        <v>8</v>
      </c>
      <c r="Y14" s="127"/>
      <c r="Z14" s="127">
        <v>8</v>
      </c>
      <c r="AA14" s="127">
        <v>8</v>
      </c>
      <c r="AB14" s="127">
        <v>8</v>
      </c>
      <c r="AC14" s="127">
        <v>8</v>
      </c>
      <c r="AD14" s="127">
        <v>8</v>
      </c>
      <c r="AE14" s="127">
        <v>8</v>
      </c>
      <c r="AF14" s="127"/>
      <c r="AG14" s="127">
        <v>8</v>
      </c>
      <c r="AH14" s="127">
        <v>8</v>
      </c>
      <c r="AI14" s="127">
        <v>8</v>
      </c>
      <c r="AJ14" s="195"/>
      <c r="AK14" s="228">
        <f>((SUM(F14:AI14))/8)-(SUMIF($F$6:$AI$6,"C.Nhật",F14:AI14)/8)</f>
        <v>26</v>
      </c>
      <c r="AL14" s="228">
        <f>SUM(F15:AI15)/8*1.5</f>
        <v>0</v>
      </c>
      <c r="AM14" s="230">
        <f>SUMIF($F$6:$AI$6,"C.Nhật",$F14:$AI15)/8*2</f>
        <v>0</v>
      </c>
      <c r="AN14" s="224">
        <f t="shared" ref="AN14" si="2">SUM(AK14:AM15)</f>
        <v>26</v>
      </c>
      <c r="AO14" s="232">
        <v>0</v>
      </c>
      <c r="AP14" s="224"/>
      <c r="AQ14" s="224"/>
      <c r="AR14" s="224"/>
      <c r="AS14" s="226"/>
      <c r="AT14" s="1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3" customFormat="1" ht="18" customHeight="1">
      <c r="A15" s="235"/>
      <c r="B15" s="235"/>
      <c r="C15" s="237"/>
      <c r="D15" s="239"/>
      <c r="E15" s="55" t="s">
        <v>29</v>
      </c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96"/>
      <c r="AK15" s="229"/>
      <c r="AL15" s="229"/>
      <c r="AM15" s="231"/>
      <c r="AN15" s="225"/>
      <c r="AO15" s="233"/>
      <c r="AP15" s="225"/>
      <c r="AQ15" s="225"/>
      <c r="AR15" s="225"/>
      <c r="AS15" s="227"/>
      <c r="AT15" s="1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3" customFormat="1" ht="18" customHeight="1">
      <c r="A16" s="234">
        <v>3</v>
      </c>
      <c r="B16" s="234" t="s">
        <v>77</v>
      </c>
      <c r="C16" s="236" t="str">
        <f>VLOOKUP(B16,DS,2,0)</f>
        <v>Cao Minh Chí</v>
      </c>
      <c r="D16" s="238" t="str">
        <f>VLOOKUP(B16,DS,3,0)</f>
        <v>Công Đoạn 2</v>
      </c>
      <c r="E16" s="54" t="s">
        <v>30</v>
      </c>
      <c r="F16" s="127">
        <v>8</v>
      </c>
      <c r="G16" s="127">
        <v>8</v>
      </c>
      <c r="H16" s="127">
        <v>8</v>
      </c>
      <c r="I16" s="127">
        <v>8</v>
      </c>
      <c r="J16" s="127">
        <v>8</v>
      </c>
      <c r="K16" s="127"/>
      <c r="L16" s="127">
        <v>8</v>
      </c>
      <c r="M16" s="127">
        <v>8</v>
      </c>
      <c r="N16" s="127">
        <v>8</v>
      </c>
      <c r="O16" s="127">
        <v>8</v>
      </c>
      <c r="P16" s="127">
        <v>8</v>
      </c>
      <c r="Q16" s="127">
        <v>8</v>
      </c>
      <c r="R16" s="127"/>
      <c r="S16" s="127">
        <v>8</v>
      </c>
      <c r="T16" s="127">
        <v>8</v>
      </c>
      <c r="U16" s="127">
        <v>8</v>
      </c>
      <c r="V16" s="127">
        <v>8</v>
      </c>
      <c r="W16" s="127">
        <v>8</v>
      </c>
      <c r="X16" s="127">
        <v>8</v>
      </c>
      <c r="Y16" s="127"/>
      <c r="Z16" s="127">
        <v>8</v>
      </c>
      <c r="AA16" s="127">
        <v>8</v>
      </c>
      <c r="AB16" s="127">
        <v>8</v>
      </c>
      <c r="AC16" s="127">
        <v>8</v>
      </c>
      <c r="AD16" s="127">
        <v>8</v>
      </c>
      <c r="AE16" s="127">
        <v>8</v>
      </c>
      <c r="AF16" s="127"/>
      <c r="AG16" s="127">
        <v>8</v>
      </c>
      <c r="AH16" s="127">
        <v>8</v>
      </c>
      <c r="AI16" s="127">
        <v>8</v>
      </c>
      <c r="AJ16" s="195"/>
      <c r="AK16" s="228">
        <f>((SUM(F16:AI16))/8)-(SUMIF($F$6:$AI$6,"C.Nhật",F16:AI16)/8)</f>
        <v>26</v>
      </c>
      <c r="AL16" s="228">
        <f>SUM(F17:AI17)/8*1.5</f>
        <v>0</v>
      </c>
      <c r="AM16" s="230">
        <f>SUMIF($F$6:$AI$6,"C.Nhật",$F16:$AI17)/8*2</f>
        <v>0</v>
      </c>
      <c r="AN16" s="224">
        <f t="shared" ref="AN16" si="3">SUM(AK16:AM17)</f>
        <v>26</v>
      </c>
      <c r="AO16" s="232">
        <v>0</v>
      </c>
      <c r="AP16" s="224"/>
      <c r="AQ16" s="224"/>
      <c r="AR16" s="224"/>
      <c r="AS16" s="226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3" customFormat="1" ht="18" customHeight="1">
      <c r="A17" s="235"/>
      <c r="B17" s="235"/>
      <c r="C17" s="237"/>
      <c r="D17" s="239"/>
      <c r="E17" s="55" t="s">
        <v>29</v>
      </c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96"/>
      <c r="AK17" s="229"/>
      <c r="AL17" s="229"/>
      <c r="AM17" s="231"/>
      <c r="AN17" s="225"/>
      <c r="AO17" s="233"/>
      <c r="AP17" s="225"/>
      <c r="AQ17" s="225"/>
      <c r="AR17" s="225"/>
      <c r="AS17" s="227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3" customFormat="1" ht="18" customHeight="1">
      <c r="A18" s="234">
        <v>4</v>
      </c>
      <c r="B18" s="234" t="s">
        <v>81</v>
      </c>
      <c r="C18" s="236" t="str">
        <f>VLOOKUP(B18,DS,2,0)</f>
        <v>Nguyễn Thị Sự</v>
      </c>
      <c r="D18" s="238" t="str">
        <f>VLOOKUP(B18,DS,3,0)</f>
        <v>Công Đoạn 2</v>
      </c>
      <c r="E18" s="54" t="s">
        <v>30</v>
      </c>
      <c r="F18" s="127">
        <v>8</v>
      </c>
      <c r="G18" s="127">
        <v>8</v>
      </c>
      <c r="H18" s="127">
        <v>8</v>
      </c>
      <c r="I18" s="127">
        <v>8</v>
      </c>
      <c r="J18" s="127">
        <v>8</v>
      </c>
      <c r="K18" s="127"/>
      <c r="L18" s="127">
        <v>8</v>
      </c>
      <c r="M18" s="127">
        <v>8</v>
      </c>
      <c r="N18" s="127">
        <v>8</v>
      </c>
      <c r="O18" s="127">
        <v>8</v>
      </c>
      <c r="P18" s="127">
        <v>8</v>
      </c>
      <c r="Q18" s="127">
        <v>8</v>
      </c>
      <c r="R18" s="127"/>
      <c r="S18" s="127">
        <v>8</v>
      </c>
      <c r="T18" s="127">
        <v>8</v>
      </c>
      <c r="U18" s="127">
        <v>8</v>
      </c>
      <c r="V18" s="127">
        <v>8</v>
      </c>
      <c r="W18" s="127">
        <v>8</v>
      </c>
      <c r="X18" s="127">
        <v>8</v>
      </c>
      <c r="Y18" s="127"/>
      <c r="Z18" s="127">
        <v>8</v>
      </c>
      <c r="AA18" s="127">
        <v>8</v>
      </c>
      <c r="AB18" s="127">
        <v>8</v>
      </c>
      <c r="AC18" s="127">
        <v>8</v>
      </c>
      <c r="AD18" s="127">
        <v>8</v>
      </c>
      <c r="AE18" s="127">
        <v>8</v>
      </c>
      <c r="AF18" s="127"/>
      <c r="AG18" s="127">
        <v>8</v>
      </c>
      <c r="AH18" s="127">
        <v>8</v>
      </c>
      <c r="AI18" s="127">
        <v>8</v>
      </c>
      <c r="AJ18" s="195"/>
      <c r="AK18" s="228">
        <f>((SUM(F18:AI18))/8)-(SUMIF($F$6:$AI$6,"C.Nhật",F18:AI18)/8)</f>
        <v>26</v>
      </c>
      <c r="AL18" s="228">
        <f>SUM(F19:AI19)/8*1.5</f>
        <v>0</v>
      </c>
      <c r="AM18" s="230">
        <f>SUMIF($F$6:$AI$6,"C.Nhật",$F18:$AI19)/8*2</f>
        <v>0</v>
      </c>
      <c r="AN18" s="224">
        <f t="shared" ref="AN18" si="4">SUM(AK18:AM19)</f>
        <v>26</v>
      </c>
      <c r="AO18" s="232">
        <v>0</v>
      </c>
      <c r="AP18" s="224"/>
      <c r="AQ18" s="224"/>
      <c r="AR18" s="224"/>
      <c r="AS18" s="226"/>
      <c r="AT18" s="1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3" customFormat="1" ht="18" customHeight="1">
      <c r="A19" s="235"/>
      <c r="B19" s="235"/>
      <c r="C19" s="237"/>
      <c r="D19" s="239"/>
      <c r="E19" s="55" t="s">
        <v>29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96"/>
      <c r="AK19" s="229"/>
      <c r="AL19" s="229"/>
      <c r="AM19" s="231"/>
      <c r="AN19" s="225"/>
      <c r="AO19" s="233"/>
      <c r="AP19" s="225"/>
      <c r="AQ19" s="225"/>
      <c r="AR19" s="225"/>
      <c r="AS19" s="227"/>
      <c r="AT19" s="1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6" customFormat="1" ht="12.75">
      <c r="A20" s="14"/>
      <c r="B20" s="57"/>
      <c r="C20" s="4"/>
      <c r="D20" s="98"/>
      <c r="E20" s="4"/>
      <c r="F20" s="61"/>
      <c r="G20" s="61"/>
      <c r="H20" s="58"/>
      <c r="I20" s="58"/>
      <c r="J20" s="104"/>
      <c r="K20" s="61"/>
      <c r="L20" s="58"/>
      <c r="M20" s="61"/>
      <c r="N20" s="61"/>
      <c r="O20" s="61"/>
      <c r="P20" s="61"/>
      <c r="Q20" s="58"/>
      <c r="R20" s="61"/>
      <c r="S20" s="61"/>
      <c r="T20" s="104"/>
      <c r="U20" s="61"/>
      <c r="V20" s="61"/>
      <c r="W20" s="61"/>
      <c r="X20" s="57"/>
      <c r="Y20" s="61"/>
      <c r="Z20" s="61"/>
      <c r="AA20" s="61"/>
      <c r="AB20" s="61"/>
      <c r="AC20" s="61"/>
      <c r="AD20" s="58"/>
      <c r="AE20" s="61"/>
      <c r="AF20" s="61"/>
      <c r="AG20" s="61"/>
      <c r="AH20" s="61"/>
      <c r="AI20" s="61"/>
      <c r="AJ20" s="61"/>
      <c r="AK20" s="4"/>
      <c r="AL20" s="4"/>
      <c r="AM20" s="84"/>
      <c r="AN20" s="60"/>
      <c r="AO20" s="60"/>
      <c r="AP20" s="60"/>
      <c r="AQ20" s="60"/>
      <c r="AR20" s="60"/>
      <c r="AS20" s="4"/>
      <c r="AT20" s="90"/>
    </row>
    <row r="21" spans="1:91" s="56" customFormat="1" ht="12.75">
      <c r="A21" s="14"/>
      <c r="B21" s="57"/>
      <c r="C21" s="14" t="s">
        <v>14</v>
      </c>
      <c r="D21" s="98"/>
      <c r="E21" s="4"/>
      <c r="F21" s="61"/>
      <c r="G21" s="61"/>
      <c r="H21" s="58"/>
      <c r="I21" s="58"/>
      <c r="J21" s="104"/>
      <c r="K21" s="61"/>
      <c r="L21" s="58"/>
      <c r="M21" s="61"/>
      <c r="N21" s="61"/>
      <c r="O21" s="61"/>
      <c r="P21" s="61"/>
      <c r="Q21" s="58"/>
      <c r="R21" s="61"/>
      <c r="S21" s="61"/>
      <c r="T21" s="104"/>
      <c r="U21" s="61"/>
      <c r="V21" s="61"/>
      <c r="W21" s="61"/>
      <c r="X21" s="57"/>
      <c r="Y21" s="61"/>
      <c r="Z21" s="61"/>
      <c r="AA21" s="61"/>
      <c r="AB21" s="61"/>
      <c r="AC21" s="61"/>
      <c r="AD21" s="58"/>
      <c r="AE21" s="61"/>
      <c r="AF21" s="61"/>
      <c r="AG21" s="61"/>
      <c r="AH21" s="61"/>
      <c r="AI21" s="61"/>
      <c r="AJ21" s="61"/>
      <c r="AK21" s="4"/>
      <c r="AL21" s="4"/>
      <c r="AM21" s="84"/>
      <c r="AN21" s="60"/>
      <c r="AO21" s="60"/>
      <c r="AP21" s="60"/>
      <c r="AQ21" s="60"/>
      <c r="AR21" s="60"/>
      <c r="AS21" s="4"/>
      <c r="AT21" s="90"/>
    </row>
    <row r="22" spans="1:91" s="56" customFormat="1" ht="12.75">
      <c r="A22" s="12"/>
      <c r="B22" s="12"/>
      <c r="C22" s="4"/>
      <c r="D22" s="98"/>
      <c r="E22" s="4"/>
      <c r="F22" s="61"/>
      <c r="G22" s="61"/>
      <c r="H22" s="105"/>
      <c r="I22" s="105"/>
      <c r="J22" s="105"/>
      <c r="K22" s="61"/>
      <c r="L22" s="105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105"/>
      <c r="AE22" s="61"/>
      <c r="AF22" s="61"/>
      <c r="AG22" s="61"/>
      <c r="AH22" s="61"/>
      <c r="AI22" s="61"/>
      <c r="AJ22" s="61"/>
      <c r="AK22" s="4"/>
      <c r="AL22" s="4"/>
      <c r="AM22" s="84"/>
      <c r="AN22" s="62"/>
      <c r="AO22" s="62"/>
      <c r="AP22" s="62"/>
      <c r="AQ22" s="62"/>
      <c r="AR22" s="62"/>
      <c r="AS22" s="4"/>
      <c r="AT22" s="90"/>
    </row>
    <row r="23" spans="1:91" s="59" customFormat="1" ht="15" customHeight="1">
      <c r="A23" s="12"/>
      <c r="B23" s="12"/>
      <c r="C23" s="4"/>
      <c r="D23" s="98"/>
      <c r="E23" s="4"/>
      <c r="F23" s="61"/>
      <c r="G23" s="61"/>
      <c r="H23" s="105"/>
      <c r="I23" s="105"/>
      <c r="J23" s="105"/>
      <c r="K23" s="61"/>
      <c r="L23" s="105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105"/>
      <c r="AE23" s="61"/>
      <c r="AF23" s="61"/>
      <c r="AG23" s="61"/>
      <c r="AH23" s="61"/>
      <c r="AI23" s="61"/>
      <c r="AJ23" s="61"/>
      <c r="AK23" s="4"/>
      <c r="AL23" s="4"/>
      <c r="AM23" s="84"/>
      <c r="AN23" s="62"/>
      <c r="AO23" s="62"/>
      <c r="AP23" s="62"/>
      <c r="AQ23" s="62"/>
      <c r="AR23" s="62"/>
      <c r="AS23" s="4"/>
      <c r="AT23" s="4"/>
    </row>
    <row r="24" spans="1:91" s="59" customFormat="1" ht="11.25">
      <c r="A24" s="12"/>
      <c r="B24" s="12"/>
      <c r="C24" s="4"/>
      <c r="D24" s="98"/>
      <c r="E24" s="4"/>
      <c r="F24" s="61"/>
      <c r="G24" s="61"/>
      <c r="H24" s="105"/>
      <c r="I24" s="105"/>
      <c r="J24" s="105"/>
      <c r="K24" s="61"/>
      <c r="L24" s="105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105"/>
      <c r="AE24" s="61"/>
      <c r="AF24" s="61"/>
      <c r="AG24" s="61"/>
      <c r="AH24" s="61"/>
      <c r="AI24" s="61"/>
      <c r="AJ24" s="61"/>
      <c r="AK24" s="4"/>
      <c r="AL24" s="4"/>
      <c r="AM24" s="84"/>
      <c r="AN24" s="62"/>
      <c r="AO24" s="62"/>
      <c r="AP24" s="62"/>
      <c r="AQ24" s="62"/>
      <c r="AR24" s="62"/>
      <c r="AS24" s="4"/>
      <c r="AT24" s="4"/>
    </row>
    <row r="25" spans="1:91" s="59" customFormat="1" ht="11.25">
      <c r="A25" s="12"/>
      <c r="B25" s="12"/>
      <c r="C25" s="4"/>
      <c r="D25" s="98"/>
      <c r="E25" s="4"/>
      <c r="F25" s="61"/>
      <c r="G25" s="61"/>
      <c r="H25" s="105"/>
      <c r="I25" s="105"/>
      <c r="J25" s="105"/>
      <c r="K25" s="61"/>
      <c r="L25" s="105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105"/>
      <c r="AE25" s="61"/>
      <c r="AF25" s="61"/>
      <c r="AG25" s="61"/>
      <c r="AH25" s="61"/>
      <c r="AI25" s="61"/>
      <c r="AJ25" s="61"/>
      <c r="AK25" s="4"/>
      <c r="AL25" s="4"/>
      <c r="AM25" s="84"/>
      <c r="AN25" s="62"/>
      <c r="AO25" s="62"/>
      <c r="AP25" s="62"/>
      <c r="AQ25" s="62"/>
      <c r="AR25" s="62"/>
      <c r="AS25" s="4"/>
      <c r="AT25" s="4"/>
    </row>
    <row r="26" spans="1:91" s="59" customFormat="1" ht="11.25">
      <c r="A26" s="10"/>
      <c r="B26" s="10"/>
      <c r="C26" s="14"/>
      <c r="D26" s="99"/>
      <c r="E26" s="63"/>
      <c r="F26" s="104"/>
      <c r="G26" s="106"/>
      <c r="H26" s="58"/>
      <c r="I26" s="58"/>
      <c r="J26" s="58"/>
      <c r="K26" s="106"/>
      <c r="L26" s="58"/>
      <c r="M26" s="106"/>
      <c r="N26" s="106"/>
      <c r="O26" s="106"/>
      <c r="P26" s="106"/>
      <c r="Q26" s="58"/>
      <c r="R26" s="104"/>
      <c r="S26" s="106"/>
      <c r="T26" s="106"/>
      <c r="U26" s="58"/>
      <c r="V26" s="106"/>
      <c r="W26" s="106"/>
      <c r="X26" s="58"/>
      <c r="Y26" s="106"/>
      <c r="Z26" s="106"/>
      <c r="AA26" s="106"/>
      <c r="AB26" s="106"/>
      <c r="AC26" s="106"/>
      <c r="AD26" s="58"/>
      <c r="AE26" s="106"/>
      <c r="AF26" s="106"/>
      <c r="AG26" s="106"/>
      <c r="AH26" s="106"/>
      <c r="AI26" s="106"/>
      <c r="AJ26" s="106"/>
      <c r="AK26" s="63"/>
      <c r="AM26" s="85"/>
      <c r="AN26" s="10"/>
      <c r="AO26" s="10"/>
      <c r="AP26" s="10"/>
      <c r="AQ26" s="10"/>
      <c r="AR26" s="10"/>
      <c r="AS26" s="14"/>
      <c r="AT26" s="4"/>
    </row>
    <row r="27" spans="1:91" s="59" customFormat="1" ht="12.75">
      <c r="A27" s="2"/>
      <c r="B27" s="2" t="s">
        <v>0</v>
      </c>
      <c r="C27" s="2"/>
      <c r="D27" s="188"/>
      <c r="E27" s="2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8"/>
      <c r="AI27" s="108"/>
      <c r="AJ27" s="108"/>
      <c r="AK27" s="2"/>
      <c r="AL27" s="2"/>
      <c r="AM27" s="86"/>
      <c r="AN27" s="2"/>
      <c r="AO27" s="2"/>
      <c r="AP27" s="2"/>
      <c r="AQ27" s="2"/>
      <c r="AR27" s="2"/>
      <c r="AS27" s="2"/>
      <c r="AT27" s="4"/>
    </row>
    <row r="28" spans="1:91" s="59" customFormat="1" ht="12.75">
      <c r="A28" s="2"/>
      <c r="B28" s="2"/>
      <c r="C28" s="2" t="s">
        <v>40</v>
      </c>
      <c r="D28" s="188"/>
      <c r="E28" s="2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8"/>
      <c r="AI28" s="108"/>
      <c r="AJ28" s="108"/>
      <c r="AK28" s="2"/>
      <c r="AL28" s="2"/>
      <c r="AM28" s="86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41</v>
      </c>
    </row>
    <row r="30" spans="1:91" ht="15" customHeight="1">
      <c r="C30" s="2" t="s">
        <v>42</v>
      </c>
    </row>
    <row r="31" spans="1:91" s="188" customFormat="1" ht="15" customHeight="1">
      <c r="A31" s="2"/>
      <c r="B31" s="2"/>
      <c r="C31" s="2" t="s">
        <v>43</v>
      </c>
      <c r="E31" s="2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8"/>
      <c r="AI31" s="108"/>
      <c r="AJ31" s="108"/>
      <c r="AK31" s="2"/>
      <c r="AL31" s="2"/>
      <c r="AM31" s="86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88" customFormat="1" ht="15" customHeight="1">
      <c r="A32" s="2"/>
      <c r="B32" s="2"/>
      <c r="C32" s="2" t="s">
        <v>44</v>
      </c>
      <c r="E32" s="2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8"/>
      <c r="AI32" s="108"/>
      <c r="AJ32" s="108"/>
      <c r="AK32" s="2"/>
      <c r="AL32" s="2"/>
      <c r="AM32" s="86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88" customFormat="1" ht="15" customHeight="1">
      <c r="A33" s="2"/>
      <c r="B33" s="2"/>
      <c r="C33" s="2" t="s">
        <v>45</v>
      </c>
      <c r="E33" s="2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  <c r="AI33" s="108"/>
      <c r="AJ33" s="108"/>
      <c r="AK33" s="2"/>
      <c r="AL33" s="2"/>
      <c r="AM33" s="86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88" customFormat="1" ht="15" customHeight="1">
      <c r="A34" s="2"/>
      <c r="B34" s="2"/>
      <c r="C34" s="2" t="s">
        <v>46</v>
      </c>
      <c r="E34" s="2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8"/>
      <c r="AI34" s="108"/>
      <c r="AJ34" s="108"/>
      <c r="AK34" s="2"/>
      <c r="AL34" s="2"/>
      <c r="AM34" s="86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88" customFormat="1" ht="15" customHeight="1">
      <c r="A35" s="2"/>
      <c r="B35" s="2"/>
      <c r="C35" s="2" t="s">
        <v>47</v>
      </c>
      <c r="E35" s="2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8"/>
      <c r="AI35" s="108"/>
      <c r="AJ35" s="108"/>
      <c r="AK35" s="2"/>
      <c r="AL35" s="2"/>
      <c r="AM35" s="86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88" customFormat="1" ht="15" customHeight="1">
      <c r="A36" s="2"/>
      <c r="B36" s="2"/>
      <c r="C36" s="2" t="s">
        <v>48</v>
      </c>
      <c r="E36" s="2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8"/>
      <c r="AI36" s="108"/>
      <c r="AJ36" s="108"/>
      <c r="AK36" s="2"/>
      <c r="AL36" s="2"/>
      <c r="AM36" s="86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8:A19"/>
    <mergeCell ref="B18:B19"/>
    <mergeCell ref="C18:C19"/>
    <mergeCell ref="D18:D19"/>
    <mergeCell ref="AK18:AK19"/>
    <mergeCell ref="AQ18:AQ19"/>
    <mergeCell ref="AR18:AR19"/>
    <mergeCell ref="AS18:AS19"/>
    <mergeCell ref="AL12:AL13"/>
    <mergeCell ref="AM12:AM13"/>
    <mergeCell ref="AN12:AN13"/>
    <mergeCell ref="AO12:AO13"/>
    <mergeCell ref="AP12:AP13"/>
    <mergeCell ref="AR12:AR13"/>
    <mergeCell ref="AS12:AS13"/>
    <mergeCell ref="AL18:AL19"/>
    <mergeCell ref="AM18:AM19"/>
    <mergeCell ref="AN18:AN19"/>
    <mergeCell ref="AO18:AO19"/>
    <mergeCell ref="AP18:AP19"/>
    <mergeCell ref="AO14:AO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6:AL17"/>
    <mergeCell ref="AM16:AM17"/>
    <mergeCell ref="AN16:AN17"/>
    <mergeCell ref="AO16:AO17"/>
    <mergeCell ref="AP16:AP17"/>
  </mergeCells>
  <conditionalFormatting sqref="F5:AJ6 F9:AJ10 F12:AI15 F18:AI19">
    <cfRule type="expression" dxfId="11" priority="69" stopIfTrue="1">
      <formula>IF(WEEKDAY(F$5)=1,TRUE,FALSE)</formula>
    </cfRule>
  </conditionalFormatting>
  <conditionalFormatting sqref="AJ12:AJ13">
    <cfRule type="expression" dxfId="10" priority="20" stopIfTrue="1">
      <formula>IF(WEEKDAY(AJ$5)=1,TRUE,FALSE)</formula>
    </cfRule>
  </conditionalFormatting>
  <conditionalFormatting sqref="AJ18:AJ19">
    <cfRule type="expression" dxfId="9" priority="12" stopIfTrue="1">
      <formula>IF(WEEKDAY(AJ$5)=1,TRUE,FALSE)</formula>
    </cfRule>
  </conditionalFormatting>
  <conditionalFormatting sqref="AJ18:AJ19">
    <cfRule type="expression" dxfId="8" priority="11" stopIfTrue="1">
      <formula>IF(WEEKDAY(AJ$5)=1,TRUE,FALSE)</formula>
    </cfRule>
  </conditionalFormatting>
  <conditionalFormatting sqref="AJ14:AJ15">
    <cfRule type="expression" dxfId="7" priority="8" stopIfTrue="1">
      <formula>IF(WEEKDAY(AJ$5)=1,TRUE,FALSE)</formula>
    </cfRule>
  </conditionalFormatting>
  <conditionalFormatting sqref="AJ14:AJ15">
    <cfRule type="expression" dxfId="6" priority="7" stopIfTrue="1">
      <formula>IF(WEEKDAY(AJ$5)=1,TRUE,FALSE)</formula>
    </cfRule>
  </conditionalFormatting>
  <conditionalFormatting sqref="F16:AI17">
    <cfRule type="expression" dxfId="5" priority="3" stopIfTrue="1">
      <formula>IF(WEEKDAY(F$5)=1,TRUE,FALSE)</formula>
    </cfRule>
  </conditionalFormatting>
  <conditionalFormatting sqref="AJ16:AJ17">
    <cfRule type="expression" dxfId="4" priority="2" stopIfTrue="1">
      <formula>IF(WEEKDAY(AJ$5)=1,TRUE,FALSE)</formula>
    </cfRule>
  </conditionalFormatting>
  <conditionalFormatting sqref="AJ16:AJ17">
    <cfRule type="expression" dxfId="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G1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5" sqref="A15:B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7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3"/>
      <c r="B1" s="191"/>
      <c r="C1" s="191"/>
      <c r="D1" s="258" t="str">
        <f>"BẢNG THANH TOÁN LƯƠNG THÁNG"&amp;" "&amp;TEXT($E$4,"mm")&amp;" / "&amp;TEXT($E$4,"yyyy")</f>
        <v>BẢNG THANH TOÁN LƯƠNG THÁNG 11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78</v>
      </c>
      <c r="S1" s="261"/>
      <c r="T1" s="262"/>
      <c r="U1" s="114" t="s">
        <v>51</v>
      </c>
      <c r="V1" s="96" t="s">
        <v>33</v>
      </c>
      <c r="W1" s="69"/>
      <c r="X1" s="69"/>
      <c r="Y1" s="5"/>
      <c r="Z1" s="5"/>
    </row>
    <row r="2" spans="1:31" s="4" customFormat="1" ht="15" customHeight="1">
      <c r="A2" s="123"/>
      <c r="B2" s="191"/>
      <c r="C2" s="191"/>
      <c r="D2" s="191"/>
      <c r="E2" s="67"/>
      <c r="F2" s="191"/>
      <c r="G2" s="191"/>
      <c r="H2" s="191"/>
      <c r="I2" s="191"/>
      <c r="J2" s="68"/>
      <c r="K2" s="191"/>
      <c r="L2" s="191"/>
      <c r="M2" s="191"/>
      <c r="N2" s="191"/>
      <c r="O2" s="191"/>
      <c r="P2" s="191"/>
      <c r="Q2" s="191"/>
      <c r="R2" s="191"/>
      <c r="S2" s="191"/>
      <c r="T2" s="45"/>
      <c r="U2" s="66">
        <f>MAX(F10:F19)</f>
        <v>26</v>
      </c>
      <c r="V2" s="97">
        <v>31</v>
      </c>
      <c r="W2" s="69"/>
      <c r="X2" s="69"/>
      <c r="Y2" s="5"/>
      <c r="Z2" s="5"/>
    </row>
    <row r="3" spans="1:31" s="4" customFormat="1" ht="15" customHeight="1">
      <c r="A3" s="123"/>
      <c r="B3" s="191"/>
      <c r="C3" s="191"/>
      <c r="D3" s="191"/>
      <c r="E3" s="67"/>
      <c r="F3" s="191"/>
      <c r="G3" s="191"/>
      <c r="H3" s="191"/>
      <c r="I3" s="191"/>
      <c r="J3" s="68"/>
      <c r="K3" s="191"/>
      <c r="L3" s="191"/>
      <c r="M3" s="191"/>
      <c r="N3" s="191"/>
      <c r="O3" s="191"/>
      <c r="P3" s="191"/>
      <c r="Q3" s="191"/>
      <c r="R3" s="191"/>
      <c r="S3" s="191"/>
      <c r="T3" s="45"/>
      <c r="U3" s="115"/>
      <c r="V3" s="116"/>
      <c r="W3" s="69"/>
      <c r="X3" s="69"/>
      <c r="Y3" s="5"/>
      <c r="Z3" s="5"/>
    </row>
    <row r="4" spans="1:31" s="91" customFormat="1" ht="14.25" customHeight="1">
      <c r="A4" s="89"/>
      <c r="B4" s="90"/>
      <c r="C4" s="90"/>
      <c r="D4" s="90"/>
      <c r="E4" s="170">
        <f>'CC -11'!$E$4</f>
        <v>42675</v>
      </c>
      <c r="F4" s="90"/>
      <c r="G4" s="90"/>
      <c r="H4" s="90"/>
      <c r="I4" s="90"/>
      <c r="J4" s="90"/>
      <c r="K4" s="90"/>
      <c r="L4" s="90"/>
      <c r="M4" s="90"/>
      <c r="N4" s="145">
        <v>0.08</v>
      </c>
      <c r="O4" s="145">
        <v>1.4999999999999999E-2</v>
      </c>
      <c r="P4" s="145">
        <v>0.01</v>
      </c>
      <c r="Q4" s="90"/>
      <c r="R4" s="90"/>
      <c r="S4" s="90"/>
      <c r="T4" s="90"/>
      <c r="U4" s="90"/>
      <c r="V4" s="92"/>
      <c r="W4" s="92"/>
      <c r="X4" s="92"/>
      <c r="Y4" s="92"/>
      <c r="Z4" s="92"/>
    </row>
    <row r="5" spans="1:31" s="22" customFormat="1" ht="24" customHeight="1">
      <c r="A5" s="263" t="s">
        <v>19</v>
      </c>
      <c r="B5" s="263" t="s">
        <v>20</v>
      </c>
      <c r="C5" s="217" t="s">
        <v>1</v>
      </c>
      <c r="D5" s="217" t="s">
        <v>2</v>
      </c>
      <c r="E5" s="220" t="s">
        <v>49</v>
      </c>
      <c r="F5" s="265" t="s">
        <v>24</v>
      </c>
      <c r="G5" s="266"/>
      <c r="H5" s="266"/>
      <c r="I5" s="266"/>
      <c r="J5" s="266"/>
      <c r="K5" s="267"/>
      <c r="L5" s="254" t="s">
        <v>50</v>
      </c>
      <c r="M5" s="254" t="s">
        <v>5</v>
      </c>
      <c r="N5" s="217" t="s">
        <v>6</v>
      </c>
      <c r="O5" s="217"/>
      <c r="P5" s="217"/>
      <c r="Q5" s="254" t="s">
        <v>7</v>
      </c>
      <c r="R5" s="254" t="s">
        <v>8</v>
      </c>
      <c r="S5" s="254" t="s">
        <v>9</v>
      </c>
      <c r="T5" s="218" t="s">
        <v>10</v>
      </c>
      <c r="U5" s="90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64"/>
      <c r="B6" s="264"/>
      <c r="C6" s="217"/>
      <c r="D6" s="217"/>
      <c r="E6" s="220"/>
      <c r="F6" s="265" t="s">
        <v>52</v>
      </c>
      <c r="G6" s="267"/>
      <c r="H6" s="265" t="s">
        <v>71</v>
      </c>
      <c r="I6" s="266"/>
      <c r="J6" s="252" t="s">
        <v>25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31</v>
      </c>
      <c r="Q6" s="255"/>
      <c r="R6" s="255"/>
      <c r="S6" s="255"/>
      <c r="T6" s="219"/>
      <c r="U6" s="90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64"/>
      <c r="B7" s="264"/>
      <c r="C7" s="254"/>
      <c r="D7" s="254"/>
      <c r="E7" s="220"/>
      <c r="F7" s="192" t="s">
        <v>34</v>
      </c>
      <c r="G7" s="189" t="s">
        <v>18</v>
      </c>
      <c r="H7" s="192" t="s">
        <v>34</v>
      </c>
      <c r="I7" s="112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9"/>
      <c r="U7" s="90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1" customFormat="1" ht="12.75" customHeight="1">
      <c r="A8" s="70">
        <v>1</v>
      </c>
      <c r="B8" s="70">
        <v>1</v>
      </c>
      <c r="C8" s="70">
        <v>2</v>
      </c>
      <c r="D8" s="70">
        <v>3</v>
      </c>
      <c r="E8" s="70">
        <v>4</v>
      </c>
      <c r="F8" s="70">
        <v>5</v>
      </c>
      <c r="G8" s="70">
        <v>6</v>
      </c>
      <c r="H8" s="70">
        <v>7</v>
      </c>
      <c r="I8" s="70">
        <v>8</v>
      </c>
      <c r="J8" s="70">
        <v>9</v>
      </c>
      <c r="K8" s="70">
        <v>10</v>
      </c>
      <c r="L8" s="70">
        <v>11</v>
      </c>
      <c r="M8" s="70">
        <v>12</v>
      </c>
      <c r="N8" s="70">
        <v>13</v>
      </c>
      <c r="O8" s="70">
        <v>14</v>
      </c>
      <c r="P8" s="70">
        <v>15</v>
      </c>
      <c r="Q8" s="70">
        <v>16</v>
      </c>
      <c r="R8" s="70">
        <v>17</v>
      </c>
      <c r="S8" s="70">
        <v>18</v>
      </c>
      <c r="T8" s="70">
        <v>19</v>
      </c>
      <c r="U8" s="90"/>
      <c r="V8" s="72"/>
      <c r="W8" s="72"/>
      <c r="X8" s="73"/>
      <c r="Y8" s="73"/>
      <c r="Z8" s="73"/>
      <c r="AA8" s="74"/>
      <c r="AB8" s="74"/>
      <c r="AC8" s="74"/>
      <c r="AD8" s="74"/>
      <c r="AE8" s="74"/>
    </row>
    <row r="9" spans="1:31" s="71" customFormat="1" ht="24" customHeight="1">
      <c r="A9" s="169" t="s">
        <v>68</v>
      </c>
      <c r="B9" s="168" t="s">
        <v>79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90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28" customFormat="1" ht="24" customHeight="1">
      <c r="A10" s="30">
        <v>1</v>
      </c>
      <c r="B10" s="125" t="s">
        <v>74</v>
      </c>
      <c r="C10" s="75" t="str">
        <f t="shared" ref="C10" si="0">VLOOKUP(B10,DS,2,0)</f>
        <v>Nguyễn Thị Kim Quyên</v>
      </c>
      <c r="D10" s="100" t="str">
        <f t="shared" ref="D10" si="1">VLOOKUP(B10,DS,3,0)</f>
        <v>Văn Phòng</v>
      </c>
      <c r="E10" s="76">
        <f t="shared" ref="E10" si="2">VLOOKUP(B10,DS,4,0)</f>
        <v>4000000</v>
      </c>
      <c r="F10" s="78">
        <f>VLOOKUP(B10,'CC -11'!$B$8:$AS$19,36,0)</f>
        <v>26</v>
      </c>
      <c r="G10" s="129">
        <f>ROUND(E10/$U$2*F10,0)</f>
        <v>4000000</v>
      </c>
      <c r="H10" s="78">
        <f>(VLOOKUP(B10,'CC -11'!$B$8:$AS$19,37,0)+VLOOKUP(B10,'CC -11'!$B$8:$AS$19,38,0))</f>
        <v>0</v>
      </c>
      <c r="I10" s="129">
        <f t="shared" ref="I10" si="3">ROUND(E10/$U$2*H10,0)</f>
        <v>0</v>
      </c>
      <c r="J10" s="79">
        <f t="shared" ref="J10" si="4">F10+H10</f>
        <v>26</v>
      </c>
      <c r="K10" s="31">
        <f>G10+I10</f>
        <v>4000000</v>
      </c>
      <c r="L10" s="76">
        <f t="shared" ref="L10" si="5">+F10*15000</f>
        <v>390000</v>
      </c>
      <c r="M10" s="32">
        <f t="shared" ref="M10" si="6">K10+L10</f>
        <v>4390000</v>
      </c>
      <c r="N10" s="32">
        <f>IF(VLOOKUP($B10,DS,29,0)="x",$E10*N$4,0)</f>
        <v>0</v>
      </c>
      <c r="O10" s="32">
        <f>IF(VLOOKUP($B10,DS,29,0)="x",$E10*O$4,0)</f>
        <v>0</v>
      </c>
      <c r="P10" s="32">
        <f>IF(VLOOKUP($B10,DS,29,0)="x",$E10*P$4,0)</f>
        <v>0</v>
      </c>
      <c r="Q10" s="31">
        <f t="shared" ref="Q10" si="7">M10-SUM(N10:P10)</f>
        <v>4390000</v>
      </c>
      <c r="R10" s="31">
        <f>VLOOKUP(B10,DS,23,0)</f>
        <v>0</v>
      </c>
      <c r="S10" s="37">
        <f t="shared" ref="S10" si="8">Q10-R10</f>
        <v>4390000</v>
      </c>
      <c r="T10" s="31"/>
      <c r="U10" s="90"/>
      <c r="V10" s="29"/>
      <c r="W10" s="23"/>
      <c r="X10" s="5"/>
      <c r="Y10" s="5"/>
      <c r="Z10" s="5"/>
      <c r="AA10" s="4"/>
      <c r="AB10" s="4"/>
      <c r="AC10" s="4"/>
      <c r="AD10" s="4"/>
      <c r="AE10" s="4"/>
    </row>
    <row r="11" spans="1:31" s="28" customFormat="1" ht="24" customHeight="1">
      <c r="A11" s="177"/>
      <c r="B11" s="178"/>
      <c r="C11" s="179"/>
      <c r="D11" s="180"/>
      <c r="E11" s="181"/>
      <c r="F11" s="182"/>
      <c r="G11" s="183"/>
      <c r="H11" s="182"/>
      <c r="I11" s="183"/>
      <c r="J11" s="184"/>
      <c r="K11" s="185"/>
      <c r="L11" s="181"/>
      <c r="M11" s="186"/>
      <c r="N11" s="186"/>
      <c r="O11" s="186"/>
      <c r="P11" s="186"/>
      <c r="Q11" s="185"/>
      <c r="R11" s="185"/>
      <c r="S11" s="187"/>
      <c r="T11" s="185"/>
      <c r="U11" s="90"/>
      <c r="V11" s="29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08" t="s">
        <v>23</v>
      </c>
      <c r="B12" s="209"/>
      <c r="C12" s="209"/>
      <c r="D12" s="210"/>
      <c r="E12" s="124">
        <f>SUM(E9:E11)</f>
        <v>4000000</v>
      </c>
      <c r="F12" s="124"/>
      <c r="G12" s="124">
        <f>SUM(G9:G11)</f>
        <v>4000000</v>
      </c>
      <c r="H12" s="124"/>
      <c r="I12" s="124">
        <f>SUM(I9:I11)</f>
        <v>0</v>
      </c>
      <c r="J12" s="124"/>
      <c r="K12" s="124">
        <f t="shared" ref="K12:S12" si="9">SUM(K9:K11)</f>
        <v>4000000</v>
      </c>
      <c r="L12" s="124">
        <f t="shared" si="9"/>
        <v>390000</v>
      </c>
      <c r="M12" s="124">
        <f t="shared" si="9"/>
        <v>4390000</v>
      </c>
      <c r="N12" s="124">
        <f t="shared" si="9"/>
        <v>0</v>
      </c>
      <c r="O12" s="124">
        <f t="shared" si="9"/>
        <v>0</v>
      </c>
      <c r="P12" s="124">
        <f t="shared" si="9"/>
        <v>0</v>
      </c>
      <c r="Q12" s="124">
        <f t="shared" si="9"/>
        <v>4390000</v>
      </c>
      <c r="R12" s="124">
        <f t="shared" si="9"/>
        <v>0</v>
      </c>
      <c r="S12" s="124">
        <f t="shared" si="9"/>
        <v>4390000</v>
      </c>
      <c r="T12" s="21"/>
      <c r="U12" s="90"/>
      <c r="V12" s="27"/>
      <c r="W12" s="27"/>
      <c r="X12" s="27"/>
      <c r="Y12" s="27"/>
      <c r="Z12" s="27"/>
    </row>
    <row r="13" spans="1:31" s="71" customFormat="1" ht="24" customHeight="1">
      <c r="A13" s="169" t="s">
        <v>69</v>
      </c>
      <c r="B13" s="168" t="s">
        <v>70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90"/>
      <c r="V13" s="72"/>
      <c r="W13" s="72"/>
      <c r="X13" s="73"/>
      <c r="Y13" s="73"/>
      <c r="Z13" s="73"/>
      <c r="AA13" s="74"/>
      <c r="AB13" s="74"/>
      <c r="AC13" s="74"/>
      <c r="AD13" s="74"/>
      <c r="AE13" s="74"/>
    </row>
    <row r="14" spans="1:31" s="28" customFormat="1" ht="24" customHeight="1">
      <c r="A14" s="30">
        <v>1</v>
      </c>
      <c r="B14" s="125" t="s">
        <v>75</v>
      </c>
      <c r="C14" s="75" t="str">
        <f t="shared" ref="C14:C17" si="10">VLOOKUP(B14,DS,2,0)</f>
        <v>Lê Văn Hữu</v>
      </c>
      <c r="D14" s="100" t="str">
        <f t="shared" ref="D14:D17" si="11">VLOOKUP(B14,DS,3,0)</f>
        <v>Công Đoạn 1</v>
      </c>
      <c r="E14" s="76">
        <f t="shared" ref="E14:E17" si="12">VLOOKUP(B14,DS,4,0)</f>
        <v>3200000</v>
      </c>
      <c r="F14" s="78">
        <f>VLOOKUP(B14,'CC -11'!$B$8:$AS$19,36,0)</f>
        <v>26</v>
      </c>
      <c r="G14" s="129">
        <f t="shared" ref="G14:G17" si="13">ROUND(E14/$U$2*F14,0)</f>
        <v>3200000</v>
      </c>
      <c r="H14" s="78">
        <f>(VLOOKUP(B14,'CC -11'!$B$8:$AS$19,37,0)+VLOOKUP(B14,'CC -11'!$B$8:$AS$19,38,0))</f>
        <v>0</v>
      </c>
      <c r="I14" s="129">
        <f t="shared" ref="I14:I17" si="14">ROUND(E14/$U$2*H14,0)</f>
        <v>0</v>
      </c>
      <c r="J14" s="130">
        <f t="shared" ref="J14:K17" si="15">F14+H14</f>
        <v>26</v>
      </c>
      <c r="K14" s="31">
        <f t="shared" si="15"/>
        <v>3200000</v>
      </c>
      <c r="L14" s="76">
        <f t="shared" ref="L14:L17" si="16">+F14*15000</f>
        <v>390000</v>
      </c>
      <c r="M14" s="32">
        <f t="shared" ref="M14:M17" si="17">K14+L14</f>
        <v>3590000</v>
      </c>
      <c r="N14" s="32">
        <f t="shared" ref="N14:P17" si="18">IF(VLOOKUP($B14,DS,29,0)="x",$E14*N$4,0)</f>
        <v>0</v>
      </c>
      <c r="O14" s="32">
        <f t="shared" si="18"/>
        <v>0</v>
      </c>
      <c r="P14" s="32">
        <f t="shared" si="18"/>
        <v>0</v>
      </c>
      <c r="Q14" s="31">
        <f>M14-SUM(N14:P14)</f>
        <v>3590000</v>
      </c>
      <c r="R14" s="31">
        <f t="shared" ref="R14:R17" si="19">VLOOKUP(B14,DS,23,0)</f>
        <v>0</v>
      </c>
      <c r="S14" s="37">
        <f>Q14-R14</f>
        <v>3590000</v>
      </c>
      <c r="T14" s="31"/>
      <c r="U14" s="90"/>
      <c r="V14" s="29"/>
      <c r="W14" s="23"/>
      <c r="X14" s="5"/>
      <c r="Y14" s="5"/>
      <c r="Z14" s="5"/>
      <c r="AA14" s="4"/>
      <c r="AB14" s="4"/>
      <c r="AC14" s="4"/>
      <c r="AD14" s="4"/>
      <c r="AE14" s="4"/>
    </row>
    <row r="15" spans="1:31" s="28" customFormat="1" ht="24" customHeight="1">
      <c r="A15" s="30">
        <v>2</v>
      </c>
      <c r="B15" s="125" t="s">
        <v>76</v>
      </c>
      <c r="C15" s="75" t="str">
        <f t="shared" ref="C15:C16" si="20">VLOOKUP(B15,DS,2,0)</f>
        <v>Phan Thị Sương</v>
      </c>
      <c r="D15" s="100" t="str">
        <f t="shared" ref="D15:D16" si="21">VLOOKUP(B15,DS,3,0)</f>
        <v>Công Đoạn 1</v>
      </c>
      <c r="E15" s="76">
        <f t="shared" ref="E15:E16" si="22">VLOOKUP(B15,DS,4,0)</f>
        <v>3000000</v>
      </c>
      <c r="F15" s="78">
        <f>VLOOKUP(B15,'CC -11'!$B$8:$AS$19,36,0)</f>
        <v>26</v>
      </c>
      <c r="G15" s="129">
        <f t="shared" ref="G15:G16" si="23">ROUND(E15/$U$2*F15,0)</f>
        <v>3000000</v>
      </c>
      <c r="H15" s="78">
        <f>(VLOOKUP(B15,'CC -11'!$B$8:$AS$19,37,0)+VLOOKUP(B15,'CC -11'!$B$8:$AS$19,38,0))</f>
        <v>0</v>
      </c>
      <c r="I15" s="129">
        <f t="shared" ref="I15:I16" si="24">ROUND(E15/$U$2*H15,0)</f>
        <v>0</v>
      </c>
      <c r="J15" s="130">
        <f t="shared" ref="J15:J16" si="25">F15+H15</f>
        <v>26</v>
      </c>
      <c r="K15" s="31">
        <f t="shared" ref="K15:K16" si="26">G15+I15</f>
        <v>3000000</v>
      </c>
      <c r="L15" s="76">
        <f t="shared" ref="L15:L16" si="27">+F15*15000</f>
        <v>390000</v>
      </c>
      <c r="M15" s="32">
        <f t="shared" ref="M15:M16" si="28">K15+L15</f>
        <v>3390000</v>
      </c>
      <c r="N15" s="32">
        <f t="shared" si="18"/>
        <v>0</v>
      </c>
      <c r="O15" s="32">
        <f t="shared" si="18"/>
        <v>0</v>
      </c>
      <c r="P15" s="32">
        <f t="shared" si="18"/>
        <v>0</v>
      </c>
      <c r="Q15" s="31">
        <f t="shared" ref="Q15:Q16" si="29">M15-SUM(N15:P15)</f>
        <v>3390000</v>
      </c>
      <c r="R15" s="31">
        <f t="shared" ref="R15:R16" si="30">VLOOKUP(B15,DS,23,0)</f>
        <v>0</v>
      </c>
      <c r="S15" s="37">
        <f t="shared" ref="S15:S16" si="31">Q15-R15</f>
        <v>3390000</v>
      </c>
      <c r="T15" s="31"/>
      <c r="U15" s="90"/>
      <c r="V15" s="29"/>
      <c r="W15" s="23"/>
      <c r="X15" s="5"/>
      <c r="Y15" s="5"/>
      <c r="Z15" s="5"/>
      <c r="AA15" s="4"/>
      <c r="AB15" s="4"/>
      <c r="AC15" s="4"/>
      <c r="AD15" s="4"/>
      <c r="AE15" s="4"/>
    </row>
    <row r="16" spans="1:31" s="28" customFormat="1" ht="24" customHeight="1">
      <c r="A16" s="30">
        <v>3</v>
      </c>
      <c r="B16" s="125" t="s">
        <v>77</v>
      </c>
      <c r="C16" s="75" t="str">
        <f t="shared" si="20"/>
        <v>Cao Minh Chí</v>
      </c>
      <c r="D16" s="100" t="str">
        <f t="shared" si="21"/>
        <v>Công Đoạn 2</v>
      </c>
      <c r="E16" s="76">
        <f t="shared" si="22"/>
        <v>3200000</v>
      </c>
      <c r="F16" s="78">
        <f>VLOOKUP(B16,'CC -11'!$B$8:$AS$19,36,0)</f>
        <v>26</v>
      </c>
      <c r="G16" s="129">
        <f t="shared" si="23"/>
        <v>3200000</v>
      </c>
      <c r="H16" s="78">
        <f>(VLOOKUP(B16,'CC -11'!$B$8:$AS$19,37,0)+VLOOKUP(B16,'CC -11'!$B$8:$AS$19,38,0))</f>
        <v>0</v>
      </c>
      <c r="I16" s="129">
        <f t="shared" si="24"/>
        <v>0</v>
      </c>
      <c r="J16" s="130">
        <f t="shared" si="25"/>
        <v>26</v>
      </c>
      <c r="K16" s="31">
        <f t="shared" si="26"/>
        <v>3200000</v>
      </c>
      <c r="L16" s="76">
        <f t="shared" si="27"/>
        <v>390000</v>
      </c>
      <c r="M16" s="32">
        <f t="shared" si="28"/>
        <v>3590000</v>
      </c>
      <c r="N16" s="32">
        <f t="shared" si="18"/>
        <v>0</v>
      </c>
      <c r="O16" s="32">
        <f t="shared" si="18"/>
        <v>0</v>
      </c>
      <c r="P16" s="32">
        <f t="shared" si="18"/>
        <v>0</v>
      </c>
      <c r="Q16" s="31">
        <f t="shared" si="29"/>
        <v>3590000</v>
      </c>
      <c r="R16" s="31">
        <f t="shared" si="30"/>
        <v>0</v>
      </c>
      <c r="S16" s="37">
        <f t="shared" si="31"/>
        <v>3590000</v>
      </c>
      <c r="T16" s="31"/>
      <c r="U16" s="90"/>
      <c r="V16" s="29"/>
      <c r="W16" s="23"/>
      <c r="X16" s="5"/>
      <c r="Y16" s="5"/>
      <c r="Z16" s="5"/>
      <c r="AA16" s="4"/>
      <c r="AB16" s="4"/>
      <c r="AC16" s="4"/>
      <c r="AD16" s="4"/>
      <c r="AE16" s="4"/>
    </row>
    <row r="17" spans="1:31" s="28" customFormat="1" ht="24" customHeight="1">
      <c r="A17" s="30">
        <v>4</v>
      </c>
      <c r="B17" s="125" t="s">
        <v>81</v>
      </c>
      <c r="C17" s="75" t="str">
        <f t="shared" si="10"/>
        <v>Nguyễn Thị Sự</v>
      </c>
      <c r="D17" s="100" t="str">
        <f t="shared" si="11"/>
        <v>Công Đoạn 2</v>
      </c>
      <c r="E17" s="76">
        <f t="shared" si="12"/>
        <v>3000000</v>
      </c>
      <c r="F17" s="78">
        <f>VLOOKUP(B17,'CC -11'!$B$8:$AS$19,36,0)</f>
        <v>26</v>
      </c>
      <c r="G17" s="129">
        <f t="shared" si="13"/>
        <v>3000000</v>
      </c>
      <c r="H17" s="78">
        <f>(VLOOKUP(B17,'CC -11'!$B$8:$AS$19,37,0)+VLOOKUP(B17,'CC -11'!$B$8:$AS$19,38,0))</f>
        <v>0</v>
      </c>
      <c r="I17" s="129">
        <f t="shared" si="14"/>
        <v>0</v>
      </c>
      <c r="J17" s="130">
        <f t="shared" si="15"/>
        <v>26</v>
      </c>
      <c r="K17" s="31">
        <f t="shared" si="15"/>
        <v>3000000</v>
      </c>
      <c r="L17" s="76">
        <f t="shared" si="16"/>
        <v>390000</v>
      </c>
      <c r="M17" s="32">
        <f t="shared" si="17"/>
        <v>3390000</v>
      </c>
      <c r="N17" s="32">
        <f t="shared" si="18"/>
        <v>0</v>
      </c>
      <c r="O17" s="32">
        <f t="shared" si="18"/>
        <v>0</v>
      </c>
      <c r="P17" s="32">
        <f t="shared" si="18"/>
        <v>0</v>
      </c>
      <c r="Q17" s="31">
        <f t="shared" ref="Q17" si="32">M17-SUM(N17:P17)</f>
        <v>3390000</v>
      </c>
      <c r="R17" s="31">
        <f t="shared" si="19"/>
        <v>0</v>
      </c>
      <c r="S17" s="37">
        <f t="shared" ref="S17" si="33">Q17-R17</f>
        <v>3390000</v>
      </c>
      <c r="T17" s="31"/>
      <c r="U17" s="90"/>
      <c r="V17" s="29"/>
      <c r="W17" s="23"/>
      <c r="X17" s="5"/>
      <c r="Y17" s="5"/>
      <c r="Z17" s="5"/>
      <c r="AA17" s="4"/>
      <c r="AB17" s="4"/>
      <c r="AC17" s="4"/>
      <c r="AD17" s="4"/>
      <c r="AE17" s="4"/>
    </row>
    <row r="18" spans="1:31" s="28" customFormat="1" ht="22.5" customHeight="1">
      <c r="A18" s="33"/>
      <c r="B18" s="166"/>
      <c r="C18" s="34"/>
      <c r="D18" s="3"/>
      <c r="E18" s="35"/>
      <c r="F18" s="35"/>
      <c r="G18" s="35"/>
      <c r="H18" s="35"/>
      <c r="I18" s="35"/>
      <c r="J18" s="36"/>
      <c r="K18" s="35"/>
      <c r="L18" s="35"/>
      <c r="M18" s="165"/>
      <c r="N18" s="35"/>
      <c r="O18" s="35"/>
      <c r="P18" s="35"/>
      <c r="Q18" s="35"/>
      <c r="R18" s="35"/>
      <c r="S18" s="35"/>
      <c r="T18" s="31"/>
      <c r="U18" s="90"/>
      <c r="V18" s="29"/>
      <c r="W18" s="29"/>
      <c r="X18" s="29"/>
      <c r="Y18" s="29"/>
      <c r="Z18" s="29"/>
    </row>
    <row r="19" spans="1:31" s="26" customFormat="1" ht="21" customHeight="1">
      <c r="A19" s="208" t="s">
        <v>23</v>
      </c>
      <c r="B19" s="209"/>
      <c r="C19" s="209"/>
      <c r="D19" s="210"/>
      <c r="E19" s="124">
        <f>SUM(E13:E18)</f>
        <v>12400000</v>
      </c>
      <c r="F19" s="124"/>
      <c r="G19" s="124">
        <f>SUM(G13:G18)</f>
        <v>12400000</v>
      </c>
      <c r="H19" s="124"/>
      <c r="I19" s="124">
        <f>SUM(I13:I18)</f>
        <v>0</v>
      </c>
      <c r="J19" s="124"/>
      <c r="K19" s="124">
        <f t="shared" ref="K19:S19" si="34">SUM(K13:K18)</f>
        <v>12400000</v>
      </c>
      <c r="L19" s="124">
        <f t="shared" si="34"/>
        <v>1560000</v>
      </c>
      <c r="M19" s="124">
        <f t="shared" si="34"/>
        <v>13960000</v>
      </c>
      <c r="N19" s="124">
        <f t="shared" si="34"/>
        <v>0</v>
      </c>
      <c r="O19" s="124">
        <f t="shared" si="34"/>
        <v>0</v>
      </c>
      <c r="P19" s="124">
        <f t="shared" si="34"/>
        <v>0</v>
      </c>
      <c r="Q19" s="124">
        <f t="shared" si="34"/>
        <v>13960000</v>
      </c>
      <c r="R19" s="124">
        <f t="shared" si="34"/>
        <v>0</v>
      </c>
      <c r="S19" s="124">
        <f t="shared" si="34"/>
        <v>13960000</v>
      </c>
      <c r="T19" s="21"/>
      <c r="U19" s="90"/>
      <c r="V19" s="27"/>
      <c r="W19" s="27"/>
      <c r="X19" s="27"/>
      <c r="Y19" s="27"/>
      <c r="Z19" s="27"/>
    </row>
    <row r="20" spans="1:31" ht="11.25" customHeight="1">
      <c r="A20" s="8"/>
      <c r="B20" s="8"/>
      <c r="C20" s="9"/>
      <c r="D20" s="101"/>
      <c r="E20" s="80"/>
      <c r="F20" s="9"/>
      <c r="G20" s="9"/>
      <c r="H20" s="9"/>
      <c r="I20" s="9"/>
      <c r="K20" s="9"/>
      <c r="L20" s="9"/>
      <c r="M20" s="88"/>
      <c r="N20" s="9"/>
      <c r="O20" s="9"/>
      <c r="P20" s="9"/>
      <c r="Q20" s="9"/>
      <c r="R20" s="9"/>
      <c r="S20" s="9"/>
      <c r="T20" s="9"/>
      <c r="U20" s="90"/>
    </row>
    <row r="21" spans="1:31" s="28" customFormat="1" ht="11.25" customHeight="1">
      <c r="A21" s="64"/>
      <c r="B21" s="64"/>
      <c r="C21" s="64"/>
      <c r="D21" s="117"/>
      <c r="E21" s="118"/>
      <c r="F21" s="64"/>
      <c r="G21" s="64"/>
      <c r="H21" s="64"/>
      <c r="I21" s="64"/>
      <c r="J21" s="119"/>
      <c r="K21" s="118"/>
      <c r="L21" s="64"/>
      <c r="M21" s="64"/>
      <c r="N21" s="64"/>
      <c r="O21" s="64"/>
      <c r="P21" s="64"/>
      <c r="Q21" s="64"/>
      <c r="R21" s="64"/>
      <c r="S21" s="94" t="str">
        <f>"Long An, ngày  "&amp;$V$2&amp;"   tháng   "&amp;TEXT($E$4,"mm")&amp;"   năm "&amp;TEXT($E$4,"yyyy")</f>
        <v>Long An, ngày  31   tháng   11   năm 2016</v>
      </c>
      <c r="T21" s="64"/>
      <c r="U21" s="120"/>
      <c r="V21" s="29"/>
      <c r="W21" s="29"/>
      <c r="X21" s="29"/>
      <c r="Y21" s="29"/>
      <c r="Z21" s="29"/>
    </row>
    <row r="22" spans="1:31" s="28" customFormat="1" ht="12.75">
      <c r="A22" s="24"/>
      <c r="B22" s="24"/>
      <c r="C22" s="24" t="s">
        <v>53</v>
      </c>
      <c r="D22" s="121"/>
      <c r="E22" s="65"/>
      <c r="F22" s="120"/>
      <c r="G22" s="65"/>
      <c r="H22" s="65"/>
      <c r="I22" s="65"/>
      <c r="J22" s="122"/>
      <c r="K22" s="29"/>
      <c r="L22" s="24"/>
      <c r="M22" s="131"/>
      <c r="N22" s="20"/>
      <c r="O22" s="20"/>
      <c r="P22" s="20"/>
      <c r="Q22" s="20"/>
      <c r="S22" s="120" t="s">
        <v>21</v>
      </c>
      <c r="T22" s="120"/>
      <c r="U22" s="120"/>
      <c r="V22" s="29"/>
      <c r="W22" s="29"/>
      <c r="X22" s="29"/>
      <c r="Y22" s="29"/>
      <c r="Z22" s="29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0"/>
    </row>
    <row r="24" spans="1:31" ht="12">
      <c r="C24" s="15"/>
      <c r="L24" s="15"/>
      <c r="T24" s="15"/>
      <c r="U24" s="90"/>
    </row>
    <row r="25" spans="1:31" ht="12">
      <c r="U25" s="90"/>
    </row>
    <row r="26" spans="1:31" ht="12">
      <c r="U26" s="90"/>
    </row>
    <row r="27" spans="1:31" ht="12">
      <c r="U27" s="90"/>
    </row>
    <row r="28" spans="1:31" ht="12">
      <c r="U28" s="90"/>
    </row>
    <row r="29" spans="1:31" ht="12">
      <c r="U29" s="90"/>
    </row>
    <row r="30" spans="1:31" ht="12">
      <c r="U30" s="90"/>
    </row>
  </sheetData>
  <protectedRanges>
    <protectedRange password="CC78" sqref="V18:IK19 C5:D7 B22:C22 V5:W9 A18:A23 B18:B21 B23 V13:W13 Q5:T7 E5:I6 D19 N5:P6 L5 L22 J6:K7 L7 A25:T58 U31:U58 N18:S18 V25:IK58 J18:L18 A59:IK65326 AF13:IK13 V12:IK12 D12 Q10:S11 AF5:IK11 W10:W11 A10:B12" name="Range1"/>
    <protectedRange password="CC78" sqref="F7:H7" name="Range1_4"/>
    <protectedRange password="CC78" sqref="V22:IK23 S22:T23 N22:Q23 E22:I23" name="Range1_1_1"/>
    <protectedRange password="CC78" sqref="U1 W1:IK3 V4:IK4 B4:T4 R2:S3 B1:Q3 U18:U30 X13:AE13 X5:AE11 U4:U1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7 Q14:S17 AF14:IK17 A14:B17" name="Range1_5"/>
    <protectedRange password="CC78" sqref="U14:U17 X14:AE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8" customWidth="1"/>
    <col min="5" max="5" width="7.140625" style="2" customWidth="1"/>
    <col min="6" max="33" width="3.42578125" style="107" customWidth="1"/>
    <col min="34" max="36" width="3.42578125" style="108" customWidth="1"/>
    <col min="37" max="38" width="4.42578125" style="2" customWidth="1"/>
    <col min="39" max="39" width="5.5703125" style="86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3"/>
      <c r="B1" s="40"/>
      <c r="C1" s="40"/>
      <c r="D1" s="44"/>
      <c r="E1" s="40"/>
      <c r="F1" s="44"/>
      <c r="G1" s="44"/>
      <c r="H1" s="44"/>
      <c r="I1" s="44"/>
      <c r="J1" s="44"/>
      <c r="K1" s="103"/>
      <c r="L1" s="103"/>
      <c r="M1" s="103"/>
      <c r="N1" s="103"/>
      <c r="O1" s="103"/>
      <c r="P1" s="103"/>
      <c r="Q1" s="103"/>
      <c r="R1" s="103"/>
      <c r="S1" s="42" t="str">
        <f>CONCATENATE("BẢNG CHẤM CÔNG THÁNG ",TEXT($E$4,"mm")," NĂM ",TEXT($E$4,"yyyy"))</f>
        <v>BẢNG CHẤM CÔNG THÁNG 12 NĂM 2016</v>
      </c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41"/>
      <c r="AL1" s="41"/>
      <c r="AM1" s="241" t="s">
        <v>78</v>
      </c>
      <c r="AN1" s="242"/>
      <c r="AO1" s="242"/>
      <c r="AP1" s="242"/>
      <c r="AQ1" s="242"/>
      <c r="AR1" s="242"/>
      <c r="AS1" s="243"/>
      <c r="AT1" s="43"/>
    </row>
    <row r="2" spans="1:91" ht="20.25">
      <c r="A2" s="123"/>
      <c r="B2" s="44"/>
      <c r="C2" s="44"/>
      <c r="D2" s="44"/>
      <c r="E2" s="44"/>
      <c r="F2" s="44"/>
      <c r="G2" s="44"/>
      <c r="H2" s="44"/>
      <c r="I2" s="44"/>
      <c r="J2" s="44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41"/>
      <c r="AL2" s="41"/>
      <c r="AM2" s="82"/>
      <c r="AN2" s="45"/>
      <c r="AO2" s="45"/>
      <c r="AP2" s="45"/>
      <c r="AQ2" s="45"/>
      <c r="AR2" s="45"/>
      <c r="AS2" s="81"/>
      <c r="AT2" s="81"/>
    </row>
    <row r="3" spans="1:91" ht="21" customHeight="1">
      <c r="A3" s="123"/>
      <c r="B3" s="46"/>
      <c r="C3" s="46"/>
      <c r="D3" s="47"/>
      <c r="E3" s="47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41"/>
      <c r="AL3" s="41"/>
      <c r="AM3" s="82"/>
      <c r="AN3" s="43"/>
      <c r="AO3" s="43"/>
      <c r="AP3" s="43"/>
      <c r="AQ3" s="43"/>
      <c r="AR3" s="43"/>
      <c r="AS3" s="48"/>
      <c r="AT3" s="48"/>
    </row>
    <row r="4" spans="1:91" ht="14.25" customHeight="1">
      <c r="A4" s="49"/>
      <c r="B4" s="49"/>
      <c r="C4" s="139"/>
      <c r="D4" s="138"/>
      <c r="E4" s="50">
        <v>42705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  <c r="AI4" s="52"/>
      <c r="AJ4" s="52"/>
      <c r="AK4" s="49"/>
      <c r="AL4" s="49"/>
      <c r="AM4" s="83"/>
      <c r="AN4" s="49"/>
      <c r="AO4" s="49"/>
      <c r="AP4" s="49"/>
      <c r="AQ4" s="49"/>
      <c r="AR4" s="49"/>
      <c r="AS4" s="49"/>
      <c r="AT4" s="87"/>
    </row>
    <row r="5" spans="1:91" s="53" customFormat="1" ht="18.75" customHeight="1">
      <c r="A5" s="244" t="s">
        <v>26</v>
      </c>
      <c r="B5" s="244" t="s">
        <v>3</v>
      </c>
      <c r="C5" s="244" t="s">
        <v>1</v>
      </c>
      <c r="D5" s="246" t="s">
        <v>27</v>
      </c>
      <c r="E5" s="244" t="s">
        <v>28</v>
      </c>
      <c r="F5" s="102">
        <f>+E4</f>
        <v>42705</v>
      </c>
      <c r="G5" s="102">
        <f t="shared" ref="G5:AJ5" si="0">F5+1</f>
        <v>42706</v>
      </c>
      <c r="H5" s="102">
        <f t="shared" si="0"/>
        <v>42707</v>
      </c>
      <c r="I5" s="102">
        <f t="shared" si="0"/>
        <v>42708</v>
      </c>
      <c r="J5" s="102">
        <f t="shared" si="0"/>
        <v>42709</v>
      </c>
      <c r="K5" s="102">
        <f t="shared" si="0"/>
        <v>42710</v>
      </c>
      <c r="L5" s="102">
        <f t="shared" si="0"/>
        <v>42711</v>
      </c>
      <c r="M5" s="102">
        <f t="shared" si="0"/>
        <v>42712</v>
      </c>
      <c r="N5" s="102">
        <f t="shared" si="0"/>
        <v>42713</v>
      </c>
      <c r="O5" s="102">
        <f t="shared" si="0"/>
        <v>42714</v>
      </c>
      <c r="P5" s="102">
        <f t="shared" si="0"/>
        <v>42715</v>
      </c>
      <c r="Q5" s="102">
        <f t="shared" si="0"/>
        <v>42716</v>
      </c>
      <c r="R5" s="102">
        <f t="shared" si="0"/>
        <v>42717</v>
      </c>
      <c r="S5" s="102">
        <f t="shared" si="0"/>
        <v>42718</v>
      </c>
      <c r="T5" s="102">
        <f t="shared" si="0"/>
        <v>42719</v>
      </c>
      <c r="U5" s="102">
        <f t="shared" si="0"/>
        <v>42720</v>
      </c>
      <c r="V5" s="102">
        <f t="shared" si="0"/>
        <v>42721</v>
      </c>
      <c r="W5" s="102">
        <f t="shared" si="0"/>
        <v>42722</v>
      </c>
      <c r="X5" s="102">
        <f t="shared" si="0"/>
        <v>42723</v>
      </c>
      <c r="Y5" s="102">
        <f t="shared" si="0"/>
        <v>42724</v>
      </c>
      <c r="Z5" s="102">
        <f t="shared" si="0"/>
        <v>42725</v>
      </c>
      <c r="AA5" s="102">
        <f t="shared" si="0"/>
        <v>42726</v>
      </c>
      <c r="AB5" s="102">
        <f t="shared" si="0"/>
        <v>42727</v>
      </c>
      <c r="AC5" s="102">
        <f t="shared" si="0"/>
        <v>42728</v>
      </c>
      <c r="AD5" s="102">
        <f t="shared" si="0"/>
        <v>42729</v>
      </c>
      <c r="AE5" s="102">
        <f t="shared" si="0"/>
        <v>42730</v>
      </c>
      <c r="AF5" s="102">
        <f t="shared" si="0"/>
        <v>42731</v>
      </c>
      <c r="AG5" s="102">
        <f t="shared" si="0"/>
        <v>42732</v>
      </c>
      <c r="AH5" s="102">
        <f>AG5+1</f>
        <v>42733</v>
      </c>
      <c r="AI5" s="102">
        <f t="shared" si="0"/>
        <v>42734</v>
      </c>
      <c r="AJ5" s="102">
        <f t="shared" si="0"/>
        <v>42735</v>
      </c>
      <c r="AK5" s="247" t="s">
        <v>15</v>
      </c>
      <c r="AL5" s="248"/>
      <c r="AM5" s="249"/>
      <c r="AN5" s="250" t="s">
        <v>39</v>
      </c>
      <c r="AO5" s="250" t="s">
        <v>35</v>
      </c>
      <c r="AP5" s="250" t="s">
        <v>36</v>
      </c>
      <c r="AQ5" s="250" t="s">
        <v>37</v>
      </c>
      <c r="AR5" s="250" t="s">
        <v>38</v>
      </c>
      <c r="AS5" s="246" t="s">
        <v>0</v>
      </c>
      <c r="AT5" s="24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3" customFormat="1" ht="39.75" customHeight="1">
      <c r="A6" s="245"/>
      <c r="B6" s="245"/>
      <c r="C6" s="245"/>
      <c r="D6" s="245"/>
      <c r="E6" s="245"/>
      <c r="F6" s="155" t="str">
        <f>CHOOSE(WEEKDAY(F5),"C.Nhật","T.Hai","T.Ba","T.Tư","T.Năm","T.Sáu","T.Bảy")</f>
        <v>T.Năm</v>
      </c>
      <c r="G6" s="155" t="str">
        <f t="shared" ref="G6:AJ6" si="1">CHOOSE(WEEKDAY(G5),"C.Nhật","T.Hai","T.Ba","T.Tư","T.Năm","T.Sáu","T.Bảy")</f>
        <v>T.Sáu</v>
      </c>
      <c r="H6" s="155" t="str">
        <f t="shared" si="1"/>
        <v>T.Bảy</v>
      </c>
      <c r="I6" s="155" t="str">
        <f t="shared" si="1"/>
        <v>C.Nhật</v>
      </c>
      <c r="J6" s="155" t="str">
        <f t="shared" si="1"/>
        <v>T.Hai</v>
      </c>
      <c r="K6" s="155" t="str">
        <f t="shared" si="1"/>
        <v>T.Ba</v>
      </c>
      <c r="L6" s="155" t="str">
        <f t="shared" si="1"/>
        <v>T.Tư</v>
      </c>
      <c r="M6" s="155" t="str">
        <f t="shared" si="1"/>
        <v>T.Năm</v>
      </c>
      <c r="N6" s="155" t="str">
        <f t="shared" si="1"/>
        <v>T.Sáu</v>
      </c>
      <c r="O6" s="155" t="str">
        <f t="shared" si="1"/>
        <v>T.Bảy</v>
      </c>
      <c r="P6" s="155" t="str">
        <f t="shared" si="1"/>
        <v>C.Nhật</v>
      </c>
      <c r="Q6" s="155" t="str">
        <f t="shared" si="1"/>
        <v>T.Hai</v>
      </c>
      <c r="R6" s="155" t="str">
        <f t="shared" si="1"/>
        <v>T.Ba</v>
      </c>
      <c r="S6" s="155" t="str">
        <f t="shared" si="1"/>
        <v>T.Tư</v>
      </c>
      <c r="T6" s="155" t="str">
        <f t="shared" si="1"/>
        <v>T.Năm</v>
      </c>
      <c r="U6" s="155" t="str">
        <f t="shared" si="1"/>
        <v>T.Sáu</v>
      </c>
      <c r="V6" s="155" t="str">
        <f t="shared" si="1"/>
        <v>T.Bảy</v>
      </c>
      <c r="W6" s="155" t="str">
        <f t="shared" si="1"/>
        <v>C.Nhật</v>
      </c>
      <c r="X6" s="155" t="str">
        <f t="shared" si="1"/>
        <v>T.Hai</v>
      </c>
      <c r="Y6" s="155" t="str">
        <f t="shared" si="1"/>
        <v>T.Ba</v>
      </c>
      <c r="Z6" s="155" t="str">
        <f t="shared" si="1"/>
        <v>T.Tư</v>
      </c>
      <c r="AA6" s="155" t="str">
        <f t="shared" si="1"/>
        <v>T.Năm</v>
      </c>
      <c r="AB6" s="155" t="str">
        <f t="shared" si="1"/>
        <v>T.Sáu</v>
      </c>
      <c r="AC6" s="155" t="str">
        <f t="shared" si="1"/>
        <v>T.Bảy</v>
      </c>
      <c r="AD6" s="155" t="str">
        <f t="shared" si="1"/>
        <v>C.Nhật</v>
      </c>
      <c r="AE6" s="155" t="str">
        <f t="shared" si="1"/>
        <v>T.Hai</v>
      </c>
      <c r="AF6" s="155" t="str">
        <f t="shared" si="1"/>
        <v>T.Ba</v>
      </c>
      <c r="AG6" s="155" t="str">
        <f t="shared" si="1"/>
        <v>T.Tư</v>
      </c>
      <c r="AH6" s="155" t="str">
        <f t="shared" si="1"/>
        <v>T.Năm</v>
      </c>
      <c r="AI6" s="155" t="str">
        <f t="shared" si="1"/>
        <v>T.Sáu</v>
      </c>
      <c r="AJ6" s="155" t="str">
        <f t="shared" si="1"/>
        <v>T.Bảy</v>
      </c>
      <c r="AK6" s="156" t="s">
        <v>16</v>
      </c>
      <c r="AL6" s="156" t="s">
        <v>29</v>
      </c>
      <c r="AM6" s="157" t="s">
        <v>17</v>
      </c>
      <c r="AN6" s="251"/>
      <c r="AO6" s="251"/>
      <c r="AP6" s="251"/>
      <c r="AQ6" s="251"/>
      <c r="AR6" s="251"/>
      <c r="AS6" s="245"/>
      <c r="AT6" s="24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3" customFormat="1" ht="12.75" customHeight="1">
      <c r="A7" s="158">
        <v>1</v>
      </c>
      <c r="B7" s="158">
        <v>1</v>
      </c>
      <c r="C7" s="158">
        <v>2</v>
      </c>
      <c r="D7" s="158">
        <v>3</v>
      </c>
      <c r="E7" s="158">
        <v>4</v>
      </c>
      <c r="F7" s="158">
        <v>5</v>
      </c>
      <c r="G7" s="158">
        <v>6</v>
      </c>
      <c r="H7" s="158">
        <v>7</v>
      </c>
      <c r="I7" s="158">
        <v>8</v>
      </c>
      <c r="J7" s="158">
        <v>9</v>
      </c>
      <c r="K7" s="158">
        <v>10</v>
      </c>
      <c r="L7" s="158">
        <v>11</v>
      </c>
      <c r="M7" s="158">
        <v>12</v>
      </c>
      <c r="N7" s="158">
        <v>13</v>
      </c>
      <c r="O7" s="158">
        <v>14</v>
      </c>
      <c r="P7" s="158">
        <v>15</v>
      </c>
      <c r="Q7" s="158">
        <v>16</v>
      </c>
      <c r="R7" s="158">
        <v>17</v>
      </c>
      <c r="S7" s="158">
        <v>18</v>
      </c>
      <c r="T7" s="158">
        <v>19</v>
      </c>
      <c r="U7" s="158">
        <v>20</v>
      </c>
      <c r="V7" s="158">
        <v>21</v>
      </c>
      <c r="W7" s="158">
        <v>22</v>
      </c>
      <c r="X7" s="158">
        <v>23</v>
      </c>
      <c r="Y7" s="158">
        <v>24</v>
      </c>
      <c r="Z7" s="158">
        <v>25</v>
      </c>
      <c r="AA7" s="158">
        <v>26</v>
      </c>
      <c r="AB7" s="158">
        <v>27</v>
      </c>
      <c r="AC7" s="158">
        <v>28</v>
      </c>
      <c r="AD7" s="158">
        <v>29</v>
      </c>
      <c r="AE7" s="158">
        <v>30</v>
      </c>
      <c r="AF7" s="158">
        <v>31</v>
      </c>
      <c r="AG7" s="158">
        <v>32</v>
      </c>
      <c r="AH7" s="158">
        <v>33</v>
      </c>
      <c r="AI7" s="158">
        <v>34</v>
      </c>
      <c r="AJ7" s="158">
        <v>35</v>
      </c>
      <c r="AK7" s="158">
        <v>36</v>
      </c>
      <c r="AL7" s="158">
        <v>37</v>
      </c>
      <c r="AM7" s="158">
        <v>38</v>
      </c>
      <c r="AN7" s="158">
        <v>39</v>
      </c>
      <c r="AO7" s="158">
        <v>40</v>
      </c>
      <c r="AP7" s="158">
        <v>41</v>
      </c>
      <c r="AQ7" s="158">
        <v>42</v>
      </c>
      <c r="AR7" s="158">
        <v>43</v>
      </c>
      <c r="AS7" s="158">
        <v>44</v>
      </c>
      <c r="AT7" s="1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1" customFormat="1" ht="21" customHeight="1">
      <c r="A8" s="159" t="s">
        <v>68</v>
      </c>
      <c r="B8" s="162" t="s">
        <v>79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4"/>
      <c r="AT8" s="160"/>
    </row>
    <row r="9" spans="1:91" s="53" customFormat="1" ht="18" customHeight="1">
      <c r="A9" s="234">
        <v>1</v>
      </c>
      <c r="B9" s="234" t="s">
        <v>74</v>
      </c>
      <c r="C9" s="236" t="str">
        <f>VLOOKUP(B9,DS,2,0)</f>
        <v>Nguyễn Thị Kim Quyên</v>
      </c>
      <c r="D9" s="238" t="str">
        <f>VLOOKUP(B9,DS,3,0)</f>
        <v>Văn Phòng</v>
      </c>
      <c r="E9" s="54" t="s">
        <v>30</v>
      </c>
      <c r="F9" s="127">
        <v>8</v>
      </c>
      <c r="G9" s="127">
        <v>8</v>
      </c>
      <c r="H9" s="127">
        <v>8</v>
      </c>
      <c r="I9" s="127"/>
      <c r="J9" s="127">
        <v>8</v>
      </c>
      <c r="K9" s="127">
        <v>8</v>
      </c>
      <c r="L9" s="127">
        <v>8</v>
      </c>
      <c r="M9" s="127">
        <v>8</v>
      </c>
      <c r="N9" s="127">
        <v>8</v>
      </c>
      <c r="O9" s="127">
        <v>8</v>
      </c>
      <c r="P9" s="127"/>
      <c r="Q9" s="127">
        <v>8</v>
      </c>
      <c r="R9" s="127">
        <v>8</v>
      </c>
      <c r="S9" s="127">
        <v>8</v>
      </c>
      <c r="T9" s="127">
        <v>8</v>
      </c>
      <c r="U9" s="127">
        <v>8</v>
      </c>
      <c r="V9" s="127">
        <v>8</v>
      </c>
      <c r="W9" s="127"/>
      <c r="X9" s="127">
        <v>8</v>
      </c>
      <c r="Y9" s="127">
        <v>8</v>
      </c>
      <c r="Z9" s="127">
        <v>8</v>
      </c>
      <c r="AA9" s="127">
        <v>8</v>
      </c>
      <c r="AB9" s="127">
        <v>8</v>
      </c>
      <c r="AC9" s="127">
        <v>8</v>
      </c>
      <c r="AD9" s="127"/>
      <c r="AE9" s="127">
        <v>8</v>
      </c>
      <c r="AF9" s="127">
        <v>8</v>
      </c>
      <c r="AG9" s="127">
        <v>8</v>
      </c>
      <c r="AH9" s="127">
        <v>8</v>
      </c>
      <c r="AI9" s="127">
        <v>8</v>
      </c>
      <c r="AJ9" s="127">
        <v>8</v>
      </c>
      <c r="AK9" s="228">
        <f>((SUM(F9:AJ9))/8)-(SUMIF($F$6:$AJ$6,"C.Nhật",F9:AJ9)/8)</f>
        <v>27</v>
      </c>
      <c r="AL9" s="228">
        <f>SUM(F10:AJ10)/8*1.5</f>
        <v>0</v>
      </c>
      <c r="AM9" s="230">
        <f>SUMIF($F$6:$AJ$6,"C.Nhật",$F9:$AJ10)/8*2</f>
        <v>0</v>
      </c>
      <c r="AN9" s="224">
        <f>SUM(AK9:AM10)</f>
        <v>27</v>
      </c>
      <c r="AO9" s="232">
        <v>0</v>
      </c>
      <c r="AP9" s="224"/>
      <c r="AQ9" s="224"/>
      <c r="AR9" s="224"/>
      <c r="AS9" s="226"/>
      <c r="AT9" s="1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3" customFormat="1" ht="18" customHeight="1">
      <c r="A10" s="235"/>
      <c r="B10" s="235"/>
      <c r="C10" s="237"/>
      <c r="D10" s="239"/>
      <c r="E10" s="55" t="s">
        <v>29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229"/>
      <c r="AL10" s="229"/>
      <c r="AM10" s="231"/>
      <c r="AN10" s="225"/>
      <c r="AO10" s="233"/>
      <c r="AP10" s="225"/>
      <c r="AQ10" s="225"/>
      <c r="AR10" s="225"/>
      <c r="AS10" s="227"/>
      <c r="AT10" s="1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1" customFormat="1" ht="21" customHeight="1">
      <c r="A11" s="159" t="s">
        <v>69</v>
      </c>
      <c r="B11" s="162" t="s">
        <v>73</v>
      </c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4"/>
      <c r="AT11" s="160"/>
    </row>
    <row r="12" spans="1:91" s="53" customFormat="1" ht="18" customHeight="1">
      <c r="A12" s="234">
        <v>1</v>
      </c>
      <c r="B12" s="234" t="s">
        <v>75</v>
      </c>
      <c r="C12" s="236" t="str">
        <f>VLOOKUP(B12,DS,2,0)</f>
        <v>Lê Văn Hữu</v>
      </c>
      <c r="D12" s="238" t="str">
        <f>VLOOKUP(B12,DS,3,0)</f>
        <v>Công Đoạn 1</v>
      </c>
      <c r="E12" s="54" t="s">
        <v>30</v>
      </c>
      <c r="F12" s="127">
        <v>8</v>
      </c>
      <c r="G12" s="127">
        <v>8</v>
      </c>
      <c r="H12" s="127">
        <v>8</v>
      </c>
      <c r="I12" s="127"/>
      <c r="J12" s="127">
        <v>8</v>
      </c>
      <c r="K12" s="127">
        <v>8</v>
      </c>
      <c r="L12" s="127">
        <v>8</v>
      </c>
      <c r="M12" s="127">
        <v>8</v>
      </c>
      <c r="N12" s="127">
        <v>8</v>
      </c>
      <c r="O12" s="127">
        <v>8</v>
      </c>
      <c r="P12" s="127"/>
      <c r="Q12" s="127">
        <v>8</v>
      </c>
      <c r="R12" s="127">
        <v>8</v>
      </c>
      <c r="S12" s="127">
        <v>8</v>
      </c>
      <c r="T12" s="127">
        <v>8</v>
      </c>
      <c r="U12" s="127">
        <v>8</v>
      </c>
      <c r="V12" s="127">
        <v>8</v>
      </c>
      <c r="W12" s="127"/>
      <c r="X12" s="127">
        <v>8</v>
      </c>
      <c r="Y12" s="127">
        <v>8</v>
      </c>
      <c r="Z12" s="127">
        <v>8</v>
      </c>
      <c r="AA12" s="127">
        <v>8</v>
      </c>
      <c r="AB12" s="127">
        <v>8</v>
      </c>
      <c r="AC12" s="127">
        <v>8</v>
      </c>
      <c r="AD12" s="127"/>
      <c r="AE12" s="127">
        <v>8</v>
      </c>
      <c r="AF12" s="127">
        <v>8</v>
      </c>
      <c r="AG12" s="127">
        <v>8</v>
      </c>
      <c r="AH12" s="127">
        <v>8</v>
      </c>
      <c r="AI12" s="127">
        <v>8</v>
      </c>
      <c r="AJ12" s="127">
        <v>8</v>
      </c>
      <c r="AK12" s="228">
        <f t="shared" ref="AK12" si="2">((SUM(F12:AJ12))/8)-(SUMIF($F$6:$AJ$6,"C.Nhật",F12:AJ12)/8)</f>
        <v>27</v>
      </c>
      <c r="AL12" s="228">
        <f t="shared" ref="AL12" si="3">SUM(F13:AJ13)/8*1.5</f>
        <v>0</v>
      </c>
      <c r="AM12" s="230">
        <f>SUMIF($F$6:$AJ$6,"C.Nhật",$F12:$AJ13)/8*2</f>
        <v>0</v>
      </c>
      <c r="AN12" s="224">
        <f>SUM(AK12:AM13)</f>
        <v>27</v>
      </c>
      <c r="AO12" s="232">
        <v>0</v>
      </c>
      <c r="AP12" s="224"/>
      <c r="AQ12" s="224"/>
      <c r="AR12" s="224"/>
      <c r="AS12" s="226"/>
      <c r="AT12" s="19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3" customFormat="1" ht="18" customHeight="1">
      <c r="A13" s="235"/>
      <c r="B13" s="235"/>
      <c r="C13" s="237"/>
      <c r="D13" s="239"/>
      <c r="E13" s="55" t="s">
        <v>29</v>
      </c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229"/>
      <c r="AL13" s="229"/>
      <c r="AM13" s="231"/>
      <c r="AN13" s="225"/>
      <c r="AO13" s="233"/>
      <c r="AP13" s="225"/>
      <c r="AQ13" s="225"/>
      <c r="AR13" s="225"/>
      <c r="AS13" s="227"/>
      <c r="AT13" s="19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3" customFormat="1" ht="18" customHeight="1">
      <c r="A14" s="234">
        <v>2</v>
      </c>
      <c r="B14" s="234" t="s">
        <v>76</v>
      </c>
      <c r="C14" s="236" t="str">
        <f>VLOOKUP(B14,DS,2,0)</f>
        <v>Phan Thị Sương</v>
      </c>
      <c r="D14" s="238" t="str">
        <f>VLOOKUP(B14,DS,3,0)</f>
        <v>Công Đoạn 1</v>
      </c>
      <c r="E14" s="54" t="s">
        <v>30</v>
      </c>
      <c r="F14" s="127">
        <v>8</v>
      </c>
      <c r="G14" s="127">
        <v>8</v>
      </c>
      <c r="H14" s="127">
        <v>8</v>
      </c>
      <c r="I14" s="127"/>
      <c r="J14" s="127">
        <v>8</v>
      </c>
      <c r="K14" s="127">
        <v>8</v>
      </c>
      <c r="L14" s="127">
        <v>8</v>
      </c>
      <c r="M14" s="127">
        <v>8</v>
      </c>
      <c r="N14" s="127">
        <v>8</v>
      </c>
      <c r="O14" s="127">
        <v>8</v>
      </c>
      <c r="P14" s="127"/>
      <c r="Q14" s="127">
        <v>8</v>
      </c>
      <c r="R14" s="127">
        <v>8</v>
      </c>
      <c r="S14" s="127">
        <v>8</v>
      </c>
      <c r="T14" s="127">
        <v>8</v>
      </c>
      <c r="U14" s="127">
        <v>8</v>
      </c>
      <c r="V14" s="127">
        <v>8</v>
      </c>
      <c r="W14" s="127"/>
      <c r="X14" s="127">
        <v>8</v>
      </c>
      <c r="Y14" s="127">
        <v>8</v>
      </c>
      <c r="Z14" s="127">
        <v>8</v>
      </c>
      <c r="AA14" s="127">
        <v>8</v>
      </c>
      <c r="AB14" s="127">
        <v>8</v>
      </c>
      <c r="AC14" s="127">
        <v>8</v>
      </c>
      <c r="AD14" s="127"/>
      <c r="AE14" s="127">
        <v>8</v>
      </c>
      <c r="AF14" s="127">
        <v>8</v>
      </c>
      <c r="AG14" s="127">
        <v>8</v>
      </c>
      <c r="AH14" s="127">
        <v>8</v>
      </c>
      <c r="AI14" s="127">
        <v>8</v>
      </c>
      <c r="AJ14" s="127">
        <v>8</v>
      </c>
      <c r="AK14" s="228">
        <f t="shared" ref="AK14" si="4">((SUM(F14:AJ14))/8)-(SUMIF($F$6:$AJ$6,"C.Nhật",F14:AJ14)/8)</f>
        <v>27</v>
      </c>
      <c r="AL14" s="228">
        <f t="shared" ref="AL14" si="5">SUM(F15:AJ15)/8*1.5</f>
        <v>0</v>
      </c>
      <c r="AM14" s="230">
        <f>SUMIF($F$6:$AJ$6,"C.Nhật",$F14:$AJ15)/8*2</f>
        <v>0</v>
      </c>
      <c r="AN14" s="224">
        <f t="shared" ref="AN14" si="6">SUM(AK14:AM15)</f>
        <v>27</v>
      </c>
      <c r="AO14" s="232">
        <v>0</v>
      </c>
      <c r="AP14" s="224"/>
      <c r="AQ14" s="224"/>
      <c r="AR14" s="224"/>
      <c r="AS14" s="226"/>
      <c r="AT14" s="1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3" customFormat="1" ht="18" customHeight="1">
      <c r="A15" s="235"/>
      <c r="B15" s="235"/>
      <c r="C15" s="237"/>
      <c r="D15" s="239"/>
      <c r="E15" s="55" t="s">
        <v>29</v>
      </c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229"/>
      <c r="AL15" s="229"/>
      <c r="AM15" s="231"/>
      <c r="AN15" s="225"/>
      <c r="AO15" s="233"/>
      <c r="AP15" s="225"/>
      <c r="AQ15" s="225"/>
      <c r="AR15" s="225"/>
      <c r="AS15" s="227"/>
      <c r="AT15" s="1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3" customFormat="1" ht="18" customHeight="1">
      <c r="A16" s="234">
        <v>3</v>
      </c>
      <c r="B16" s="234" t="s">
        <v>77</v>
      </c>
      <c r="C16" s="236" t="str">
        <f>VLOOKUP(B16,DS,2,0)</f>
        <v>Cao Minh Chí</v>
      </c>
      <c r="D16" s="238" t="str">
        <f>VLOOKUP(B16,DS,3,0)</f>
        <v>Công Đoạn 2</v>
      </c>
      <c r="E16" s="54" t="s">
        <v>30</v>
      </c>
      <c r="F16" s="127">
        <v>8</v>
      </c>
      <c r="G16" s="127">
        <v>8</v>
      </c>
      <c r="H16" s="127">
        <v>8</v>
      </c>
      <c r="I16" s="127"/>
      <c r="J16" s="127">
        <v>8</v>
      </c>
      <c r="K16" s="127">
        <v>8</v>
      </c>
      <c r="L16" s="127">
        <v>8</v>
      </c>
      <c r="M16" s="127">
        <v>8</v>
      </c>
      <c r="N16" s="127">
        <v>8</v>
      </c>
      <c r="O16" s="127">
        <v>8</v>
      </c>
      <c r="P16" s="127"/>
      <c r="Q16" s="127">
        <v>8</v>
      </c>
      <c r="R16" s="127">
        <v>8</v>
      </c>
      <c r="S16" s="127">
        <v>8</v>
      </c>
      <c r="T16" s="127">
        <v>8</v>
      </c>
      <c r="U16" s="127">
        <v>8</v>
      </c>
      <c r="V16" s="127">
        <v>8</v>
      </c>
      <c r="W16" s="127"/>
      <c r="X16" s="127">
        <v>8</v>
      </c>
      <c r="Y16" s="127">
        <v>8</v>
      </c>
      <c r="Z16" s="127">
        <v>8</v>
      </c>
      <c r="AA16" s="127">
        <v>8</v>
      </c>
      <c r="AB16" s="127">
        <v>8</v>
      </c>
      <c r="AC16" s="127">
        <v>8</v>
      </c>
      <c r="AD16" s="127"/>
      <c r="AE16" s="127">
        <v>8</v>
      </c>
      <c r="AF16" s="127">
        <v>8</v>
      </c>
      <c r="AG16" s="127">
        <v>8</v>
      </c>
      <c r="AH16" s="127">
        <v>8</v>
      </c>
      <c r="AI16" s="127">
        <v>8</v>
      </c>
      <c r="AJ16" s="127">
        <v>8</v>
      </c>
      <c r="AK16" s="228">
        <f t="shared" ref="AK16" si="7">((SUM(F16:AJ16))/8)-(SUMIF($F$6:$AJ$6,"C.Nhật",F16:AJ16)/8)</f>
        <v>27</v>
      </c>
      <c r="AL16" s="228">
        <f t="shared" ref="AL16" si="8">SUM(F17:AJ17)/8*1.5</f>
        <v>0</v>
      </c>
      <c r="AM16" s="230">
        <f>SUMIF($F$6:$AJ$6,"C.Nhật",$F16:$AJ17)/8*2</f>
        <v>0</v>
      </c>
      <c r="AN16" s="224">
        <f t="shared" ref="AN16" si="9">SUM(AK16:AM17)</f>
        <v>27</v>
      </c>
      <c r="AO16" s="232">
        <v>0</v>
      </c>
      <c r="AP16" s="224"/>
      <c r="AQ16" s="224"/>
      <c r="AR16" s="224"/>
      <c r="AS16" s="226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3" customFormat="1" ht="18" customHeight="1">
      <c r="A17" s="235"/>
      <c r="B17" s="235"/>
      <c r="C17" s="237"/>
      <c r="D17" s="239"/>
      <c r="E17" s="55" t="s">
        <v>29</v>
      </c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229"/>
      <c r="AL17" s="229"/>
      <c r="AM17" s="231"/>
      <c r="AN17" s="225"/>
      <c r="AO17" s="233"/>
      <c r="AP17" s="225"/>
      <c r="AQ17" s="225"/>
      <c r="AR17" s="225"/>
      <c r="AS17" s="227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3" customFormat="1" ht="18" customHeight="1">
      <c r="A18" s="234">
        <v>4</v>
      </c>
      <c r="B18" s="234" t="s">
        <v>81</v>
      </c>
      <c r="C18" s="236" t="str">
        <f>VLOOKUP(B18,DS,2,0)</f>
        <v>Nguyễn Thị Sự</v>
      </c>
      <c r="D18" s="238" t="str">
        <f>VLOOKUP(B18,DS,3,0)</f>
        <v>Công Đoạn 2</v>
      </c>
      <c r="E18" s="54" t="s">
        <v>30</v>
      </c>
      <c r="F18" s="127">
        <v>8</v>
      </c>
      <c r="G18" s="127">
        <v>8</v>
      </c>
      <c r="H18" s="127">
        <v>8</v>
      </c>
      <c r="I18" s="127"/>
      <c r="J18" s="127">
        <v>8</v>
      </c>
      <c r="K18" s="127">
        <v>8</v>
      </c>
      <c r="L18" s="127">
        <v>8</v>
      </c>
      <c r="M18" s="127">
        <v>8</v>
      </c>
      <c r="N18" s="127">
        <v>8</v>
      </c>
      <c r="O18" s="127">
        <v>8</v>
      </c>
      <c r="P18" s="127"/>
      <c r="Q18" s="127">
        <v>8</v>
      </c>
      <c r="R18" s="127">
        <v>8</v>
      </c>
      <c r="S18" s="127">
        <v>8</v>
      </c>
      <c r="T18" s="127">
        <v>8</v>
      </c>
      <c r="U18" s="127">
        <v>8</v>
      </c>
      <c r="V18" s="127">
        <v>8</v>
      </c>
      <c r="W18" s="127"/>
      <c r="X18" s="127">
        <v>8</v>
      </c>
      <c r="Y18" s="127">
        <v>8</v>
      </c>
      <c r="Z18" s="127">
        <v>8</v>
      </c>
      <c r="AA18" s="127">
        <v>8</v>
      </c>
      <c r="AB18" s="127">
        <v>8</v>
      </c>
      <c r="AC18" s="127">
        <v>8</v>
      </c>
      <c r="AD18" s="127"/>
      <c r="AE18" s="127">
        <v>8</v>
      </c>
      <c r="AF18" s="127">
        <v>8</v>
      </c>
      <c r="AG18" s="127">
        <v>8</v>
      </c>
      <c r="AH18" s="127">
        <v>8</v>
      </c>
      <c r="AI18" s="127">
        <v>8</v>
      </c>
      <c r="AJ18" s="127">
        <v>8</v>
      </c>
      <c r="AK18" s="228">
        <f t="shared" ref="AK18" si="10">((SUM(F18:AJ18))/8)-(SUMIF($F$6:$AJ$6,"C.Nhật",F18:AJ18)/8)</f>
        <v>27</v>
      </c>
      <c r="AL18" s="228">
        <f t="shared" ref="AL18" si="11">SUM(F19:AJ19)/8*1.5</f>
        <v>0</v>
      </c>
      <c r="AM18" s="230">
        <f>SUMIF($F$6:$AJ$6,"C.Nhật",$F18:$AJ19)/8*2</f>
        <v>0</v>
      </c>
      <c r="AN18" s="224">
        <f t="shared" ref="AN18" si="12">SUM(AK18:AM19)</f>
        <v>27</v>
      </c>
      <c r="AO18" s="232">
        <v>0</v>
      </c>
      <c r="AP18" s="224"/>
      <c r="AQ18" s="224"/>
      <c r="AR18" s="224"/>
      <c r="AS18" s="226"/>
      <c r="AT18" s="1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3" customFormat="1" ht="18" customHeight="1">
      <c r="A19" s="235"/>
      <c r="B19" s="235"/>
      <c r="C19" s="237"/>
      <c r="D19" s="239"/>
      <c r="E19" s="55" t="s">
        <v>29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229"/>
      <c r="AL19" s="229"/>
      <c r="AM19" s="231"/>
      <c r="AN19" s="225"/>
      <c r="AO19" s="233"/>
      <c r="AP19" s="225"/>
      <c r="AQ19" s="225"/>
      <c r="AR19" s="225"/>
      <c r="AS19" s="227"/>
      <c r="AT19" s="1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6" customFormat="1" ht="12.75">
      <c r="A20" s="14"/>
      <c r="B20" s="57"/>
      <c r="C20" s="4"/>
      <c r="D20" s="98"/>
      <c r="E20" s="4"/>
      <c r="F20" s="61"/>
      <c r="G20" s="61"/>
      <c r="H20" s="58"/>
      <c r="I20" s="58"/>
      <c r="J20" s="104"/>
      <c r="K20" s="61"/>
      <c r="L20" s="58"/>
      <c r="M20" s="61"/>
      <c r="N20" s="61"/>
      <c r="O20" s="61"/>
      <c r="P20" s="61"/>
      <c r="Q20" s="58"/>
      <c r="R20" s="61"/>
      <c r="S20" s="61"/>
      <c r="T20" s="104"/>
      <c r="U20" s="61"/>
      <c r="V20" s="61"/>
      <c r="W20" s="61"/>
      <c r="X20" s="57"/>
      <c r="Y20" s="61"/>
      <c r="Z20" s="61"/>
      <c r="AA20" s="61"/>
      <c r="AB20" s="61"/>
      <c r="AC20" s="61"/>
      <c r="AD20" s="58"/>
      <c r="AE20" s="61"/>
      <c r="AF20" s="61"/>
      <c r="AG20" s="61"/>
      <c r="AH20" s="61"/>
      <c r="AI20" s="61"/>
      <c r="AJ20" s="61"/>
      <c r="AK20" s="4"/>
      <c r="AL20" s="4"/>
      <c r="AM20" s="84"/>
      <c r="AN20" s="60"/>
      <c r="AO20" s="60"/>
      <c r="AP20" s="60"/>
      <c r="AQ20" s="60"/>
      <c r="AR20" s="60"/>
      <c r="AS20" s="4"/>
      <c r="AT20" s="90"/>
    </row>
    <row r="21" spans="1:91" s="56" customFormat="1" ht="12.75">
      <c r="A21" s="14"/>
      <c r="B21" s="57"/>
      <c r="C21" s="14" t="s">
        <v>14</v>
      </c>
      <c r="D21" s="98"/>
      <c r="E21" s="4"/>
      <c r="F21" s="61"/>
      <c r="G21" s="61"/>
      <c r="H21" s="58"/>
      <c r="I21" s="58"/>
      <c r="J21" s="104"/>
      <c r="K21" s="61"/>
      <c r="L21" s="58"/>
      <c r="M21" s="61"/>
      <c r="N21" s="61"/>
      <c r="O21" s="61"/>
      <c r="P21" s="61"/>
      <c r="Q21" s="58"/>
      <c r="R21" s="61"/>
      <c r="S21" s="61"/>
      <c r="T21" s="104"/>
      <c r="U21" s="61"/>
      <c r="V21" s="61"/>
      <c r="W21" s="61"/>
      <c r="X21" s="57"/>
      <c r="Y21" s="61"/>
      <c r="Z21" s="61"/>
      <c r="AA21" s="61"/>
      <c r="AB21" s="61"/>
      <c r="AC21" s="61"/>
      <c r="AD21" s="58"/>
      <c r="AE21" s="61"/>
      <c r="AF21" s="61"/>
      <c r="AG21" s="61"/>
      <c r="AH21" s="61"/>
      <c r="AI21" s="61"/>
      <c r="AJ21" s="61"/>
      <c r="AK21" s="4"/>
      <c r="AL21" s="4"/>
      <c r="AM21" s="84"/>
      <c r="AN21" s="60"/>
      <c r="AO21" s="60"/>
      <c r="AP21" s="60"/>
      <c r="AQ21" s="60"/>
      <c r="AR21" s="60"/>
      <c r="AS21" s="4"/>
      <c r="AT21" s="90"/>
    </row>
    <row r="22" spans="1:91" s="56" customFormat="1" ht="12.75">
      <c r="A22" s="12"/>
      <c r="B22" s="12"/>
      <c r="C22" s="4"/>
      <c r="D22" s="98"/>
      <c r="E22" s="4"/>
      <c r="F22" s="61"/>
      <c r="G22" s="61"/>
      <c r="H22" s="105"/>
      <c r="I22" s="105"/>
      <c r="J22" s="105"/>
      <c r="K22" s="61"/>
      <c r="L22" s="105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105"/>
      <c r="AE22" s="61"/>
      <c r="AF22" s="61"/>
      <c r="AG22" s="61"/>
      <c r="AH22" s="61"/>
      <c r="AI22" s="61"/>
      <c r="AJ22" s="61"/>
      <c r="AK22" s="4"/>
      <c r="AL22" s="4"/>
      <c r="AM22" s="84"/>
      <c r="AN22" s="62"/>
      <c r="AO22" s="62"/>
      <c r="AP22" s="62"/>
      <c r="AQ22" s="62"/>
      <c r="AR22" s="62"/>
      <c r="AS22" s="4"/>
      <c r="AT22" s="90"/>
    </row>
    <row r="23" spans="1:91" s="59" customFormat="1" ht="15" customHeight="1">
      <c r="A23" s="12"/>
      <c r="B23" s="12"/>
      <c r="C23" s="4"/>
      <c r="D23" s="98"/>
      <c r="E23" s="4"/>
      <c r="F23" s="61"/>
      <c r="G23" s="61"/>
      <c r="H23" s="105"/>
      <c r="I23" s="105"/>
      <c r="J23" s="105"/>
      <c r="K23" s="61"/>
      <c r="L23" s="105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105"/>
      <c r="AE23" s="61"/>
      <c r="AF23" s="61"/>
      <c r="AG23" s="61"/>
      <c r="AH23" s="61"/>
      <c r="AI23" s="61"/>
      <c r="AJ23" s="61"/>
      <c r="AK23" s="4"/>
      <c r="AL23" s="4"/>
      <c r="AM23" s="84"/>
      <c r="AN23" s="62"/>
      <c r="AO23" s="62"/>
      <c r="AP23" s="62"/>
      <c r="AQ23" s="62"/>
      <c r="AR23" s="62"/>
      <c r="AS23" s="4"/>
      <c r="AT23" s="4"/>
    </row>
    <row r="24" spans="1:91" s="59" customFormat="1" ht="11.25">
      <c r="A24" s="12"/>
      <c r="B24" s="12"/>
      <c r="C24" s="4"/>
      <c r="D24" s="98"/>
      <c r="E24" s="4"/>
      <c r="F24" s="61"/>
      <c r="G24" s="61"/>
      <c r="H24" s="105"/>
      <c r="I24" s="105"/>
      <c r="J24" s="105"/>
      <c r="K24" s="61"/>
      <c r="L24" s="105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105"/>
      <c r="AE24" s="61"/>
      <c r="AF24" s="61"/>
      <c r="AG24" s="61"/>
      <c r="AH24" s="61"/>
      <c r="AI24" s="61"/>
      <c r="AJ24" s="61"/>
      <c r="AK24" s="4"/>
      <c r="AL24" s="4"/>
      <c r="AM24" s="84"/>
      <c r="AN24" s="62"/>
      <c r="AO24" s="62"/>
      <c r="AP24" s="62"/>
      <c r="AQ24" s="62"/>
      <c r="AR24" s="62"/>
      <c r="AS24" s="4"/>
      <c r="AT24" s="4"/>
    </row>
    <row r="25" spans="1:91" s="59" customFormat="1" ht="11.25">
      <c r="A25" s="12"/>
      <c r="B25" s="12"/>
      <c r="C25" s="4"/>
      <c r="D25" s="98"/>
      <c r="E25" s="4"/>
      <c r="F25" s="61"/>
      <c r="G25" s="61"/>
      <c r="H25" s="105"/>
      <c r="I25" s="105"/>
      <c r="J25" s="105"/>
      <c r="K25" s="61"/>
      <c r="L25" s="105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105"/>
      <c r="AE25" s="61"/>
      <c r="AF25" s="61"/>
      <c r="AG25" s="61"/>
      <c r="AH25" s="61"/>
      <c r="AI25" s="61"/>
      <c r="AJ25" s="61"/>
      <c r="AK25" s="4"/>
      <c r="AL25" s="4"/>
      <c r="AM25" s="84"/>
      <c r="AN25" s="62"/>
      <c r="AO25" s="62"/>
      <c r="AP25" s="62"/>
      <c r="AQ25" s="62"/>
      <c r="AR25" s="62"/>
      <c r="AS25" s="4"/>
      <c r="AT25" s="4"/>
    </row>
    <row r="26" spans="1:91" s="59" customFormat="1" ht="11.25">
      <c r="A26" s="10"/>
      <c r="B26" s="10"/>
      <c r="C26" s="14"/>
      <c r="D26" s="99"/>
      <c r="E26" s="63"/>
      <c r="F26" s="104"/>
      <c r="G26" s="106"/>
      <c r="H26" s="58"/>
      <c r="I26" s="58"/>
      <c r="J26" s="58"/>
      <c r="K26" s="106"/>
      <c r="L26" s="58"/>
      <c r="M26" s="106"/>
      <c r="N26" s="106"/>
      <c r="O26" s="106"/>
      <c r="P26" s="106"/>
      <c r="Q26" s="58"/>
      <c r="R26" s="104"/>
      <c r="S26" s="106"/>
      <c r="T26" s="106"/>
      <c r="U26" s="58"/>
      <c r="V26" s="106"/>
      <c r="W26" s="106"/>
      <c r="X26" s="58"/>
      <c r="Y26" s="106"/>
      <c r="Z26" s="106"/>
      <c r="AA26" s="106"/>
      <c r="AB26" s="106"/>
      <c r="AC26" s="106"/>
      <c r="AD26" s="58"/>
      <c r="AE26" s="106"/>
      <c r="AF26" s="106"/>
      <c r="AG26" s="106"/>
      <c r="AH26" s="106"/>
      <c r="AI26" s="106"/>
      <c r="AJ26" s="106"/>
      <c r="AK26" s="63"/>
      <c r="AM26" s="85"/>
      <c r="AN26" s="10"/>
      <c r="AO26" s="10"/>
      <c r="AP26" s="10"/>
      <c r="AQ26" s="10"/>
      <c r="AR26" s="10"/>
      <c r="AS26" s="14"/>
      <c r="AT26" s="4"/>
    </row>
    <row r="27" spans="1:91" s="59" customFormat="1" ht="12.75">
      <c r="A27" s="2"/>
      <c r="B27" s="2" t="s">
        <v>0</v>
      </c>
      <c r="C27" s="2"/>
      <c r="D27" s="188"/>
      <c r="E27" s="2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8"/>
      <c r="AI27" s="108"/>
      <c r="AJ27" s="108"/>
      <c r="AK27" s="2"/>
      <c r="AL27" s="2"/>
      <c r="AM27" s="86"/>
      <c r="AN27" s="2"/>
      <c r="AO27" s="2"/>
      <c r="AP27" s="2"/>
      <c r="AQ27" s="2"/>
      <c r="AR27" s="2"/>
      <c r="AS27" s="2"/>
      <c r="AT27" s="4"/>
    </row>
    <row r="28" spans="1:91" s="59" customFormat="1" ht="12.75">
      <c r="A28" s="2"/>
      <c r="B28" s="2"/>
      <c r="C28" s="2" t="s">
        <v>40</v>
      </c>
      <c r="D28" s="188"/>
      <c r="E28" s="2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8"/>
      <c r="AI28" s="108"/>
      <c r="AJ28" s="108"/>
      <c r="AK28" s="2"/>
      <c r="AL28" s="2"/>
      <c r="AM28" s="86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41</v>
      </c>
    </row>
    <row r="30" spans="1:91" ht="15" customHeight="1">
      <c r="C30" s="2" t="s">
        <v>42</v>
      </c>
    </row>
    <row r="31" spans="1:91" s="188" customFormat="1" ht="15" customHeight="1">
      <c r="A31" s="2"/>
      <c r="B31" s="2"/>
      <c r="C31" s="2" t="s">
        <v>43</v>
      </c>
      <c r="E31" s="2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8"/>
      <c r="AI31" s="108"/>
      <c r="AJ31" s="108"/>
      <c r="AK31" s="2"/>
      <c r="AL31" s="2"/>
      <c r="AM31" s="86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88" customFormat="1" ht="15" customHeight="1">
      <c r="A32" s="2"/>
      <c r="B32" s="2"/>
      <c r="C32" s="2" t="s">
        <v>44</v>
      </c>
      <c r="E32" s="2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8"/>
      <c r="AI32" s="108"/>
      <c r="AJ32" s="108"/>
      <c r="AK32" s="2"/>
      <c r="AL32" s="2"/>
      <c r="AM32" s="86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88" customFormat="1" ht="15" customHeight="1">
      <c r="A33" s="2"/>
      <c r="B33" s="2"/>
      <c r="C33" s="2" t="s">
        <v>45</v>
      </c>
      <c r="E33" s="2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  <c r="AI33" s="108"/>
      <c r="AJ33" s="108"/>
      <c r="AK33" s="2"/>
      <c r="AL33" s="2"/>
      <c r="AM33" s="86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88" customFormat="1" ht="15" customHeight="1">
      <c r="A34" s="2"/>
      <c r="B34" s="2"/>
      <c r="C34" s="2" t="s">
        <v>46</v>
      </c>
      <c r="E34" s="2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8"/>
      <c r="AI34" s="108"/>
      <c r="AJ34" s="108"/>
      <c r="AK34" s="2"/>
      <c r="AL34" s="2"/>
      <c r="AM34" s="86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88" customFormat="1" ht="15" customHeight="1">
      <c r="A35" s="2"/>
      <c r="B35" s="2"/>
      <c r="C35" s="2" t="s">
        <v>47</v>
      </c>
      <c r="E35" s="2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8"/>
      <c r="AI35" s="108"/>
      <c r="AJ35" s="108"/>
      <c r="AK35" s="2"/>
      <c r="AL35" s="2"/>
      <c r="AM35" s="86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88" customFormat="1" ht="15" customHeight="1">
      <c r="A36" s="2"/>
      <c r="B36" s="2"/>
      <c r="C36" s="2" t="s">
        <v>48</v>
      </c>
      <c r="E36" s="2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8"/>
      <c r="AI36" s="108"/>
      <c r="AJ36" s="108"/>
      <c r="AK36" s="2"/>
      <c r="AL36" s="2"/>
      <c r="AM36" s="86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8:A19"/>
    <mergeCell ref="B18:B19"/>
    <mergeCell ref="C18:C19"/>
    <mergeCell ref="D18:D19"/>
    <mergeCell ref="AK18:AK19"/>
    <mergeCell ref="AQ18:AQ19"/>
    <mergeCell ref="AR18:AR19"/>
    <mergeCell ref="AS18:AS19"/>
    <mergeCell ref="AL12:AL13"/>
    <mergeCell ref="AM12:AM13"/>
    <mergeCell ref="AN12:AN13"/>
    <mergeCell ref="AO12:AO13"/>
    <mergeCell ref="AP12:AP13"/>
    <mergeCell ref="AR12:AR13"/>
    <mergeCell ref="AS12:AS13"/>
    <mergeCell ref="AL18:AL19"/>
    <mergeCell ref="AM18:AM19"/>
    <mergeCell ref="AN18:AN19"/>
    <mergeCell ref="AO18:AO19"/>
    <mergeCell ref="AP18:AP19"/>
    <mergeCell ref="AO14:AO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6:AL17"/>
    <mergeCell ref="AM16:AM17"/>
    <mergeCell ref="AN16:AN17"/>
    <mergeCell ref="AO16:AO17"/>
    <mergeCell ref="AP16:AP17"/>
  </mergeCells>
  <conditionalFormatting sqref="F5:AJ6 F9:AJ10 F12:AJ15 F18:AJ19">
    <cfRule type="expression" dxfId="2" priority="43" stopIfTrue="1">
      <formula>IF(WEEKDAY(F$5)=1,TRUE,FALSE)</formula>
    </cfRule>
  </conditionalFormatting>
  <conditionalFormatting sqref="F9:AJ10">
    <cfRule type="expression" dxfId="1" priority="42" stopIfTrue="1">
      <formula>IF(WEEKDAY(F$5)=1,TRUE,FALSE)</formula>
    </cfRule>
  </conditionalFormatting>
  <conditionalFormatting sqref="F16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5" sqref="A15:B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7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3"/>
      <c r="B1" s="191"/>
      <c r="C1" s="191"/>
      <c r="D1" s="258" t="str">
        <f>"BẢNG THANH TOÁN LƯƠNG THÁNG"&amp;" "&amp;TEXT($E$4,"mm")&amp;" / "&amp;TEXT($E$4,"yyyy")</f>
        <v>BẢNG THANH TOÁN LƯƠNG THÁNG 12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78</v>
      </c>
      <c r="S1" s="261"/>
      <c r="T1" s="262"/>
      <c r="U1" s="114" t="s">
        <v>51</v>
      </c>
      <c r="V1" s="96" t="s">
        <v>33</v>
      </c>
      <c r="W1" s="69"/>
      <c r="X1" s="69"/>
      <c r="Y1" s="5"/>
      <c r="Z1" s="5"/>
    </row>
    <row r="2" spans="1:31" s="4" customFormat="1" ht="15" customHeight="1">
      <c r="A2" s="123"/>
      <c r="B2" s="191"/>
      <c r="C2" s="191"/>
      <c r="D2" s="191"/>
      <c r="E2" s="67"/>
      <c r="F2" s="191"/>
      <c r="G2" s="191"/>
      <c r="H2" s="191"/>
      <c r="I2" s="191"/>
      <c r="J2" s="68"/>
      <c r="K2" s="191"/>
      <c r="L2" s="191"/>
      <c r="M2" s="191"/>
      <c r="N2" s="191"/>
      <c r="O2" s="191"/>
      <c r="P2" s="191"/>
      <c r="Q2" s="191"/>
      <c r="R2" s="191"/>
      <c r="S2" s="191"/>
      <c r="T2" s="45"/>
      <c r="U2" s="66">
        <f>MAX(F10:F19)</f>
        <v>27</v>
      </c>
      <c r="V2" s="97">
        <v>31</v>
      </c>
      <c r="W2" s="69"/>
      <c r="X2" s="69"/>
      <c r="Y2" s="5"/>
      <c r="Z2" s="5"/>
    </row>
    <row r="3" spans="1:31" s="4" customFormat="1" ht="15" customHeight="1">
      <c r="A3" s="123"/>
      <c r="B3" s="191"/>
      <c r="C3" s="191"/>
      <c r="D3" s="191"/>
      <c r="E3" s="67"/>
      <c r="F3" s="191"/>
      <c r="G3" s="191"/>
      <c r="H3" s="191"/>
      <c r="I3" s="191"/>
      <c r="J3" s="68"/>
      <c r="K3" s="191"/>
      <c r="L3" s="191"/>
      <c r="M3" s="191"/>
      <c r="N3" s="191"/>
      <c r="O3" s="191"/>
      <c r="P3" s="191"/>
      <c r="Q3" s="191"/>
      <c r="R3" s="191"/>
      <c r="S3" s="191"/>
      <c r="T3" s="45"/>
      <c r="U3" s="115"/>
      <c r="V3" s="116"/>
      <c r="W3" s="69"/>
      <c r="X3" s="69"/>
      <c r="Y3" s="5"/>
      <c r="Z3" s="5"/>
    </row>
    <row r="4" spans="1:31" s="91" customFormat="1" ht="14.25" customHeight="1">
      <c r="A4" s="89"/>
      <c r="B4" s="90"/>
      <c r="C4" s="90"/>
      <c r="D4" s="90"/>
      <c r="E4" s="170">
        <f>'CC -12'!$E$4</f>
        <v>42705</v>
      </c>
      <c r="F4" s="90"/>
      <c r="G4" s="90"/>
      <c r="H4" s="90"/>
      <c r="I4" s="90"/>
      <c r="J4" s="90"/>
      <c r="K4" s="90"/>
      <c r="L4" s="90"/>
      <c r="M4" s="90"/>
      <c r="N4" s="145">
        <v>0.08</v>
      </c>
      <c r="O4" s="145">
        <v>1.4999999999999999E-2</v>
      </c>
      <c r="P4" s="145">
        <v>0.01</v>
      </c>
      <c r="Q4" s="90"/>
      <c r="R4" s="90"/>
      <c r="S4" s="90"/>
      <c r="T4" s="90"/>
      <c r="U4" s="90"/>
      <c r="V4" s="92"/>
      <c r="W4" s="92"/>
      <c r="X4" s="92"/>
      <c r="Y4" s="92"/>
      <c r="Z4" s="92"/>
    </row>
    <row r="5" spans="1:31" s="22" customFormat="1" ht="24" customHeight="1">
      <c r="A5" s="263" t="s">
        <v>19</v>
      </c>
      <c r="B5" s="263" t="s">
        <v>20</v>
      </c>
      <c r="C5" s="217" t="s">
        <v>1</v>
      </c>
      <c r="D5" s="217" t="s">
        <v>2</v>
      </c>
      <c r="E5" s="220" t="s">
        <v>49</v>
      </c>
      <c r="F5" s="265" t="s">
        <v>24</v>
      </c>
      <c r="G5" s="266"/>
      <c r="H5" s="266"/>
      <c r="I5" s="266"/>
      <c r="J5" s="266"/>
      <c r="K5" s="267"/>
      <c r="L5" s="254" t="s">
        <v>50</v>
      </c>
      <c r="M5" s="254" t="s">
        <v>5</v>
      </c>
      <c r="N5" s="217" t="s">
        <v>6</v>
      </c>
      <c r="O5" s="217"/>
      <c r="P5" s="217"/>
      <c r="Q5" s="254" t="s">
        <v>7</v>
      </c>
      <c r="R5" s="254" t="s">
        <v>8</v>
      </c>
      <c r="S5" s="254" t="s">
        <v>9</v>
      </c>
      <c r="T5" s="218" t="s">
        <v>10</v>
      </c>
      <c r="U5" s="90"/>
      <c r="V5" s="23"/>
      <c r="W5" s="23"/>
      <c r="X5" s="5"/>
      <c r="Y5" s="5"/>
      <c r="Z5" s="5"/>
      <c r="AA5" s="4"/>
      <c r="AB5" s="4"/>
      <c r="AC5" s="4"/>
      <c r="AD5" s="4"/>
      <c r="AE5" s="4"/>
    </row>
    <row r="6" spans="1:31" s="22" customFormat="1" ht="33.75" customHeight="1">
      <c r="A6" s="264"/>
      <c r="B6" s="264"/>
      <c r="C6" s="217"/>
      <c r="D6" s="217"/>
      <c r="E6" s="220"/>
      <c r="F6" s="265" t="s">
        <v>52</v>
      </c>
      <c r="G6" s="267"/>
      <c r="H6" s="265" t="s">
        <v>71</v>
      </c>
      <c r="I6" s="266"/>
      <c r="J6" s="252" t="s">
        <v>25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31</v>
      </c>
      <c r="Q6" s="255"/>
      <c r="R6" s="255"/>
      <c r="S6" s="255"/>
      <c r="T6" s="219"/>
      <c r="U6" s="90"/>
      <c r="V6" s="23"/>
      <c r="W6" s="23"/>
      <c r="X6" s="5"/>
      <c r="Y6" s="5"/>
      <c r="Z6" s="5"/>
      <c r="AA6" s="4"/>
      <c r="AB6" s="4"/>
      <c r="AC6" s="4"/>
      <c r="AD6" s="4"/>
      <c r="AE6" s="4"/>
    </row>
    <row r="7" spans="1:31" s="22" customFormat="1" ht="35.25" customHeight="1">
      <c r="A7" s="264"/>
      <c r="B7" s="264"/>
      <c r="C7" s="254"/>
      <c r="D7" s="254"/>
      <c r="E7" s="220"/>
      <c r="F7" s="192" t="s">
        <v>34</v>
      </c>
      <c r="G7" s="189" t="s">
        <v>18</v>
      </c>
      <c r="H7" s="192" t="s">
        <v>34</v>
      </c>
      <c r="I7" s="112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9"/>
      <c r="U7" s="90"/>
      <c r="V7" s="23"/>
      <c r="W7" s="23"/>
      <c r="X7" s="5"/>
      <c r="Y7" s="5"/>
      <c r="Z7" s="5"/>
      <c r="AA7" s="4"/>
      <c r="AB7" s="4"/>
      <c r="AC7" s="4"/>
      <c r="AD7" s="4"/>
      <c r="AE7" s="4"/>
    </row>
    <row r="8" spans="1:31" s="71" customFormat="1" ht="12.75" customHeight="1">
      <c r="A8" s="70">
        <v>1</v>
      </c>
      <c r="B8" s="70">
        <v>1</v>
      </c>
      <c r="C8" s="70">
        <v>2</v>
      </c>
      <c r="D8" s="70">
        <v>3</v>
      </c>
      <c r="E8" s="70">
        <v>4</v>
      </c>
      <c r="F8" s="70">
        <v>5</v>
      </c>
      <c r="G8" s="70">
        <v>6</v>
      </c>
      <c r="H8" s="70">
        <v>7</v>
      </c>
      <c r="I8" s="70">
        <v>8</v>
      </c>
      <c r="J8" s="70">
        <v>9</v>
      </c>
      <c r="K8" s="70">
        <v>10</v>
      </c>
      <c r="L8" s="70">
        <v>11</v>
      </c>
      <c r="M8" s="70">
        <v>12</v>
      </c>
      <c r="N8" s="70">
        <v>13</v>
      </c>
      <c r="O8" s="70">
        <v>14</v>
      </c>
      <c r="P8" s="70">
        <v>15</v>
      </c>
      <c r="Q8" s="70">
        <v>16</v>
      </c>
      <c r="R8" s="70">
        <v>17</v>
      </c>
      <c r="S8" s="70">
        <v>18</v>
      </c>
      <c r="T8" s="70">
        <v>19</v>
      </c>
      <c r="U8" s="90"/>
      <c r="V8" s="72"/>
      <c r="W8" s="72"/>
      <c r="X8" s="73"/>
      <c r="Y8" s="73"/>
      <c r="Z8" s="73"/>
      <c r="AA8" s="74"/>
      <c r="AB8" s="74"/>
      <c r="AC8" s="74"/>
      <c r="AD8" s="74"/>
      <c r="AE8" s="74"/>
    </row>
    <row r="9" spans="1:31" s="71" customFormat="1" ht="24" customHeight="1">
      <c r="A9" s="169" t="s">
        <v>68</v>
      </c>
      <c r="B9" s="168" t="s">
        <v>79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90"/>
      <c r="V9" s="72"/>
      <c r="W9" s="72"/>
      <c r="X9" s="73"/>
      <c r="Y9" s="73"/>
      <c r="Z9" s="73"/>
      <c r="AA9" s="74"/>
      <c r="AB9" s="74"/>
      <c r="AC9" s="74"/>
      <c r="AD9" s="74"/>
      <c r="AE9" s="74"/>
    </row>
    <row r="10" spans="1:31" s="28" customFormat="1" ht="24" customHeight="1">
      <c r="A10" s="30">
        <v>1</v>
      </c>
      <c r="B10" s="125" t="s">
        <v>74</v>
      </c>
      <c r="C10" s="75" t="str">
        <f t="shared" ref="C10" si="0">VLOOKUP(B10,DS,2,0)</f>
        <v>Nguyễn Thị Kim Quyên</v>
      </c>
      <c r="D10" s="100" t="str">
        <f t="shared" ref="D10" si="1">VLOOKUP(B10,DS,3,0)</f>
        <v>Văn Phòng</v>
      </c>
      <c r="E10" s="76">
        <f t="shared" ref="E10" si="2">VLOOKUP(B10,DS,4,0)</f>
        <v>4000000</v>
      </c>
      <c r="F10" s="78">
        <f>VLOOKUP(B10,'CC -12'!$B$8:$AS$19,36,0)</f>
        <v>27</v>
      </c>
      <c r="G10" s="129">
        <f t="shared" ref="G10" si="3">ROUND(E10/$U$2*F10,0)</f>
        <v>4000000</v>
      </c>
      <c r="H10" s="78">
        <f>(VLOOKUP(B10,'CC -12'!$B$8:$AS$19,37,0)+VLOOKUP(B10,'CC -12'!$B$8:$AS$19,38,0))</f>
        <v>0</v>
      </c>
      <c r="I10" s="129">
        <f t="shared" ref="I10" si="4">ROUND(E10/$U$2*H10,0)</f>
        <v>0</v>
      </c>
      <c r="J10" s="79">
        <f t="shared" ref="J10" si="5">F10+H10</f>
        <v>27</v>
      </c>
      <c r="K10" s="31">
        <f>G10+I10</f>
        <v>4000000</v>
      </c>
      <c r="L10" s="76">
        <f t="shared" ref="L10" si="6">+F10*15000</f>
        <v>405000</v>
      </c>
      <c r="M10" s="32">
        <f t="shared" ref="M10" si="7">K10+L10</f>
        <v>4405000</v>
      </c>
      <c r="N10" s="32">
        <f>IF(VLOOKUP($B10,DS,31,0)="x",$E10*N$4,0)</f>
        <v>0</v>
      </c>
      <c r="O10" s="32">
        <f>IF(VLOOKUP($B10,DS,31,0)="x",$E10*O$4,0)</f>
        <v>0</v>
      </c>
      <c r="P10" s="32">
        <f>IF(VLOOKUP($B10,DS,31,0)="x",$E10*P$4,0)</f>
        <v>0</v>
      </c>
      <c r="Q10" s="31">
        <f t="shared" ref="Q10" si="8">M10-SUM(N10:P10)</f>
        <v>4405000</v>
      </c>
      <c r="R10" s="31">
        <f>VLOOKUP(B10,DS,23,0)</f>
        <v>0</v>
      </c>
      <c r="S10" s="37">
        <f t="shared" ref="S10" si="9">Q10-R10</f>
        <v>4405000</v>
      </c>
      <c r="T10" s="31"/>
      <c r="U10" s="90"/>
      <c r="V10" s="29"/>
      <c r="W10" s="23"/>
      <c r="X10" s="5"/>
      <c r="Y10" s="5"/>
      <c r="Z10" s="5"/>
      <c r="AA10" s="4"/>
      <c r="AB10" s="4"/>
      <c r="AC10" s="4"/>
      <c r="AD10" s="4"/>
      <c r="AE10" s="4"/>
    </row>
    <row r="11" spans="1:31" s="28" customFormat="1" ht="24" customHeight="1">
      <c r="A11" s="177"/>
      <c r="B11" s="178"/>
      <c r="C11" s="179"/>
      <c r="D11" s="180"/>
      <c r="E11" s="181"/>
      <c r="F11" s="182"/>
      <c r="G11" s="183"/>
      <c r="H11" s="182"/>
      <c r="I11" s="183"/>
      <c r="J11" s="184"/>
      <c r="K11" s="185"/>
      <c r="L11" s="181"/>
      <c r="M11" s="186"/>
      <c r="N11" s="186"/>
      <c r="O11" s="186"/>
      <c r="P11" s="186"/>
      <c r="Q11" s="185"/>
      <c r="R11" s="185"/>
      <c r="S11" s="187"/>
      <c r="T11" s="185"/>
      <c r="U11" s="90"/>
      <c r="V11" s="29"/>
      <c r="W11" s="23"/>
      <c r="X11" s="5"/>
      <c r="Y11" s="5"/>
      <c r="Z11" s="5"/>
      <c r="AA11" s="4"/>
      <c r="AB11" s="4"/>
      <c r="AC11" s="4"/>
      <c r="AD11" s="4"/>
      <c r="AE11" s="4"/>
    </row>
    <row r="12" spans="1:31" s="26" customFormat="1" ht="21" customHeight="1">
      <c r="A12" s="208" t="s">
        <v>23</v>
      </c>
      <c r="B12" s="209"/>
      <c r="C12" s="209"/>
      <c r="D12" s="210"/>
      <c r="E12" s="124">
        <f>SUM(E9:E11)</f>
        <v>4000000</v>
      </c>
      <c r="F12" s="124"/>
      <c r="G12" s="124">
        <f>SUM(G9:G11)</f>
        <v>4000000</v>
      </c>
      <c r="H12" s="124"/>
      <c r="I12" s="124">
        <f>SUM(I9:I11)</f>
        <v>0</v>
      </c>
      <c r="J12" s="124"/>
      <c r="K12" s="124">
        <f t="shared" ref="K12:S12" si="10">SUM(K9:K11)</f>
        <v>4000000</v>
      </c>
      <c r="L12" s="124">
        <f t="shared" si="10"/>
        <v>405000</v>
      </c>
      <c r="M12" s="124">
        <f t="shared" si="10"/>
        <v>4405000</v>
      </c>
      <c r="N12" s="124">
        <f t="shared" si="10"/>
        <v>0</v>
      </c>
      <c r="O12" s="124">
        <f t="shared" si="10"/>
        <v>0</v>
      </c>
      <c r="P12" s="124">
        <f t="shared" si="10"/>
        <v>0</v>
      </c>
      <c r="Q12" s="124">
        <f t="shared" si="10"/>
        <v>4405000</v>
      </c>
      <c r="R12" s="124">
        <f t="shared" si="10"/>
        <v>0</v>
      </c>
      <c r="S12" s="124">
        <f t="shared" si="10"/>
        <v>4405000</v>
      </c>
      <c r="T12" s="21"/>
      <c r="U12" s="90"/>
      <c r="V12" s="27"/>
      <c r="W12" s="27"/>
      <c r="X12" s="27"/>
      <c r="Y12" s="27"/>
      <c r="Z12" s="27"/>
    </row>
    <row r="13" spans="1:31" s="71" customFormat="1" ht="24" customHeight="1">
      <c r="A13" s="169" t="s">
        <v>69</v>
      </c>
      <c r="B13" s="168" t="s">
        <v>70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90"/>
      <c r="V13" s="72"/>
      <c r="W13" s="72"/>
      <c r="X13" s="73"/>
      <c r="Y13" s="73"/>
      <c r="Z13" s="73"/>
      <c r="AA13" s="74"/>
      <c r="AB13" s="74"/>
      <c r="AC13" s="74"/>
      <c r="AD13" s="74"/>
      <c r="AE13" s="74"/>
    </row>
    <row r="14" spans="1:31" s="28" customFormat="1" ht="24" customHeight="1">
      <c r="A14" s="30">
        <v>1</v>
      </c>
      <c r="B14" s="125" t="s">
        <v>75</v>
      </c>
      <c r="C14" s="75" t="str">
        <f t="shared" ref="C14:C17" si="11">VLOOKUP(B14,DS,2,0)</f>
        <v>Lê Văn Hữu</v>
      </c>
      <c r="D14" s="100" t="str">
        <f t="shared" ref="D14:D17" si="12">VLOOKUP(B14,DS,3,0)</f>
        <v>Công Đoạn 1</v>
      </c>
      <c r="E14" s="76">
        <f t="shared" ref="E14:E17" si="13">VLOOKUP(B14,DS,4,0)</f>
        <v>3200000</v>
      </c>
      <c r="F14" s="78">
        <f>VLOOKUP(B14,'CC -12'!$B$8:$AS$19,36,0)</f>
        <v>27</v>
      </c>
      <c r="G14" s="129">
        <f t="shared" ref="G14:G17" si="14">ROUND(E14/$U$2*F14,0)</f>
        <v>3200000</v>
      </c>
      <c r="H14" s="78">
        <f>(VLOOKUP(B14,'CC -12'!$B$8:$AS$19,37,0)+VLOOKUP(B14,'CC -12'!$B$8:$AS$19,38,0))</f>
        <v>0</v>
      </c>
      <c r="I14" s="129">
        <f t="shared" ref="I14:I17" si="15">ROUND(E14/$U$2*H14,0)</f>
        <v>0</v>
      </c>
      <c r="J14" s="130">
        <f t="shared" ref="J14:K17" si="16">F14+H14</f>
        <v>27</v>
      </c>
      <c r="K14" s="31">
        <f t="shared" si="16"/>
        <v>3200000</v>
      </c>
      <c r="L14" s="76">
        <f t="shared" ref="L14:L17" si="17">+F14*15000</f>
        <v>405000</v>
      </c>
      <c r="M14" s="32">
        <f t="shared" ref="M14:M17" si="18">K14+L14</f>
        <v>3605000</v>
      </c>
      <c r="N14" s="32">
        <f t="shared" ref="N14:P17" si="19">IF(VLOOKUP($B14,DS,31,0)="x",$E14*N$4,0)</f>
        <v>0</v>
      </c>
      <c r="O14" s="32">
        <f t="shared" si="19"/>
        <v>0</v>
      </c>
      <c r="P14" s="32">
        <f t="shared" si="19"/>
        <v>0</v>
      </c>
      <c r="Q14" s="31">
        <f>M14-SUM(N14:P14)</f>
        <v>3605000</v>
      </c>
      <c r="R14" s="31">
        <f t="shared" ref="R14:R17" si="20">VLOOKUP(B14,DS,23,0)</f>
        <v>0</v>
      </c>
      <c r="S14" s="37">
        <f>Q14-R14</f>
        <v>3605000</v>
      </c>
      <c r="T14" s="31"/>
      <c r="U14" s="90"/>
      <c r="V14" s="29"/>
      <c r="W14" s="23"/>
      <c r="X14" s="5"/>
      <c r="Y14" s="5"/>
      <c r="Z14" s="5"/>
      <c r="AA14" s="4"/>
      <c r="AB14" s="4"/>
      <c r="AC14" s="4"/>
      <c r="AD14" s="4"/>
      <c r="AE14" s="4"/>
    </row>
    <row r="15" spans="1:31" s="28" customFormat="1" ht="24" customHeight="1">
      <c r="A15" s="30">
        <v>2</v>
      </c>
      <c r="B15" s="125" t="s">
        <v>76</v>
      </c>
      <c r="C15" s="75" t="str">
        <f t="shared" ref="C15:C16" si="21">VLOOKUP(B15,DS,2,0)</f>
        <v>Phan Thị Sương</v>
      </c>
      <c r="D15" s="100" t="str">
        <f t="shared" ref="D15:D16" si="22">VLOOKUP(B15,DS,3,0)</f>
        <v>Công Đoạn 1</v>
      </c>
      <c r="E15" s="76">
        <f t="shared" ref="E15:E16" si="23">VLOOKUP(B15,DS,4,0)</f>
        <v>3000000</v>
      </c>
      <c r="F15" s="78">
        <f>VLOOKUP(B15,'CC -12'!$B$8:$AS$19,36,0)</f>
        <v>27</v>
      </c>
      <c r="G15" s="129">
        <f t="shared" ref="G15:G16" si="24">ROUND(E15/$U$2*F15,0)</f>
        <v>3000000</v>
      </c>
      <c r="H15" s="78">
        <f>(VLOOKUP(B15,'CC -12'!$B$8:$AS$19,37,0)+VLOOKUP(B15,'CC -12'!$B$8:$AS$19,38,0))</f>
        <v>0</v>
      </c>
      <c r="I15" s="129">
        <f t="shared" ref="I15:I16" si="25">ROUND(E15/$U$2*H15,0)</f>
        <v>0</v>
      </c>
      <c r="J15" s="130">
        <f t="shared" ref="J15:J16" si="26">F15+H15</f>
        <v>27</v>
      </c>
      <c r="K15" s="31">
        <f t="shared" ref="K15:K16" si="27">G15+I15</f>
        <v>3000000</v>
      </c>
      <c r="L15" s="76">
        <f t="shared" ref="L15:L16" si="28">+F15*15000</f>
        <v>405000</v>
      </c>
      <c r="M15" s="32">
        <f t="shared" ref="M15:M16" si="29">K15+L15</f>
        <v>3405000</v>
      </c>
      <c r="N15" s="32">
        <f t="shared" si="19"/>
        <v>0</v>
      </c>
      <c r="O15" s="32">
        <f t="shared" si="19"/>
        <v>0</v>
      </c>
      <c r="P15" s="32">
        <f t="shared" si="19"/>
        <v>0</v>
      </c>
      <c r="Q15" s="31">
        <f t="shared" ref="Q15:Q16" si="30">M15-SUM(N15:P15)</f>
        <v>3405000</v>
      </c>
      <c r="R15" s="31">
        <f t="shared" ref="R15:R16" si="31">VLOOKUP(B15,DS,23,0)</f>
        <v>0</v>
      </c>
      <c r="S15" s="37">
        <f t="shared" ref="S15:S16" si="32">Q15-R15</f>
        <v>3405000</v>
      </c>
      <c r="T15" s="31"/>
      <c r="U15" s="90"/>
      <c r="V15" s="29"/>
      <c r="W15" s="23"/>
      <c r="X15" s="5"/>
      <c r="Y15" s="5"/>
      <c r="Z15" s="5"/>
      <c r="AA15" s="4"/>
      <c r="AB15" s="4"/>
      <c r="AC15" s="4"/>
      <c r="AD15" s="4"/>
      <c r="AE15" s="4"/>
    </row>
    <row r="16" spans="1:31" s="28" customFormat="1" ht="24" customHeight="1">
      <c r="A16" s="30">
        <v>3</v>
      </c>
      <c r="B16" s="125" t="s">
        <v>77</v>
      </c>
      <c r="C16" s="75" t="str">
        <f t="shared" si="21"/>
        <v>Cao Minh Chí</v>
      </c>
      <c r="D16" s="100" t="str">
        <f t="shared" si="22"/>
        <v>Công Đoạn 2</v>
      </c>
      <c r="E16" s="76">
        <f t="shared" si="23"/>
        <v>3200000</v>
      </c>
      <c r="F16" s="78">
        <f>VLOOKUP(B16,'CC -12'!$B$8:$AS$19,36,0)</f>
        <v>27</v>
      </c>
      <c r="G16" s="129">
        <f t="shared" si="24"/>
        <v>3200000</v>
      </c>
      <c r="H16" s="78">
        <f>(VLOOKUP(B16,'CC -12'!$B$8:$AS$19,37,0)+VLOOKUP(B16,'CC -12'!$B$8:$AS$19,38,0))</f>
        <v>0</v>
      </c>
      <c r="I16" s="129">
        <f t="shared" si="25"/>
        <v>0</v>
      </c>
      <c r="J16" s="130">
        <f t="shared" si="26"/>
        <v>27</v>
      </c>
      <c r="K16" s="31">
        <f t="shared" si="27"/>
        <v>3200000</v>
      </c>
      <c r="L16" s="76">
        <f t="shared" si="28"/>
        <v>405000</v>
      </c>
      <c r="M16" s="32">
        <f t="shared" si="29"/>
        <v>3605000</v>
      </c>
      <c r="N16" s="32">
        <f t="shared" si="19"/>
        <v>0</v>
      </c>
      <c r="O16" s="32">
        <f t="shared" si="19"/>
        <v>0</v>
      </c>
      <c r="P16" s="32">
        <f t="shared" si="19"/>
        <v>0</v>
      </c>
      <c r="Q16" s="31">
        <f t="shared" si="30"/>
        <v>3605000</v>
      </c>
      <c r="R16" s="31">
        <f t="shared" si="31"/>
        <v>0</v>
      </c>
      <c r="S16" s="37">
        <f t="shared" si="32"/>
        <v>3605000</v>
      </c>
      <c r="T16" s="31"/>
      <c r="U16" s="90"/>
      <c r="V16" s="29"/>
      <c r="W16" s="23"/>
      <c r="X16" s="5"/>
      <c r="Y16" s="5"/>
      <c r="Z16" s="5"/>
      <c r="AA16" s="4"/>
      <c r="AB16" s="4"/>
      <c r="AC16" s="4"/>
      <c r="AD16" s="4"/>
      <c r="AE16" s="4"/>
    </row>
    <row r="17" spans="1:31" s="28" customFormat="1" ht="24" customHeight="1">
      <c r="A17" s="30">
        <v>4</v>
      </c>
      <c r="B17" s="125" t="s">
        <v>81</v>
      </c>
      <c r="C17" s="75" t="str">
        <f t="shared" si="11"/>
        <v>Nguyễn Thị Sự</v>
      </c>
      <c r="D17" s="100" t="str">
        <f t="shared" si="12"/>
        <v>Công Đoạn 2</v>
      </c>
      <c r="E17" s="76">
        <f t="shared" si="13"/>
        <v>3000000</v>
      </c>
      <c r="F17" s="78">
        <f>VLOOKUP(B17,'CC -12'!$B$8:$AS$19,36,0)</f>
        <v>27</v>
      </c>
      <c r="G17" s="129">
        <f t="shared" si="14"/>
        <v>3000000</v>
      </c>
      <c r="H17" s="78">
        <f>(VLOOKUP(B17,'CC -12'!$B$8:$AS$19,37,0)+VLOOKUP(B17,'CC -12'!$B$8:$AS$19,38,0))</f>
        <v>0</v>
      </c>
      <c r="I17" s="129">
        <f t="shared" si="15"/>
        <v>0</v>
      </c>
      <c r="J17" s="130">
        <f t="shared" si="16"/>
        <v>27</v>
      </c>
      <c r="K17" s="31">
        <f t="shared" si="16"/>
        <v>3000000</v>
      </c>
      <c r="L17" s="76">
        <f t="shared" si="17"/>
        <v>405000</v>
      </c>
      <c r="M17" s="32">
        <f t="shared" si="18"/>
        <v>3405000</v>
      </c>
      <c r="N17" s="32">
        <f t="shared" si="19"/>
        <v>0</v>
      </c>
      <c r="O17" s="32">
        <f t="shared" si="19"/>
        <v>0</v>
      </c>
      <c r="P17" s="32">
        <f t="shared" si="19"/>
        <v>0</v>
      </c>
      <c r="Q17" s="31">
        <f t="shared" ref="Q17" si="33">M17-SUM(N17:P17)</f>
        <v>3405000</v>
      </c>
      <c r="R17" s="31">
        <f t="shared" si="20"/>
        <v>0</v>
      </c>
      <c r="S17" s="37">
        <f t="shared" ref="S17" si="34">Q17-R17</f>
        <v>3405000</v>
      </c>
      <c r="T17" s="31"/>
      <c r="U17" s="90"/>
      <c r="V17" s="29"/>
      <c r="W17" s="23"/>
      <c r="X17" s="5"/>
      <c r="Y17" s="5"/>
      <c r="Z17" s="5"/>
      <c r="AA17" s="4"/>
      <c r="AB17" s="4"/>
      <c r="AC17" s="4"/>
      <c r="AD17" s="4"/>
      <c r="AE17" s="4"/>
    </row>
    <row r="18" spans="1:31" s="28" customFormat="1" ht="22.5" customHeight="1">
      <c r="A18" s="33"/>
      <c r="B18" s="166"/>
      <c r="C18" s="34"/>
      <c r="D18" s="3"/>
      <c r="E18" s="35"/>
      <c r="F18" s="35"/>
      <c r="G18" s="35"/>
      <c r="H18" s="35"/>
      <c r="I18" s="35"/>
      <c r="J18" s="36"/>
      <c r="K18" s="35"/>
      <c r="L18" s="35"/>
      <c r="M18" s="165"/>
      <c r="N18" s="35"/>
      <c r="O18" s="35"/>
      <c r="P18" s="35"/>
      <c r="Q18" s="35"/>
      <c r="R18" s="35"/>
      <c r="S18" s="35"/>
      <c r="T18" s="31"/>
      <c r="U18" s="90"/>
      <c r="V18" s="29"/>
      <c r="W18" s="29"/>
      <c r="X18" s="29"/>
      <c r="Y18" s="29"/>
      <c r="Z18" s="29"/>
    </row>
    <row r="19" spans="1:31" s="26" customFormat="1" ht="21" customHeight="1">
      <c r="A19" s="208" t="s">
        <v>23</v>
      </c>
      <c r="B19" s="209"/>
      <c r="C19" s="209"/>
      <c r="D19" s="210"/>
      <c r="E19" s="124">
        <f>SUM(E13:E18)</f>
        <v>12400000</v>
      </c>
      <c r="F19" s="124"/>
      <c r="G19" s="124">
        <f>SUM(G13:G18)</f>
        <v>12400000</v>
      </c>
      <c r="H19" s="124"/>
      <c r="I19" s="124">
        <f>SUM(I13:I18)</f>
        <v>0</v>
      </c>
      <c r="J19" s="124"/>
      <c r="K19" s="124">
        <f t="shared" ref="K19:S19" si="35">SUM(K13:K18)</f>
        <v>12400000</v>
      </c>
      <c r="L19" s="124">
        <f t="shared" si="35"/>
        <v>1620000</v>
      </c>
      <c r="M19" s="124">
        <f t="shared" si="35"/>
        <v>14020000</v>
      </c>
      <c r="N19" s="124">
        <f t="shared" si="35"/>
        <v>0</v>
      </c>
      <c r="O19" s="124">
        <f t="shared" si="35"/>
        <v>0</v>
      </c>
      <c r="P19" s="124">
        <f t="shared" si="35"/>
        <v>0</v>
      </c>
      <c r="Q19" s="124">
        <f t="shared" si="35"/>
        <v>14020000</v>
      </c>
      <c r="R19" s="124">
        <f t="shared" si="35"/>
        <v>0</v>
      </c>
      <c r="S19" s="124">
        <f t="shared" si="35"/>
        <v>14020000</v>
      </c>
      <c r="T19" s="21"/>
      <c r="U19" s="90"/>
      <c r="V19" s="27"/>
      <c r="W19" s="27"/>
      <c r="X19" s="27"/>
      <c r="Y19" s="27"/>
      <c r="Z19" s="27"/>
    </row>
    <row r="20" spans="1:31" ht="11.25" customHeight="1">
      <c r="A20" s="8"/>
      <c r="B20" s="8"/>
      <c r="C20" s="9"/>
      <c r="D20" s="101"/>
      <c r="E20" s="80"/>
      <c r="F20" s="9"/>
      <c r="G20" s="9"/>
      <c r="H20" s="9"/>
      <c r="I20" s="9"/>
      <c r="K20" s="9"/>
      <c r="L20" s="9"/>
      <c r="M20" s="88"/>
      <c r="N20" s="9"/>
      <c r="O20" s="9"/>
      <c r="P20" s="9"/>
      <c r="Q20" s="9"/>
      <c r="R20" s="9"/>
      <c r="S20" s="9"/>
      <c r="T20" s="9"/>
      <c r="U20" s="90"/>
    </row>
    <row r="21" spans="1:31" s="28" customFormat="1" ht="11.25" customHeight="1">
      <c r="A21" s="64"/>
      <c r="B21" s="64"/>
      <c r="C21" s="64"/>
      <c r="D21" s="117"/>
      <c r="E21" s="118"/>
      <c r="F21" s="64"/>
      <c r="G21" s="64"/>
      <c r="H21" s="64"/>
      <c r="I21" s="64"/>
      <c r="J21" s="119"/>
      <c r="K21" s="118"/>
      <c r="L21" s="64"/>
      <c r="M21" s="64"/>
      <c r="N21" s="64"/>
      <c r="O21" s="64"/>
      <c r="P21" s="64"/>
      <c r="Q21" s="64"/>
      <c r="R21" s="64"/>
      <c r="S21" s="94" t="str">
        <f>"Long An, ngày  "&amp;$V$2&amp;"   tháng   "&amp;TEXT($E$4,"mm")&amp;"   năm "&amp;TEXT($E$4,"yyyy")</f>
        <v>Long An, ngày  31   tháng   12   năm 2016</v>
      </c>
      <c r="T21" s="64"/>
      <c r="U21" s="120"/>
      <c r="V21" s="29"/>
      <c r="W21" s="29"/>
      <c r="X21" s="29"/>
      <c r="Y21" s="29"/>
      <c r="Z21" s="29"/>
    </row>
    <row r="22" spans="1:31" s="28" customFormat="1" ht="12.75">
      <c r="A22" s="24"/>
      <c r="B22" s="24"/>
      <c r="C22" s="24" t="s">
        <v>53</v>
      </c>
      <c r="D22" s="121"/>
      <c r="E22" s="65"/>
      <c r="F22" s="120"/>
      <c r="G22" s="65"/>
      <c r="H22" s="65"/>
      <c r="I22" s="65"/>
      <c r="J22" s="122"/>
      <c r="K22" s="29"/>
      <c r="L22" s="24"/>
      <c r="M22" s="131"/>
      <c r="N22" s="20"/>
      <c r="O22" s="20"/>
      <c r="P22" s="20"/>
      <c r="Q22" s="20"/>
      <c r="S22" s="120" t="s">
        <v>21</v>
      </c>
      <c r="T22" s="120"/>
      <c r="U22" s="120"/>
      <c r="V22" s="29"/>
      <c r="W22" s="29"/>
      <c r="X22" s="29"/>
      <c r="Y22" s="29"/>
      <c r="Z22" s="29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90"/>
    </row>
    <row r="24" spans="1:31" ht="12">
      <c r="C24" s="15"/>
      <c r="L24" s="15"/>
      <c r="T24" s="15"/>
      <c r="U24" s="90"/>
    </row>
    <row r="25" spans="1:31" ht="12">
      <c r="U25" s="90"/>
    </row>
    <row r="26" spans="1:31" ht="12">
      <c r="U26" s="90"/>
    </row>
    <row r="27" spans="1:31" ht="12">
      <c r="U27" s="90"/>
    </row>
    <row r="28" spans="1:31" ht="12">
      <c r="U28" s="90"/>
    </row>
    <row r="29" spans="1:31" ht="12">
      <c r="U29" s="90"/>
    </row>
    <row r="30" spans="1:31" ht="12">
      <c r="U30" s="90"/>
    </row>
  </sheetData>
  <protectedRanges>
    <protectedRange password="CC78" sqref="V18:IK19 C5:D7 B22:C22 V5:W9 A18:A23 B18:B21 B23 V13:W13 Q5:T7 E5:I6 D19 N5:P6 L5 L22 J6:K7 L7 A25:T58 U31:U58 N18:S18 V25:IK58 J18:L18 A59:IK65326 AF13:IK13 V12:IK12 D12 Q10:S11 AF5:IK11 W10:W11 A10:B12" name="Range1"/>
    <protectedRange password="CC78" sqref="F7:H7" name="Range1_4"/>
    <protectedRange password="CC78" sqref="V22:IK23 S22:T23 N22:Q23 E22:I23" name="Range1_1_1"/>
    <protectedRange password="CC78" sqref="U1 W1:IK3 V4:IK4 B4:T4 R2:S3 B1:Q3 U18:U30 X13:AE13 X5:AE11 U4:U1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7 Q14:S17 W14:W17 A14:B17" name="Range1_5"/>
    <protectedRange password="CC78" sqref="X14:AE17 U14:U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TH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DS_07</vt:lpstr>
      <vt:lpstr>DS_08</vt:lpstr>
      <vt:lpstr>DS_09</vt:lpstr>
      <vt:lpstr>DS_10</vt:lpstr>
      <vt:lpstr>DS_11</vt:lpstr>
      <vt:lpstr>DS_12</vt:lpstr>
      <vt:lpstr>'CC - 8'!Print_Area</vt:lpstr>
      <vt:lpstr>'CC -10'!Print_Area</vt:lpstr>
      <vt:lpstr>'CC -11'!Print_Area</vt:lpstr>
      <vt:lpstr>'CC -12'!Print_Area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User1</cp:lastModifiedBy>
  <cp:lastPrinted>2016-05-23T07:13:11Z</cp:lastPrinted>
  <dcterms:created xsi:type="dcterms:W3CDTF">2011-06-27T04:19:15Z</dcterms:created>
  <dcterms:modified xsi:type="dcterms:W3CDTF">2017-04-01T05:27:59Z</dcterms:modified>
</cp:coreProperties>
</file>